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radata-my.sharepoint.com/personal/ignacio_calvo2_teradata_com/Documents/Escritorio/Nacho/Unlam/Plan 2023/"/>
    </mc:Choice>
  </mc:AlternateContent>
  <xr:revisionPtr revIDLastSave="28" documentId="13_ncr:1_{45019933-1617-4E19-86A0-20B4BC3593E1}" xr6:coauthVersionLast="47" xr6:coauthVersionMax="47" xr10:uidLastSave="{C98406A8-AF06-4E67-B026-D172CFC29BA9}"/>
  <bookViews>
    <workbookView xWindow="-108" yWindow="-108" windowWidth="23256" windowHeight="12576" activeTab="1" xr2:uid="{00000000-000D-0000-FFFF-FFFF00000000}"/>
  </bookViews>
  <sheets>
    <sheet name="Plan 2009" sheetId="1" r:id="rId1"/>
    <sheet name="Plan 2023 (Transición)" sheetId="3" r:id="rId2"/>
    <sheet name="Dias de cursada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15" i="3" s="1"/>
  <c r="F58" i="3"/>
  <c r="E2" i="3"/>
  <c r="E3" i="3"/>
  <c r="F14" i="3" s="1"/>
  <c r="E4" i="3"/>
  <c r="F10" i="3" s="1"/>
  <c r="E5" i="3"/>
  <c r="F11" i="3" s="1"/>
  <c r="E6" i="3"/>
  <c r="F12" i="3" s="1"/>
  <c r="E8" i="3"/>
  <c r="F26" i="3" s="1"/>
  <c r="E10" i="3"/>
  <c r="E11" i="3"/>
  <c r="F18" i="3" s="1"/>
  <c r="E12" i="3"/>
  <c r="F19" i="3" s="1"/>
  <c r="E13" i="3"/>
  <c r="F25" i="3" s="1"/>
  <c r="E14" i="3"/>
  <c r="F20" i="3" s="1"/>
  <c r="E15" i="3"/>
  <c r="E16" i="3"/>
  <c r="F21" i="3" s="1"/>
  <c r="E18" i="3"/>
  <c r="E19" i="3"/>
  <c r="F30" i="3" s="1"/>
  <c r="E20" i="3"/>
  <c r="E21" i="3"/>
  <c r="E22" i="3"/>
  <c r="E23" i="3"/>
  <c r="F28" i="3" s="1"/>
  <c r="E24" i="3"/>
  <c r="E26" i="3"/>
  <c r="E27" i="3"/>
  <c r="F38" i="3" s="1"/>
  <c r="E28" i="3"/>
  <c r="F48" i="3" s="1"/>
  <c r="E29" i="3"/>
  <c r="F34" i="3" s="1"/>
  <c r="E30" i="3"/>
  <c r="E31" i="3"/>
  <c r="F36" i="3" s="1"/>
  <c r="E32" i="3"/>
  <c r="F43" i="3" s="1"/>
  <c r="E33" i="3"/>
  <c r="E34" i="3"/>
  <c r="E35" i="3"/>
  <c r="F41" i="3" s="1"/>
  <c r="E36" i="3"/>
  <c r="E37" i="3"/>
  <c r="E38" i="3"/>
  <c r="F44" i="3" s="1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F60" i="3" s="1"/>
  <c r="E60" i="3"/>
  <c r="F61" i="3" s="1"/>
  <c r="E61" i="3"/>
  <c r="F62" i="3" s="1"/>
  <c r="E62" i="3"/>
  <c r="E63" i="3"/>
  <c r="F64" i="3" s="1"/>
  <c r="E64" i="3"/>
  <c r="G3" i="3"/>
  <c r="G4" i="3"/>
  <c r="G5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2" i="3"/>
  <c r="E38" i="1"/>
  <c r="C38" i="1"/>
  <c r="C37" i="1"/>
  <c r="C36" i="1"/>
  <c r="C35" i="1"/>
  <c r="G11" i="1"/>
  <c r="H11" i="1" s="1"/>
  <c r="I21" i="1"/>
  <c r="K21" i="1" s="1"/>
  <c r="I20" i="1"/>
  <c r="J20" i="1" s="1"/>
  <c r="I19" i="1"/>
  <c r="J19" i="1" s="1"/>
  <c r="I18" i="1"/>
  <c r="K18" i="1" s="1"/>
  <c r="I17" i="1"/>
  <c r="K17" i="1" s="1"/>
  <c r="I16" i="1"/>
  <c r="K16" i="1" s="1"/>
  <c r="G8" i="1"/>
  <c r="H5" i="1"/>
  <c r="E46" i="1"/>
  <c r="E45" i="1"/>
  <c r="E44" i="1"/>
  <c r="E42" i="1"/>
  <c r="E40" i="1"/>
  <c r="E39" i="1"/>
  <c r="E37" i="1"/>
  <c r="E36" i="1"/>
  <c r="E34" i="1"/>
  <c r="E35" i="1"/>
  <c r="E33" i="1"/>
  <c r="E29" i="1"/>
  <c r="E32" i="1"/>
  <c r="E31" i="1"/>
  <c r="E3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F33" i="3" l="1"/>
  <c r="F32" i="3"/>
  <c r="F17" i="3"/>
  <c r="F56" i="3"/>
  <c r="F55" i="3"/>
  <c r="F24" i="3"/>
  <c r="F31" i="3"/>
  <c r="F53" i="3"/>
  <c r="F35" i="3"/>
  <c r="F54" i="3"/>
  <c r="F49" i="3"/>
  <c r="F50" i="3"/>
  <c r="F52" i="3"/>
  <c r="F40" i="3"/>
  <c r="F42" i="3"/>
  <c r="F23" i="3"/>
  <c r="F47" i="3"/>
  <c r="F22" i="3"/>
  <c r="F29" i="3"/>
  <c r="H8" i="1"/>
  <c r="F37" i="3"/>
  <c r="F46" i="3"/>
  <c r="F39" i="3"/>
  <c r="F45" i="3"/>
  <c r="F27" i="3"/>
  <c r="F57" i="3"/>
  <c r="F16" i="3"/>
  <c r="F51" i="3"/>
  <c r="F9" i="3"/>
  <c r="J3" i="3"/>
  <c r="J6" i="3" s="1"/>
  <c r="I22" i="1"/>
  <c r="K22" i="1" s="1"/>
  <c r="K19" i="1"/>
  <c r="J21" i="1"/>
  <c r="J18" i="1"/>
  <c r="J17" i="1"/>
  <c r="K20" i="1"/>
  <c r="J16" i="1"/>
  <c r="G2" i="1"/>
  <c r="G5" i="1" s="1"/>
  <c r="J2" i="1" s="1"/>
  <c r="N6" i="3" l="1"/>
  <c r="N3" i="3"/>
  <c r="J22" i="1"/>
  <c r="H2" i="1"/>
</calcChain>
</file>

<file path=xl/sharedStrings.xml><?xml version="1.0" encoding="utf-8"?>
<sst xmlns="http://schemas.openxmlformats.org/spreadsheetml/2006/main" count="342" uniqueCount="192">
  <si>
    <t xml:space="preserve">Código </t>
  </si>
  <si>
    <t>Nombre</t>
  </si>
  <si>
    <t>Condición</t>
  </si>
  <si>
    <t>Disponibilidad</t>
  </si>
  <si>
    <t>Nota</t>
  </si>
  <si>
    <t>Materias Aprobadas</t>
  </si>
  <si>
    <t>Porcentaje de la carrera hecho</t>
  </si>
  <si>
    <t>Mi situación académica:</t>
  </si>
  <si>
    <t>Análisis Matemático I</t>
  </si>
  <si>
    <t>No aprobada</t>
  </si>
  <si>
    <t>Elementos de Programación</t>
  </si>
  <si>
    <t>Sistemas de Representación</t>
  </si>
  <si>
    <t>Materias Restantes</t>
  </si>
  <si>
    <t>Pendientes de final</t>
  </si>
  <si>
    <t>Tecnología, Ingeniería y Sociedad</t>
  </si>
  <si>
    <t>Álgebra y Geometría Analítica I</t>
  </si>
  <si>
    <t>Nota: recordar poner las materias aprobadas en la lista desplegable y no modificar los "0" en la columna de notas (SALVO que haya que poner una nota de 4 a 10) para que pueda calcular bien el promedio.</t>
  </si>
  <si>
    <t>Matemática Discreta</t>
  </si>
  <si>
    <t xml:space="preserve">Promedio (Grado) </t>
  </si>
  <si>
    <t xml:space="preserve">Promedio ( Intermedio) </t>
  </si>
  <si>
    <t>Química General</t>
  </si>
  <si>
    <t>Fundamentos de TIC's</t>
  </si>
  <si>
    <t>Física I</t>
  </si>
  <si>
    <t xml:space="preserve">Materias Restantes (Intermedio) </t>
  </si>
  <si>
    <t>Porcentaje del intermedio</t>
  </si>
  <si>
    <t>Álgebra y Geometría Analítica II</t>
  </si>
  <si>
    <t>Análisis Matemático II</t>
  </si>
  <si>
    <t>Requerimientos para la Ingeniería</t>
  </si>
  <si>
    <t>Física II</t>
  </si>
  <si>
    <t>Arquitectura de Computadoras</t>
  </si>
  <si>
    <t>Año</t>
  </si>
  <si>
    <t>Cantidad</t>
  </si>
  <si>
    <t>Faltan</t>
  </si>
  <si>
    <t>Porcentaje</t>
  </si>
  <si>
    <t>Programación (incluye TCP)</t>
  </si>
  <si>
    <t>Primer año</t>
  </si>
  <si>
    <t>Probabilidad y Estadística</t>
  </si>
  <si>
    <t>Segundo año</t>
  </si>
  <si>
    <t>Auditoría y Seguridad Informática</t>
  </si>
  <si>
    <t>Tercer año</t>
  </si>
  <si>
    <t>Programación Avanzada (incluye TCP)</t>
  </si>
  <si>
    <t>Cuarto año</t>
  </si>
  <si>
    <t>Base de Datos</t>
  </si>
  <si>
    <t>Quinto año</t>
  </si>
  <si>
    <t>Sistemas Operativos</t>
  </si>
  <si>
    <t>Transversales</t>
  </si>
  <si>
    <t>Análisis de Sistemas (incluye TCP)</t>
  </si>
  <si>
    <t>Electivas</t>
  </si>
  <si>
    <t>Cálculo Numérico</t>
  </si>
  <si>
    <t>Orientación</t>
  </si>
  <si>
    <t>Comunicaciones</t>
  </si>
  <si>
    <t>Ingeniería de Requerimientos</t>
  </si>
  <si>
    <t>Comunicación de Datos</t>
  </si>
  <si>
    <t>Diseño de Sistemas (incluye TCP)</t>
  </si>
  <si>
    <t>Análisis de Software</t>
  </si>
  <si>
    <t xml:space="preserve">Redes de Computadoras </t>
  </si>
  <si>
    <t>Sistemas Operativos Avanzados</t>
  </si>
  <si>
    <t>Lenguajes y Compiladores</t>
  </si>
  <si>
    <t>Gestión Organizacional</t>
  </si>
  <si>
    <t>Ingeniería de Software (incluye TCP)</t>
  </si>
  <si>
    <t>Elementos de Inteligencia Artificial</t>
  </si>
  <si>
    <t>Autómatas y Lenguajes Formales</t>
  </si>
  <si>
    <t>Proyecto</t>
  </si>
  <si>
    <t>Práctica Profesional Supervisada</t>
  </si>
  <si>
    <t>Computación I</t>
  </si>
  <si>
    <t>Computación II</t>
  </si>
  <si>
    <t>Inglés I</t>
  </si>
  <si>
    <t>Inglés II</t>
  </si>
  <si>
    <t>Inglés III</t>
  </si>
  <si>
    <t>Inglés IV</t>
  </si>
  <si>
    <t>Código</t>
  </si>
  <si>
    <t>Antes conocida como</t>
  </si>
  <si>
    <t>Código anterior</t>
  </si>
  <si>
    <t>Tramo</t>
  </si>
  <si>
    <t>Disponible</t>
  </si>
  <si>
    <t>Ciencias Básicas</t>
  </si>
  <si>
    <t>Cantidad de materias aprobadas</t>
  </si>
  <si>
    <t>Porcentaje de materias</t>
  </si>
  <si>
    <t>Análisis Matemático 1</t>
  </si>
  <si>
    <t>Parte de AM1</t>
  </si>
  <si>
    <t>Programación Inicial</t>
  </si>
  <si>
    <t>Parte de elementos de programación</t>
  </si>
  <si>
    <t>Programación</t>
  </si>
  <si>
    <t>Introducción a los Sistemas de Información</t>
  </si>
  <si>
    <t>Requerimientos para la ingeniería</t>
  </si>
  <si>
    <t>Desarrollo de Software</t>
  </si>
  <si>
    <t>Promedio</t>
  </si>
  <si>
    <t>Materias Faltantes</t>
  </si>
  <si>
    <t>Sistemas de numeración</t>
  </si>
  <si>
    <t>Parte de Fundamentos de TICS</t>
  </si>
  <si>
    <t>Infraestructura</t>
  </si>
  <si>
    <t>Principios de calidad de Software</t>
  </si>
  <si>
    <t>Análisis de software</t>
  </si>
  <si>
    <t>Calidad y seguridad de la información</t>
  </si>
  <si>
    <t>Álgebra y Geometría Analítica 1</t>
  </si>
  <si>
    <t>AGA 1</t>
  </si>
  <si>
    <t>Física 1</t>
  </si>
  <si>
    <t>Programación estructurada básica</t>
  </si>
  <si>
    <t>Introducción a la gestión de requisitos</t>
  </si>
  <si>
    <t>Parte de Análisis de Sistemas</t>
  </si>
  <si>
    <t>Fundamentos de Sistemas Embebidos</t>
  </si>
  <si>
    <t>Introducción a los proyectos informáticos</t>
  </si>
  <si>
    <t>TIS</t>
  </si>
  <si>
    <t>Gestión y complementarias</t>
  </si>
  <si>
    <t>Análisis Matemático 2</t>
  </si>
  <si>
    <t>Física 2</t>
  </si>
  <si>
    <t>Tópicos de programación</t>
  </si>
  <si>
    <t>Parte de Programación 1/Programación de segundo año/ Programación 2</t>
  </si>
  <si>
    <t>Bases de datos</t>
  </si>
  <si>
    <t>Parte de Bases de Datos</t>
  </si>
  <si>
    <t>Análisis de sistemas</t>
  </si>
  <si>
    <t>Arquitectura de computadoras</t>
  </si>
  <si>
    <t>Análisis Matemático 3</t>
  </si>
  <si>
    <t>Algoritmos y estructuras de datos</t>
  </si>
  <si>
    <t>Bases de datos Aplicada</t>
  </si>
  <si>
    <t>Principios de diseño de sistemas</t>
  </si>
  <si>
    <t>Parte de diseño de sistemas</t>
  </si>
  <si>
    <t>Redes de computadoras</t>
  </si>
  <si>
    <t>Gestion de las organizaciones</t>
  </si>
  <si>
    <t>Gestión de recursos humanos en proyecto de TI</t>
  </si>
  <si>
    <t>Álgebra y Geometría Analítica 2</t>
  </si>
  <si>
    <t>AGA 2</t>
  </si>
  <si>
    <t>Paradigmas de programación</t>
  </si>
  <si>
    <t>Parte de programación Avanzada</t>
  </si>
  <si>
    <t>Requisitos Avanzados</t>
  </si>
  <si>
    <t>Ingeniería de requisitos / requerimientos</t>
  </si>
  <si>
    <t>Diseño de software</t>
  </si>
  <si>
    <t>Sistemas operativos</t>
  </si>
  <si>
    <t>Parte de sistemas operativos</t>
  </si>
  <si>
    <t>Seguridad de la información</t>
  </si>
  <si>
    <t>Parte de Auditoría y seguridad informática</t>
  </si>
  <si>
    <t>Probabilidad y estadística</t>
  </si>
  <si>
    <t>Parte de probabilidad y estadística</t>
  </si>
  <si>
    <t>Programación avanzada</t>
  </si>
  <si>
    <t>Arquitectura de sistemas software</t>
  </si>
  <si>
    <t>Virtualización de Hardware</t>
  </si>
  <si>
    <t>Auditoría y legislación</t>
  </si>
  <si>
    <t>Estadística aplicada</t>
  </si>
  <si>
    <t>Autómatas y gramática</t>
  </si>
  <si>
    <t>Autómatas y lenguajes formales</t>
  </si>
  <si>
    <t>Programación concurrente</t>
  </si>
  <si>
    <t>Parte de sistemas operativos avanzados</t>
  </si>
  <si>
    <t>Gestión aplicada al desarrollo de software 1</t>
  </si>
  <si>
    <t>Parte de Ingeniería de software</t>
  </si>
  <si>
    <t>Gestión de proyectos</t>
  </si>
  <si>
    <t>Gestión organizacional</t>
  </si>
  <si>
    <t>Matemática aplicada</t>
  </si>
  <si>
    <t>Cálculo numérico + taller</t>
  </si>
  <si>
    <t>Lenguajes y compiladores</t>
  </si>
  <si>
    <t>Inteligencia artificial</t>
  </si>
  <si>
    <t>Parte de Inteligencia Artificial</t>
  </si>
  <si>
    <t>Gestión aplicada al desarrollo de software 2</t>
  </si>
  <si>
    <t>parte de Ingeniería de software</t>
  </si>
  <si>
    <t>Seguridad aplicada y forensia</t>
  </si>
  <si>
    <t>Seguridad en redes</t>
  </si>
  <si>
    <t>Gestión de la calidad en procesos de sistemas</t>
  </si>
  <si>
    <t>Procesos de software</t>
  </si>
  <si>
    <t>Inteligencia artificial aplicada</t>
  </si>
  <si>
    <t>Ciencia de datos</t>
  </si>
  <si>
    <t>Fundamentos de la ciencia de datos e inteligencia de negocios</t>
  </si>
  <si>
    <t>Innovación y emprendedorismo</t>
  </si>
  <si>
    <t>No existia</t>
  </si>
  <si>
    <t>Proyecto final de carrera</t>
  </si>
  <si>
    <t>Electiva 1</t>
  </si>
  <si>
    <t>Electiva 2</t>
  </si>
  <si>
    <t>Electiva 3</t>
  </si>
  <si>
    <t>Práctica profesional supervisada</t>
  </si>
  <si>
    <t>Taller de integración</t>
  </si>
  <si>
    <t>Responsabilidad social universitaria</t>
  </si>
  <si>
    <t>Inglés 1</t>
  </si>
  <si>
    <t>Inglés 2</t>
  </si>
  <si>
    <t>Inglés 3</t>
  </si>
  <si>
    <t>Inglés 4</t>
  </si>
  <si>
    <t>Computación 1</t>
  </si>
  <si>
    <t>Computación 2</t>
  </si>
  <si>
    <t>Dia</t>
  </si>
  <si>
    <t>Materia</t>
  </si>
  <si>
    <t>Opcion B</t>
  </si>
  <si>
    <t>Lunes</t>
  </si>
  <si>
    <t>Topicos</t>
  </si>
  <si>
    <t>Arq. De computadoras</t>
  </si>
  <si>
    <t>Martes</t>
  </si>
  <si>
    <t>Gestion de las org</t>
  </si>
  <si>
    <t>Proba??</t>
  </si>
  <si>
    <t>Miercoles</t>
  </si>
  <si>
    <t>Principios de calidad de Sw</t>
  </si>
  <si>
    <t>Jueves</t>
  </si>
  <si>
    <t>Base de datos</t>
  </si>
  <si>
    <t>Sabados</t>
  </si>
  <si>
    <t>Fisica I</t>
  </si>
  <si>
    <t>Aprobada</t>
  </si>
  <si>
    <t>Bdd/Topicos/Proba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</si>
</sst>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3" fillId="0" borderId="0" applyFont="0" applyFill="0" applyBorder="0" applyAlignment="0" applyProtection="0"/>
  </cellStyleXfs>
  <cellXfs count="10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4" fillId="3" borderId="4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8" xfId="7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5" borderId="1" xfId="2" applyFont="1" applyBorder="1" applyAlignment="1">
      <alignment horizontal="center"/>
    </xf>
    <xf numFmtId="0" fontId="4" fillId="4" borderId="1" xfId="1" applyFont="1" applyBorder="1" applyAlignment="1">
      <alignment horizontal="center"/>
    </xf>
    <xf numFmtId="0" fontId="4" fillId="6" borderId="1" xfId="3" applyFont="1" applyBorder="1" applyAlignment="1">
      <alignment horizontal="center"/>
    </xf>
    <xf numFmtId="0" fontId="4" fillId="7" borderId="1" xfId="4" applyFont="1" applyBorder="1" applyAlignment="1">
      <alignment horizontal="center"/>
    </xf>
    <xf numFmtId="0" fontId="4" fillId="8" borderId="1" xfId="5" applyFont="1" applyBorder="1" applyAlignment="1">
      <alignment horizontal="center"/>
    </xf>
    <xf numFmtId="0" fontId="4" fillId="9" borderId="1" xfId="6" applyFont="1" applyBorder="1" applyAlignment="1">
      <alignment horizontal="center"/>
    </xf>
    <xf numFmtId="0" fontId="4" fillId="9" borderId="7" xfId="6" applyFont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9" fontId="4" fillId="15" borderId="11" xfId="7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9" fontId="4" fillId="3" borderId="11" xfId="7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9" fontId="4" fillId="11" borderId="11" xfId="7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9" fontId="4" fillId="12" borderId="11" xfId="7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9" fontId="4" fillId="13" borderId="11" xfId="7" applyFont="1" applyFill="1" applyBorder="1" applyAlignment="1">
      <alignment horizontal="center"/>
    </xf>
    <xf numFmtId="0" fontId="4" fillId="17" borderId="1" xfId="5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15" xfId="0" applyFont="1" applyFill="1" applyBorder="1" applyAlignment="1">
      <alignment horizontal="center"/>
    </xf>
    <xf numFmtId="9" fontId="4" fillId="14" borderId="16" xfId="7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/>
    </xf>
    <xf numFmtId="9" fontId="4" fillId="17" borderId="11" xfId="7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29" borderId="1" xfId="0" applyFill="1" applyBorder="1"/>
    <xf numFmtId="0" fontId="0" fillId="25" borderId="1" xfId="0" applyFill="1" applyBorder="1"/>
    <xf numFmtId="0" fontId="0" fillId="30" borderId="1" xfId="0" applyFill="1" applyBorder="1"/>
    <xf numFmtId="0" fontId="0" fillId="31" borderId="1" xfId="0" applyFill="1" applyBorder="1"/>
    <xf numFmtId="0" fontId="0" fillId="0" borderId="34" xfId="0" applyFill="1" applyBorder="1" applyAlignment="1">
      <alignment horizontal="center" vertical="center" wrapText="1"/>
    </xf>
    <xf numFmtId="0" fontId="0" fillId="30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16" borderId="0" xfId="0" applyFont="1" applyFill="1" applyAlignment="1">
      <alignment horizontal="center" vertical="center" wrapText="1"/>
    </xf>
    <xf numFmtId="0" fontId="4" fillId="18" borderId="17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6" fillId="19" borderId="28" xfId="0" applyFont="1" applyFill="1" applyBorder="1" applyAlignment="1">
      <alignment horizontal="center" vertical="center" wrapText="1"/>
    </xf>
    <xf numFmtId="0" fontId="6" fillId="19" borderId="29" xfId="0" applyFont="1" applyFill="1" applyBorder="1" applyAlignment="1">
      <alignment horizontal="center" vertical="center" wrapText="1"/>
    </xf>
    <xf numFmtId="0" fontId="6" fillId="19" borderId="30" xfId="0" applyFont="1" applyFill="1" applyBorder="1" applyAlignment="1">
      <alignment horizontal="center" vertical="center" wrapText="1"/>
    </xf>
    <xf numFmtId="0" fontId="6" fillId="19" borderId="24" xfId="0" applyFont="1" applyFill="1" applyBorder="1" applyAlignment="1">
      <alignment horizontal="center" vertical="center" wrapText="1"/>
    </xf>
    <xf numFmtId="0" fontId="6" fillId="19" borderId="0" xfId="0" applyFont="1" applyFill="1" applyAlignment="1">
      <alignment horizontal="center" vertical="center" wrapText="1"/>
    </xf>
    <xf numFmtId="0" fontId="6" fillId="19" borderId="20" xfId="0" applyFont="1" applyFill="1" applyBorder="1" applyAlignment="1">
      <alignment horizontal="center" vertical="center" wrapText="1"/>
    </xf>
    <xf numFmtId="0" fontId="6" fillId="19" borderId="25" xfId="0" applyFont="1" applyFill="1" applyBorder="1" applyAlignment="1">
      <alignment horizontal="center" vertical="center" wrapText="1"/>
    </xf>
    <xf numFmtId="0" fontId="6" fillId="19" borderId="26" xfId="0" applyFont="1" applyFill="1" applyBorder="1" applyAlignment="1">
      <alignment horizontal="center" vertical="center" wrapText="1"/>
    </xf>
    <xf numFmtId="0" fontId="6" fillId="19" borderId="2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</cellXfs>
  <cellStyles count="8">
    <cellStyle name="Énfasis1" xfId="1" builtinId="29"/>
    <cellStyle name="Énfasis2" xfId="2" builtinId="33"/>
    <cellStyle name="Énfasis3" xfId="3" builtinId="37"/>
    <cellStyle name="Énfasis4" xfId="4" builtinId="41"/>
    <cellStyle name="Énfasis5" xfId="5" builtinId="45"/>
    <cellStyle name="Énfasis6" xfId="6" builtinId="49"/>
    <cellStyle name="Normal" xfId="0" builtinId="0"/>
    <cellStyle name="Porcentaje" xfId="7" builtinId="5"/>
  </cellStyles>
  <dxfs count="2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8"/>
      <tableStyleElement type="headerRow" dxfId="27"/>
    </tableStyle>
  </tableStyles>
  <colors>
    <mruColors>
      <color rgb="FFFF3399"/>
      <color rgb="FFFF5050"/>
      <color rgb="FFFF9966"/>
      <color rgb="FF99CCFF"/>
      <color rgb="FF9966FF"/>
      <color rgb="FFFF3333"/>
      <color rgb="FFFFFF9B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B127B-C473-4CEA-A02A-F1B0A9974EAD}" name="Tabla1" displayName="Tabla1" ref="A1:H64" totalsRowShown="0" headerRowDxfId="12" dataDxfId="10" headerRowBorderDxfId="11" tableBorderDxfId="9" totalsRowBorderDxfId="8">
  <autoFilter ref="A1:H64" xr:uid="{05CB127B-C473-4CEA-A02A-F1B0A9974EAD}"/>
  <tableColumns count="8">
    <tableColumn id="1" xr3:uid="{4C6C9CB5-5BC1-4DBF-A16F-73D7BC9D1F41}" name="Código" dataDxfId="7"/>
    <tableColumn id="2" xr3:uid="{92FAADCA-CBA9-49C4-99FF-273376CC1D73}" name="Nombre" dataDxfId="6"/>
    <tableColumn id="3" xr3:uid="{ADA5FE02-CAF3-4382-AF87-B1CF29D79ADE}" name="Antes conocida como" dataDxfId="5"/>
    <tableColumn id="8" xr3:uid="{1D4C0192-3347-4BB0-ABA8-3A39C0D09EEB}" name="Código anterior" dataDxfId="4"/>
    <tableColumn id="4" xr3:uid="{784059AB-EE6D-450A-A972-8107AC12B8DF}" name="Condición" dataDxfId="3">
      <calculatedColumnFormula>IFERROR(_xlfn.XLOOKUP(Tabla1[[#This Row],[Código anterior]],'Plan 2009'!$B$2:$B$46,'Plan 2009'!$D$2:$D$46),"No aprobada")</calculatedColumnFormula>
    </tableColumn>
    <tableColumn id="5" xr3:uid="{57B8A302-FD9E-4B7E-8F58-85008B4B7E3E}" name="Disponibilidad" dataDxfId="2"/>
    <tableColumn id="6" xr3:uid="{C920F205-B1EA-4E59-A28F-7929EF0085E4}" name="Nota" dataDxfId="1">
      <calculatedColumnFormula>IFERROR(VLOOKUP(Tabla1[[#This Row],[Código anterior]],'Plan 2009'!$B$1:$F$46,5,FALSE),0)</calculatedColumnFormula>
    </tableColumn>
    <tableColumn id="7" xr3:uid="{8D56C64F-114A-43CB-A81F-1B71A3C095EC}" name="Tramo" dataDxfId="0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zoomScaleNormal="100" workbookViewId="0">
      <selection activeCell="F14" sqref="F14"/>
    </sheetView>
  </sheetViews>
  <sheetFormatPr baseColWidth="10" defaultColWidth="11.44140625" defaultRowHeight="14.4" x14ac:dyDescent="0.3"/>
  <cols>
    <col min="3" max="3" width="36.44140625" customWidth="1"/>
    <col min="4" max="4" width="12.5546875" bestFit="1" customWidth="1"/>
    <col min="5" max="5" width="18.88671875" customWidth="1"/>
    <col min="7" max="7" width="31.109375" customWidth="1"/>
    <col min="8" max="8" width="29.44140625" bestFit="1" customWidth="1"/>
    <col min="10" max="10" width="11.88671875" bestFit="1" customWidth="1"/>
  </cols>
  <sheetData>
    <row r="1" spans="1:12" ht="15" thickBot="1" x14ac:dyDescent="0.35">
      <c r="B1" s="20" t="s">
        <v>0</v>
      </c>
      <c r="C1" s="21" t="s">
        <v>1</v>
      </c>
      <c r="D1" s="21" t="s">
        <v>2</v>
      </c>
      <c r="E1" s="21" t="s">
        <v>3</v>
      </c>
      <c r="F1" s="19" t="s">
        <v>4</v>
      </c>
      <c r="G1" s="20" t="s">
        <v>5</v>
      </c>
      <c r="H1" s="19" t="s">
        <v>6</v>
      </c>
      <c r="J1" s="86" t="s">
        <v>7</v>
      </c>
      <c r="K1" s="87"/>
      <c r="L1" s="88"/>
    </row>
    <row r="2" spans="1:12" ht="16.5" customHeight="1" thickBot="1" x14ac:dyDescent="0.35">
      <c r="A2" s="89"/>
      <c r="B2" s="11">
        <v>1023</v>
      </c>
      <c r="C2" s="12" t="s">
        <v>8</v>
      </c>
      <c r="D2" s="1" t="s">
        <v>190</v>
      </c>
      <c r="E2" s="23"/>
      <c r="F2" s="24">
        <v>9</v>
      </c>
      <c r="G2" s="9">
        <f>COUNTIF(D:D,"Aprobada")</f>
        <v>11</v>
      </c>
      <c r="H2" s="4">
        <f>(G2/44)</f>
        <v>0.25</v>
      </c>
      <c r="J2" s="94" t="str">
        <f>IF(G5&lt;=13,"MANTIENE PLAN 2009","CAMBIA AL PLAN 2023")</f>
        <v>CAMBIA AL PLAN 2023</v>
      </c>
      <c r="K2" s="95"/>
      <c r="L2" s="96"/>
    </row>
    <row r="3" spans="1:12" ht="15.75" customHeight="1" thickBot="1" x14ac:dyDescent="0.35">
      <c r="A3" s="89"/>
      <c r="B3" s="11">
        <v>1024</v>
      </c>
      <c r="C3" s="12" t="s">
        <v>10</v>
      </c>
      <c r="D3" s="1" t="s">
        <v>190</v>
      </c>
      <c r="E3" s="23"/>
      <c r="F3" s="24">
        <v>8</v>
      </c>
      <c r="G3" s="5"/>
      <c r="H3" s="5"/>
      <c r="J3" s="97"/>
      <c r="K3" s="98"/>
      <c r="L3" s="99"/>
    </row>
    <row r="4" spans="1:12" ht="15" thickBot="1" x14ac:dyDescent="0.35">
      <c r="A4" s="89"/>
      <c r="B4" s="11">
        <v>1025</v>
      </c>
      <c r="C4" s="12" t="s">
        <v>11</v>
      </c>
      <c r="D4" s="1" t="s">
        <v>9</v>
      </c>
      <c r="E4" s="23"/>
      <c r="F4" s="24">
        <v>0</v>
      </c>
      <c r="G4" s="26" t="s">
        <v>12</v>
      </c>
      <c r="H4" s="22" t="s">
        <v>13</v>
      </c>
      <c r="J4" s="100"/>
      <c r="K4" s="101"/>
      <c r="L4" s="102"/>
    </row>
    <row r="5" spans="1:12" ht="15" thickBot="1" x14ac:dyDescent="0.35">
      <c r="A5" s="89"/>
      <c r="B5" s="11">
        <v>1026</v>
      </c>
      <c r="C5" s="12" t="s">
        <v>14</v>
      </c>
      <c r="D5" s="1" t="s">
        <v>190</v>
      </c>
      <c r="E5" s="23"/>
      <c r="F5" s="24">
        <v>8</v>
      </c>
      <c r="G5" s="27">
        <f>44-G2-H5</f>
        <v>33</v>
      </c>
      <c r="H5" s="6">
        <f>COUNTIF(D2:D46,"Cursada")</f>
        <v>0</v>
      </c>
    </row>
    <row r="6" spans="1:12" ht="15" thickBot="1" x14ac:dyDescent="0.35">
      <c r="A6" s="89"/>
      <c r="B6" s="11">
        <v>1027</v>
      </c>
      <c r="C6" s="12" t="s">
        <v>15</v>
      </c>
      <c r="D6" s="1" t="s">
        <v>190</v>
      </c>
      <c r="E6" s="23"/>
      <c r="F6" s="24">
        <v>8</v>
      </c>
      <c r="G6" s="5"/>
      <c r="H6" s="5"/>
      <c r="I6" s="90" t="s">
        <v>16</v>
      </c>
      <c r="J6" s="90"/>
      <c r="K6" s="90"/>
      <c r="L6" s="90"/>
    </row>
    <row r="7" spans="1:12" ht="15" customHeight="1" x14ac:dyDescent="0.3">
      <c r="A7" s="89"/>
      <c r="B7" s="11">
        <v>1028</v>
      </c>
      <c r="C7" s="12" t="s">
        <v>17</v>
      </c>
      <c r="D7" s="1" t="s">
        <v>190</v>
      </c>
      <c r="E7" s="23"/>
      <c r="F7" s="24">
        <v>7</v>
      </c>
      <c r="G7" s="26" t="s">
        <v>18</v>
      </c>
      <c r="H7" s="3" t="s">
        <v>19</v>
      </c>
      <c r="I7" s="90"/>
      <c r="J7" s="90"/>
      <c r="K7" s="90"/>
      <c r="L7" s="90"/>
    </row>
    <row r="8" spans="1:12" ht="15" thickBot="1" x14ac:dyDescent="0.35">
      <c r="A8" s="89"/>
      <c r="B8" s="11">
        <v>1029</v>
      </c>
      <c r="C8" s="12" t="s">
        <v>20</v>
      </c>
      <c r="D8" s="1" t="s">
        <v>9</v>
      </c>
      <c r="E8" s="23"/>
      <c r="F8" s="24">
        <v>0</v>
      </c>
      <c r="G8" s="28">
        <f>AVERAGEIF(F2:F46,"&gt;0")</f>
        <v>7.6363636363636367</v>
      </c>
      <c r="H8" s="29">
        <f>SUM(F2:F23,F41:F44)/(26-G11)</f>
        <v>7.6363636363636367</v>
      </c>
      <c r="I8" s="90"/>
      <c r="J8" s="90"/>
      <c r="K8" s="90"/>
      <c r="L8" s="90"/>
    </row>
    <row r="9" spans="1:12" ht="15" thickBot="1" x14ac:dyDescent="0.35">
      <c r="A9" s="89"/>
      <c r="B9" s="11">
        <v>1030</v>
      </c>
      <c r="C9" s="12" t="s">
        <v>21</v>
      </c>
      <c r="D9" s="1" t="s">
        <v>190</v>
      </c>
      <c r="E9" s="23"/>
      <c r="F9" s="24">
        <v>7</v>
      </c>
      <c r="G9" s="5"/>
      <c r="H9" s="5"/>
      <c r="I9" s="90"/>
      <c r="J9" s="90"/>
      <c r="K9" s="90"/>
      <c r="L9" s="90"/>
    </row>
    <row r="10" spans="1:12" x14ac:dyDescent="0.3">
      <c r="A10" s="89"/>
      <c r="B10" s="11">
        <v>1031</v>
      </c>
      <c r="C10" s="13" t="s">
        <v>22</v>
      </c>
      <c r="D10" s="1" t="s">
        <v>9</v>
      </c>
      <c r="E10" s="1" t="str">
        <f>IF(D2&lt;="Cursada","Disponible","No Disponible")</f>
        <v>Disponible</v>
      </c>
      <c r="F10" s="24">
        <v>0</v>
      </c>
      <c r="G10" s="8" t="s">
        <v>23</v>
      </c>
      <c r="H10" s="3" t="s">
        <v>24</v>
      </c>
    </row>
    <row r="11" spans="1:12" ht="15" thickBot="1" x14ac:dyDescent="0.35">
      <c r="A11" s="89"/>
      <c r="B11" s="11">
        <v>1032</v>
      </c>
      <c r="C11" s="13" t="s">
        <v>25</v>
      </c>
      <c r="D11" s="1" t="s">
        <v>190</v>
      </c>
      <c r="E11" s="1" t="str">
        <f>IF(D6&lt;="Cursada","Disponible","No Disponible")</f>
        <v>Disponible</v>
      </c>
      <c r="F11" s="24">
        <v>5</v>
      </c>
      <c r="G11" s="9">
        <f>26-SUM(COUNTIF(D2:D23,"Aprobada"),COUNTIF(D41:D44,"Aprobada"))</f>
        <v>15</v>
      </c>
      <c r="H11" s="10">
        <f>(26-G11)/26</f>
        <v>0.42307692307692307</v>
      </c>
    </row>
    <row r="12" spans="1:12" x14ac:dyDescent="0.3">
      <c r="A12" s="89"/>
      <c r="B12" s="11">
        <v>1033</v>
      </c>
      <c r="C12" s="13" t="s">
        <v>26</v>
      </c>
      <c r="D12" s="1" t="s">
        <v>190</v>
      </c>
      <c r="E12" s="1" t="str">
        <f>IF(D2&lt;="Cursada","Disponible","No Disponible")</f>
        <v>Disponible</v>
      </c>
      <c r="F12" s="24">
        <v>8</v>
      </c>
    </row>
    <row r="13" spans="1:12" x14ac:dyDescent="0.3">
      <c r="A13" s="89"/>
      <c r="B13" s="11">
        <v>1108</v>
      </c>
      <c r="C13" s="13" t="s">
        <v>27</v>
      </c>
      <c r="D13" s="1" t="s">
        <v>190</v>
      </c>
      <c r="E13" s="1" t="str">
        <f>IF(D9&lt;="Cursada","Disponible","No Disponible")</f>
        <v>Disponible</v>
      </c>
      <c r="F13" s="24">
        <v>8</v>
      </c>
    </row>
    <row r="14" spans="1:12" ht="15" thickBot="1" x14ac:dyDescent="0.35">
      <c r="A14" s="89"/>
      <c r="B14" s="11">
        <v>1035</v>
      </c>
      <c r="C14" s="13" t="s">
        <v>28</v>
      </c>
      <c r="D14" s="1" t="s">
        <v>9</v>
      </c>
      <c r="E14" s="1" t="str">
        <f>IF(D10&lt;="Cursada","Disponible","No Disponible")</f>
        <v>No Disponible</v>
      </c>
      <c r="F14" s="24">
        <v>0</v>
      </c>
    </row>
    <row r="15" spans="1:12" x14ac:dyDescent="0.3">
      <c r="A15" s="89"/>
      <c r="B15" s="11">
        <v>1109</v>
      </c>
      <c r="C15" s="13" t="s">
        <v>29</v>
      </c>
      <c r="D15" s="1" t="s">
        <v>9</v>
      </c>
      <c r="E15" s="1" t="str">
        <f>IF(AND(D7&lt;="Cursada",D9&lt;="Cursada"),"Disponible","No Disponible")</f>
        <v>Disponible</v>
      </c>
      <c r="F15" s="24">
        <v>0</v>
      </c>
      <c r="H15" s="34" t="s">
        <v>30</v>
      </c>
      <c r="I15" s="35" t="s">
        <v>31</v>
      </c>
      <c r="J15" s="35" t="s">
        <v>32</v>
      </c>
      <c r="K15" s="36" t="s">
        <v>33</v>
      </c>
    </row>
    <row r="16" spans="1:12" x14ac:dyDescent="0.3">
      <c r="A16" s="89"/>
      <c r="B16" s="11">
        <v>1110</v>
      </c>
      <c r="C16" s="13" t="s">
        <v>34</v>
      </c>
      <c r="D16" s="1" t="s">
        <v>9</v>
      </c>
      <c r="E16" s="1" t="str">
        <f>IF(AND(D7&lt;="Cursada",D3&lt;="Cursada"),"Disponible","No Disponible")</f>
        <v>Disponible</v>
      </c>
      <c r="F16" s="24">
        <v>0</v>
      </c>
      <c r="H16" s="37" t="s">
        <v>35</v>
      </c>
      <c r="I16" s="30">
        <f>COUNTIF(D2:D9,"Aprobada")</f>
        <v>6</v>
      </c>
      <c r="J16" s="30">
        <f>8-I16</f>
        <v>2</v>
      </c>
      <c r="K16" s="38">
        <f>I16/8</f>
        <v>0.75</v>
      </c>
    </row>
    <row r="17" spans="1:11" x14ac:dyDescent="0.3">
      <c r="A17" s="89"/>
      <c r="B17" s="11">
        <v>1111</v>
      </c>
      <c r="C17" s="14" t="s">
        <v>36</v>
      </c>
      <c r="D17" s="1" t="s">
        <v>9</v>
      </c>
      <c r="E17" s="1" t="str">
        <f>IF(D12&lt;="Cursada","Disponible","No Disponible")</f>
        <v>Disponible</v>
      </c>
      <c r="F17" s="24">
        <v>0</v>
      </c>
      <c r="H17" s="39" t="s">
        <v>37</v>
      </c>
      <c r="I17" s="7">
        <f>COUNTIF(D10:D16,"Aprobada")</f>
        <v>3</v>
      </c>
      <c r="J17" s="7">
        <f>7-I17</f>
        <v>4</v>
      </c>
      <c r="K17" s="40">
        <f>I17/7</f>
        <v>0.42857142857142855</v>
      </c>
    </row>
    <row r="18" spans="1:11" x14ac:dyDescent="0.3">
      <c r="A18" s="89"/>
      <c r="B18" s="11">
        <v>1112</v>
      </c>
      <c r="C18" s="14" t="s">
        <v>38</v>
      </c>
      <c r="D18" s="1" t="s">
        <v>9</v>
      </c>
      <c r="E18" s="1" t="str">
        <f>IF(AND(D5&lt;="Cursada",D15&lt;="Cursada"),"Disponible","No Disponible")</f>
        <v>No Disponible</v>
      </c>
      <c r="F18" s="24">
        <v>0</v>
      </c>
      <c r="H18" s="41" t="s">
        <v>39</v>
      </c>
      <c r="I18" s="31">
        <f>COUNTIF(D17:D23,"Aprobada")</f>
        <v>0</v>
      </c>
      <c r="J18" s="31">
        <f>7-I18</f>
        <v>7</v>
      </c>
      <c r="K18" s="42">
        <f>I18/7</f>
        <v>0</v>
      </c>
    </row>
    <row r="19" spans="1:11" x14ac:dyDescent="0.3">
      <c r="A19" s="89"/>
      <c r="B19" s="11">
        <v>1113</v>
      </c>
      <c r="C19" s="14" t="s">
        <v>40</v>
      </c>
      <c r="D19" s="1" t="s">
        <v>9</v>
      </c>
      <c r="E19" s="1" t="str">
        <f>IF(AND(D2&lt;="Cursada",D16&lt;="Cursada"),"Disponible","No Disponible")</f>
        <v>No Disponible</v>
      </c>
      <c r="F19" s="24">
        <v>0</v>
      </c>
      <c r="H19" s="43" t="s">
        <v>41</v>
      </c>
      <c r="I19" s="32">
        <f>COUNTIF(D24:D31,"Aprobada")</f>
        <v>0</v>
      </c>
      <c r="J19" s="32">
        <f>8-I19</f>
        <v>8</v>
      </c>
      <c r="K19" s="44">
        <f t="shared" ref="K19:K20" si="0">I19/8</f>
        <v>0</v>
      </c>
    </row>
    <row r="20" spans="1:11" x14ac:dyDescent="0.3">
      <c r="A20" s="89"/>
      <c r="B20" s="11">
        <v>1114</v>
      </c>
      <c r="C20" s="14" t="s">
        <v>42</v>
      </c>
      <c r="D20" s="1" t="s">
        <v>9</v>
      </c>
      <c r="E20" s="1" t="str">
        <f>IF(AND(D7&lt;="Cursada",D12&lt;="Cursada"),"Disponible","No Disponible")</f>
        <v>Disponible</v>
      </c>
      <c r="F20" s="24">
        <v>0</v>
      </c>
      <c r="H20" s="45" t="s">
        <v>43</v>
      </c>
      <c r="I20" s="33">
        <f>COUNTIF(D32:D40,"Aprobada")</f>
        <v>0</v>
      </c>
      <c r="J20" s="33">
        <f>8-I20</f>
        <v>8</v>
      </c>
      <c r="K20" s="46">
        <f t="shared" si="0"/>
        <v>0</v>
      </c>
    </row>
    <row r="21" spans="1:11" x14ac:dyDescent="0.3">
      <c r="A21" s="89"/>
      <c r="B21" s="11">
        <v>1115</v>
      </c>
      <c r="C21" s="14" t="s">
        <v>44</v>
      </c>
      <c r="D21" s="1" t="s">
        <v>9</v>
      </c>
      <c r="E21" s="1" t="str">
        <f>IF(AND(D15&lt;="Cursada",D16&lt;="Cursada"),"Disponible","No Disponible")</f>
        <v>No Disponible</v>
      </c>
      <c r="F21" s="24">
        <v>0</v>
      </c>
      <c r="H21" s="48" t="s">
        <v>45</v>
      </c>
      <c r="I21" s="49">
        <f>COUNTIF(D41:D46,"Aprobada")</f>
        <v>2</v>
      </c>
      <c r="J21" s="49">
        <f>6-I21</f>
        <v>4</v>
      </c>
      <c r="K21" s="50">
        <f>I21/6</f>
        <v>0.33333333333333331</v>
      </c>
    </row>
    <row r="22" spans="1:11" x14ac:dyDescent="0.3">
      <c r="A22" s="89"/>
      <c r="B22" s="11">
        <v>1116</v>
      </c>
      <c r="C22" s="14" t="s">
        <v>46</v>
      </c>
      <c r="D22" s="1" t="s">
        <v>9</v>
      </c>
      <c r="E22" s="1" t="str">
        <f>IF(AND(D7&lt;="Cursada",D13&lt;="Cursada"),"Disponible","No Disponible")</f>
        <v>Disponible</v>
      </c>
      <c r="F22" s="24">
        <v>0</v>
      </c>
      <c r="H22" s="51" t="s">
        <v>47</v>
      </c>
      <c r="I22" s="54">
        <f>COUNTIF(C35:C38,"Aprobada")</f>
        <v>0</v>
      </c>
      <c r="J22" s="52">
        <f>IF(I23= "Comunicaciones", 4,3) -I22</f>
        <v>4</v>
      </c>
      <c r="K22" s="55">
        <f>I22/IF(I23= "Comunicaciones", 4,3)</f>
        <v>0</v>
      </c>
    </row>
    <row r="23" spans="1:11" ht="15" thickBot="1" x14ac:dyDescent="0.35">
      <c r="A23" s="89"/>
      <c r="B23" s="11">
        <v>1117</v>
      </c>
      <c r="C23" s="14" t="s">
        <v>48</v>
      </c>
      <c r="D23" s="1" t="s">
        <v>9</v>
      </c>
      <c r="E23" s="1" t="str">
        <f>IF(AND(D11&lt;="Cursada",D12&lt;="Cursada"),"Disponible","No Disponible")</f>
        <v>Disponible</v>
      </c>
      <c r="F23" s="24">
        <v>0</v>
      </c>
      <c r="H23" s="53" t="s">
        <v>49</v>
      </c>
      <c r="I23" s="91" t="s">
        <v>50</v>
      </c>
      <c r="J23" s="92"/>
      <c r="K23" s="93"/>
    </row>
    <row r="24" spans="1:11" x14ac:dyDescent="0.3">
      <c r="A24" s="89"/>
      <c r="B24" s="11">
        <v>1118</v>
      </c>
      <c r="C24" s="15" t="s">
        <v>51</v>
      </c>
      <c r="D24" s="1" t="s">
        <v>9</v>
      </c>
      <c r="E24" s="1" t="str">
        <f>IF(D22&lt;="Cursada","Disponible","No Disponible")</f>
        <v>No Disponible</v>
      </c>
      <c r="F24" s="24">
        <v>0</v>
      </c>
    </row>
    <row r="25" spans="1:11" x14ac:dyDescent="0.3">
      <c r="A25" s="89"/>
      <c r="B25" s="11">
        <v>1119</v>
      </c>
      <c r="C25" s="15" t="s">
        <v>52</v>
      </c>
      <c r="D25" s="1" t="s">
        <v>9</v>
      </c>
      <c r="E25" s="1" t="str">
        <f>IF(AND(D15&lt;="Cursada",D21&lt;="Cursada"),"Disponible","No Disponible")</f>
        <v>No Disponible</v>
      </c>
      <c r="F25" s="24">
        <v>0</v>
      </c>
    </row>
    <row r="26" spans="1:11" x14ac:dyDescent="0.3">
      <c r="A26" s="89"/>
      <c r="B26" s="11">
        <v>1120</v>
      </c>
      <c r="C26" s="15" t="s">
        <v>53</v>
      </c>
      <c r="D26" s="1" t="s">
        <v>9</v>
      </c>
      <c r="E26" s="1" t="str">
        <f>IF(D22&lt;="Cursada","Disponible","No Disponible")</f>
        <v>No Disponible</v>
      </c>
      <c r="F26" s="24">
        <v>0</v>
      </c>
    </row>
    <row r="27" spans="1:11" x14ac:dyDescent="0.3">
      <c r="A27" s="89"/>
      <c r="B27" s="11">
        <v>1121</v>
      </c>
      <c r="C27" s="15" t="s">
        <v>54</v>
      </c>
      <c r="D27" s="1" t="s">
        <v>9</v>
      </c>
      <c r="E27" s="1" t="str">
        <f>IF(D19&lt;="Cursada","Disponible","No Disponible")</f>
        <v>No Disponible</v>
      </c>
      <c r="F27" s="24">
        <v>0</v>
      </c>
    </row>
    <row r="28" spans="1:11" x14ac:dyDescent="0.3">
      <c r="A28" s="89"/>
      <c r="B28" s="11">
        <v>1122</v>
      </c>
      <c r="C28" s="15" t="s">
        <v>55</v>
      </c>
      <c r="D28" s="1" t="s">
        <v>9</v>
      </c>
      <c r="E28" s="1" t="str">
        <f>IF(AND(D10&lt;="Cursada",D25&lt;="Cursada"),"Disponible","No Disponible")</f>
        <v>No Disponible</v>
      </c>
      <c r="F28" s="24">
        <v>0</v>
      </c>
    </row>
    <row r="29" spans="1:11" x14ac:dyDescent="0.3">
      <c r="A29" s="89"/>
      <c r="B29" s="11">
        <v>1123</v>
      </c>
      <c r="C29" s="15" t="s">
        <v>56</v>
      </c>
      <c r="D29" s="1" t="s">
        <v>9</v>
      </c>
      <c r="E29" s="1" t="str">
        <f>IF(AND(D19&lt;="Cursada",D21&lt;="Cursada"),"Disponible","No Disponible")</f>
        <v>No Disponible</v>
      </c>
      <c r="F29" s="24">
        <v>0</v>
      </c>
    </row>
    <row r="30" spans="1:11" x14ac:dyDescent="0.3">
      <c r="A30" s="89"/>
      <c r="B30" s="11">
        <v>1124</v>
      </c>
      <c r="C30" s="15" t="s">
        <v>57</v>
      </c>
      <c r="D30" s="1" t="s">
        <v>9</v>
      </c>
      <c r="E30" s="1" t="str">
        <f>IF(AND(D16&lt;="Cursada",D21&lt;="Cursada"),"Disponible","No Disponible")</f>
        <v>No Disponible</v>
      </c>
      <c r="F30" s="24">
        <v>0</v>
      </c>
    </row>
    <row r="31" spans="1:11" x14ac:dyDescent="0.3">
      <c r="A31" s="89"/>
      <c r="B31" s="11">
        <v>1125</v>
      </c>
      <c r="C31" s="15" t="s">
        <v>58</v>
      </c>
      <c r="D31" s="1" t="s">
        <v>9</v>
      </c>
      <c r="E31" s="1" t="str">
        <f>IF(AND(D5&lt;="Cursada",D22&lt;="Cursada"),"Disponible","No Disponible")</f>
        <v>No Disponible</v>
      </c>
      <c r="F31" s="24">
        <v>0</v>
      </c>
    </row>
    <row r="32" spans="1:11" x14ac:dyDescent="0.3">
      <c r="B32" s="11">
        <v>1126</v>
      </c>
      <c r="C32" s="16" t="s">
        <v>59</v>
      </c>
      <c r="D32" s="1" t="s">
        <v>9</v>
      </c>
      <c r="E32" s="1" t="str">
        <f>IF(AND($D$2&lt;="Cursada",$D$3&lt;="Cursada",$D$4&lt;="Cursada",$D$5&lt;="Cursada",$D$6&lt;="Cursada",$D$7&lt;="Cursada",$D$8&lt;="Cursada",$D$9&lt;="Cursada",$D$10&lt;="Cursada",$D$11&lt;="Cursada",$D$12&lt;="Cursada",$D$14&lt;="Cursada",$D$23&lt;="Cursada",$D$26&lt;="Cursada"),"Disponible","No Disponible")</f>
        <v>No Disponible</v>
      </c>
      <c r="F32" s="24">
        <v>0</v>
      </c>
    </row>
    <row r="33" spans="2:6" x14ac:dyDescent="0.3">
      <c r="B33" s="11">
        <v>1127</v>
      </c>
      <c r="C33" s="16" t="s">
        <v>60</v>
      </c>
      <c r="D33" s="1" t="s">
        <v>9</v>
      </c>
      <c r="E33" s="1" t="str">
        <f>IF(AND($D$2&lt;="Cursada",$D$3&lt;="Cursada",$D$4&lt;="Cursada",$D$5&lt;="Cursada",$D$6&lt;="Cursada",$D$7&lt;="Cursada",$D$8&lt;="Cursada",$D$9&lt;="Cursada",$D$10&lt;="Cursada",$D$11&lt;="Cursada",$D$12&lt;="Cursada",$D$14&lt;="Cursada",$D$29&lt;="Cursada"),"Disponible","No Disponible")</f>
        <v>No Disponible</v>
      </c>
      <c r="F33" s="24">
        <v>0</v>
      </c>
    </row>
    <row r="34" spans="2:6" x14ac:dyDescent="0.3">
      <c r="B34" s="11">
        <v>1129</v>
      </c>
      <c r="C34" s="16" t="s">
        <v>61</v>
      </c>
      <c r="D34" s="1" t="s">
        <v>9</v>
      </c>
      <c r="E34" s="1" t="str">
        <f>IF(AND($D$2&lt;="Cursada",$D$3&lt;="Cursada",$D$4&lt;="Cursada",$D$5&lt;="Cursada",$D$6&lt;="Cursada",$D$7&lt;="Cursada",$D$8&lt;="Cursada",$D$9&lt;="Cursada",$D$10&lt;="Cursada",$D$11&lt;="Cursada",$D$12&lt;="Cursada",$D$14&lt;="Cursada",$D$28&lt;="Cursada",$D$23&lt;="Cursada",$D$23&lt;="Cursada"),"Disponible","No Disponible")</f>
        <v>No Disponible</v>
      </c>
      <c r="F34" s="24">
        <v>0</v>
      </c>
    </row>
    <row r="35" spans="2:6" x14ac:dyDescent="0.3">
      <c r="B35" s="11">
        <v>1128</v>
      </c>
      <c r="C35" s="47" t="str">
        <f>IF(I23="Comunicaciones", "Sistemas de transmisión y conmutación", "Proceso de software")</f>
        <v>Sistemas de transmisión y conmutación</v>
      </c>
      <c r="D35" s="1" t="s">
        <v>9</v>
      </c>
      <c r="E35" s="1" t="str">
        <f>IF(AND($D$2&lt;="Cursada",$D$3&lt;="Cursada",$D$4&lt;="Cursada",$D$5&lt;="Cursada",$D$6&lt;="Cursada",$D$7&lt;="Cursada",$D$8&lt;="Cursada",$D$9&lt;="Cursada",$D$10&lt;="Cursada",$D$11&lt;="Cursada",$D$12&lt;="Cursada",$D$14&lt;="Cursada",$D$28&lt;="Cursada"),"Disponible","No Disponible")</f>
        <v>No Disponible</v>
      </c>
      <c r="F35" s="24">
        <v>0</v>
      </c>
    </row>
    <row r="36" spans="2:6" x14ac:dyDescent="0.3">
      <c r="B36" s="11">
        <v>1130</v>
      </c>
      <c r="C36" s="47" t="str">
        <f>IF(I23="Comunicaciones", "Laboratorio de Teleinformática", "Data Mining y Data Warehouse")</f>
        <v>Laboratorio de Teleinformática</v>
      </c>
      <c r="D36" s="1" t="s">
        <v>9</v>
      </c>
      <c r="E36" s="1" t="str">
        <f>IF(AND($D$2&lt;="Cursada",$D$3&lt;="Cursada",$D$4&lt;="Cursada",$D$5&lt;="Cursada",$D$6&lt;="Cursada",$D$7&lt;="Cursada",$D$8&lt;="Cursada",$D$9&lt;="Cursada",$D$10&lt;="Cursada",$D$11&lt;="Cursada",$D$12&lt;="Cursada",$D$14&lt;="Cursada",$D$23&lt;="Cursada",$D$28&lt;="Cursada"),"Disponible","No Disponible")</f>
        <v>No Disponible</v>
      </c>
      <c r="F36" s="24">
        <v>0</v>
      </c>
    </row>
    <row r="37" spans="2:6" x14ac:dyDescent="0.3">
      <c r="B37" s="11">
        <v>1131</v>
      </c>
      <c r="C37" s="47" t="str">
        <f>IF(I23="Comunicaciones", "Seguridad en redes", "Programación de páginas web")</f>
        <v>Seguridad en redes</v>
      </c>
      <c r="D37" s="1" t="s">
        <v>9</v>
      </c>
      <c r="E37" s="1" t="str">
        <f>IF(AND($D$2&lt;="Cursada",$D$3&lt;="Cursada",$D$4&lt;="Cursada",$D$5&lt;="Cursada",$D$6&lt;="Cursada",$D$7&lt;="Cursada",$D$8&lt;="Cursada",$D$9&lt;="Cursada",$D$10&lt;="Cursada",$D$11&lt;="Cursada",$D$12&lt;="Cursada",$D$14&lt;="Cursada",$D$23&lt;="Cursada",$D$28&lt;="Cursada"),"Disponible","No Disponible")</f>
        <v>No Disponible</v>
      </c>
      <c r="F37" s="24">
        <v>0</v>
      </c>
    </row>
    <row r="38" spans="2:6" x14ac:dyDescent="0.3">
      <c r="B38" s="11"/>
      <c r="C38" s="47" t="str">
        <f>IF(I23="Comunicaciones", "Lenguajes descriptivos de Hardware", "--------")</f>
        <v>Lenguajes descriptivos de Hardware</v>
      </c>
      <c r="D38" s="1" t="s">
        <v>9</v>
      </c>
      <c r="E38" s="1" t="str">
        <f>IF(AND($D$2&lt;="Cursada",$D$3&lt;="Cursada",$D$4&lt;="Cursada",$D$5&lt;="Cursada",$D$6&lt;="Cursada",$D$7&lt;="Cursada",$D$8&lt;="Cursada",$D$9&lt;="Cursada",$D$10&lt;="Cursada",$D$11&lt;="Cursada",$D$12&lt;="Cursada",$D$14&lt;="Cursada",$D$23&lt;="Cursada",$D$28&lt;="Cursada"),"Disponible","No Disponible")</f>
        <v>No Disponible</v>
      </c>
      <c r="F38" s="24">
        <v>0</v>
      </c>
    </row>
    <row r="39" spans="2:6" x14ac:dyDescent="0.3">
      <c r="B39" s="11">
        <v>1132</v>
      </c>
      <c r="C39" s="16" t="s">
        <v>62</v>
      </c>
      <c r="D39" s="1" t="s">
        <v>9</v>
      </c>
      <c r="E39" s="1" t="str">
        <f>IF(AND($D$2&lt;="Cursada",$D$3&lt;="Cursada",$D$4&lt;="Cursada",$D$5&lt;="Cursada",$D$6&lt;="Cursada",$D$7&lt;="Cursada",$D$8&lt;="Cursada",$D$9&lt;="Cursada",$D$10&lt;="Cursada",$D$11&lt;="Cursada",$D$12&lt;="Cursada",$D$14&lt;="Cursada",$D$15&lt;="Cursada",$D$16&lt;="Cursada",$D$17&lt;="Cursada",$D$18&lt;="Cursada",$D$19&lt;="Cursada",$D$20&lt;="Cursada",$D$21&lt;="Cursada",$D$22&lt;="Cursada",$D$23&lt;="Cursada",$D$24&lt;="Cursada",$D$25&lt;="Cursada",$D$26&lt;="Cursada",$D$27&lt;="Cursada",$D$28&lt;="Cursada",$D$29&lt;="Cursada",$D$30&lt;="Cursada",$D$31&lt;="Cursada"),"Disponible","No Disponible")</f>
        <v>No Disponible</v>
      </c>
      <c r="F39" s="24">
        <v>0</v>
      </c>
    </row>
    <row r="40" spans="2:6" x14ac:dyDescent="0.3">
      <c r="B40" s="11">
        <v>1133</v>
      </c>
      <c r="C40" s="16" t="s">
        <v>63</v>
      </c>
      <c r="D40" s="1" t="s">
        <v>9</v>
      </c>
      <c r="E40" s="1" t="str">
        <f>IF(AND($D$2&lt;="Cursada",$D$3&lt;="Cursada",$D$4&lt;="Cursada",$D$5&lt;="Cursada",$D$6&lt;="Cursada",$D$7&lt;="Cursada",$D$8&lt;="Cursada",$D$9&lt;="Cursada",$D$10&lt;="Cursada",$D$11&lt;="Cursada",$D$12&lt;="Cursada",$D$14&lt;="Cursada",$D$31&lt;="Cursada",$D$27&lt;="Cursada",$D$26&lt;="Cursada",$D$25&lt;="Cursada",$D$24&lt;="Cursada"),"Disponible","No Disponible")</f>
        <v>No Disponible</v>
      </c>
      <c r="F40" s="24">
        <v>0</v>
      </c>
    </row>
    <row r="41" spans="2:6" x14ac:dyDescent="0.3">
      <c r="B41" s="11">
        <v>911</v>
      </c>
      <c r="C41" s="17" t="s">
        <v>64</v>
      </c>
      <c r="D41" s="1" t="s">
        <v>190</v>
      </c>
      <c r="E41" s="23"/>
      <c r="F41" s="24">
        <v>7</v>
      </c>
    </row>
    <row r="42" spans="2:6" x14ac:dyDescent="0.3">
      <c r="B42" s="11">
        <v>912</v>
      </c>
      <c r="C42" s="17" t="s">
        <v>65</v>
      </c>
      <c r="D42" s="1" t="s">
        <v>9</v>
      </c>
      <c r="E42" s="1" t="str">
        <f>IF(D41="Aprobada","Disponible","No Disponible")</f>
        <v>Disponible</v>
      </c>
      <c r="F42" s="24">
        <v>0</v>
      </c>
    </row>
    <row r="43" spans="2:6" x14ac:dyDescent="0.3">
      <c r="B43" s="11">
        <v>901</v>
      </c>
      <c r="C43" s="17" t="s">
        <v>66</v>
      </c>
      <c r="D43" s="1" t="s">
        <v>190</v>
      </c>
      <c r="E43" s="23"/>
      <c r="F43" s="24">
        <v>9</v>
      </c>
    </row>
    <row r="44" spans="2:6" x14ac:dyDescent="0.3">
      <c r="B44" s="11">
        <v>902</v>
      </c>
      <c r="C44" s="17" t="s">
        <v>67</v>
      </c>
      <c r="D44" s="1" t="s">
        <v>9</v>
      </c>
      <c r="E44" s="1" t="str">
        <f>IF(D43&lt;="Cursada","Disponible","No Disponible")</f>
        <v>Disponible</v>
      </c>
      <c r="F44" s="24">
        <v>0</v>
      </c>
    </row>
    <row r="45" spans="2:6" x14ac:dyDescent="0.3">
      <c r="B45" s="11">
        <v>903</v>
      </c>
      <c r="C45" s="17" t="s">
        <v>68</v>
      </c>
      <c r="D45" s="1" t="s">
        <v>9</v>
      </c>
      <c r="E45" s="1" t="str">
        <f>IF(D44&lt;="Cursada","Disponible","No Disponible")</f>
        <v>No Disponible</v>
      </c>
      <c r="F45" s="24">
        <v>0</v>
      </c>
    </row>
    <row r="46" spans="2:6" ht="15" thickBot="1" x14ac:dyDescent="0.35">
      <c r="B46" s="9">
        <v>904</v>
      </c>
      <c r="C46" s="18" t="s">
        <v>69</v>
      </c>
      <c r="D46" s="1" t="s">
        <v>9</v>
      </c>
      <c r="E46" s="25" t="str">
        <f>IF(D45&lt;="Cursada","Disponible","No Disponible")</f>
        <v>No Disponible</v>
      </c>
      <c r="F46" s="24">
        <v>0</v>
      </c>
    </row>
    <row r="47" spans="2:6" x14ac:dyDescent="0.3">
      <c r="D47" s="2"/>
    </row>
  </sheetData>
  <mergeCells count="8">
    <mergeCell ref="J1:L1"/>
    <mergeCell ref="A24:A31"/>
    <mergeCell ref="I6:L9"/>
    <mergeCell ref="I23:K23"/>
    <mergeCell ref="A2:A9"/>
    <mergeCell ref="A10:A16"/>
    <mergeCell ref="A17:A23"/>
    <mergeCell ref="J2:L4"/>
  </mergeCells>
  <conditionalFormatting sqref="D2:D46">
    <cfRule type="cellIs" dxfId="26" priority="1" operator="equal">
      <formula>"Cursada"</formula>
    </cfRule>
    <cfRule type="cellIs" dxfId="25" priority="2" operator="equal">
      <formula>"Aprobada"</formula>
    </cfRule>
  </conditionalFormatting>
  <conditionalFormatting sqref="E1:E1048576 F1">
    <cfRule type="cellIs" dxfId="24" priority="10" operator="equal">
      <formula>"No Disponible"</formula>
    </cfRule>
    <cfRule type="cellIs" dxfId="23" priority="11" operator="equal">
      <formula>"Disponible"</formula>
    </cfRule>
  </conditionalFormatting>
  <conditionalFormatting sqref="F2:F46">
    <cfRule type="cellIs" dxfId="22" priority="4" operator="equal">
      <formula>0</formula>
    </cfRule>
    <cfRule type="cellIs" dxfId="21" priority="5" operator="lessThan">
      <formula>7</formula>
    </cfRule>
    <cfRule type="cellIs" dxfId="20" priority="6" operator="greaterThan">
      <formula>4</formula>
    </cfRule>
    <cfRule type="cellIs" dxfId="19" priority="7" operator="greaterThan">
      <formula>4</formula>
    </cfRule>
  </conditionalFormatting>
  <dataValidations xWindow="336" yWindow="416" count="2">
    <dataValidation type="list" allowBlank="1" showInputMessage="1" showErrorMessage="1" sqref="I23:K23" xr:uid="{3D618CFB-72F7-4AA7-959E-1A187D6AA873}">
      <formula1>"Comunicaciones, Ingeniería de Software"</formula1>
    </dataValidation>
    <dataValidation type="list" allowBlank="1" showInputMessage="1" showErrorMessage="1" errorTitle="ERROR" error="Elija un valor de la lista" promptTitle="Seleccione..." prompt="Un valor permitido de la lista_x000a_" sqref="D2:D46" xr:uid="{C8155C93-F97A-4C76-807E-433846118EC4}">
      <formula1>"Aprobada,Cursada,No aprobada"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tabSelected="1" topLeftCell="A15" zoomScaleNormal="100" workbookViewId="0">
      <selection activeCell="E25" sqref="E25"/>
    </sheetView>
  </sheetViews>
  <sheetFormatPr baseColWidth="10" defaultColWidth="11.44140625" defaultRowHeight="14.4" x14ac:dyDescent="0.3"/>
  <cols>
    <col min="1" max="1" width="8.109375" style="56" customWidth="1"/>
    <col min="2" max="2" width="23" style="56" customWidth="1"/>
    <col min="3" max="3" width="21.88671875" style="56" customWidth="1"/>
    <col min="4" max="4" width="19.33203125" style="56" bestFit="1" customWidth="1"/>
    <col min="5" max="6" width="14.109375" style="56" customWidth="1"/>
    <col min="7" max="7" width="11.88671875" style="56" bestFit="1" customWidth="1"/>
    <col min="8" max="8" width="18.5546875" style="56" customWidth="1"/>
    <col min="13" max="13" width="5" customWidth="1"/>
  </cols>
  <sheetData>
    <row r="1" spans="1:16" x14ac:dyDescent="0.3">
      <c r="A1" s="57" t="s">
        <v>70</v>
      </c>
      <c r="B1" s="58" t="s">
        <v>1</v>
      </c>
      <c r="C1" s="58" t="s">
        <v>71</v>
      </c>
      <c r="D1" s="58" t="s">
        <v>72</v>
      </c>
      <c r="E1" s="58" t="s">
        <v>2</v>
      </c>
      <c r="F1" s="58" t="s">
        <v>3</v>
      </c>
      <c r="G1" s="58" t="s">
        <v>4</v>
      </c>
      <c r="H1" s="59" t="s">
        <v>73</v>
      </c>
    </row>
    <row r="2" spans="1:16" x14ac:dyDescent="0.3">
      <c r="A2" s="84">
        <v>3621</v>
      </c>
      <c r="B2" s="67" t="s">
        <v>17</v>
      </c>
      <c r="C2" s="72" t="s">
        <v>17</v>
      </c>
      <c r="D2" s="72">
        <v>1028</v>
      </c>
      <c r="E2" s="61" t="str">
        <f>IFERROR(_xlfn.XLOOKUP(Tabla1[[#This Row],[Código anterior]],'Plan 2009'!$B$2:$B$46,'Plan 2009'!$D$2:$D$46),"No aprobada")</f>
        <v>Aprobada</v>
      </c>
      <c r="F2" s="62" t="s">
        <v>74</v>
      </c>
      <c r="G2" s="61">
        <f>IFERROR(VLOOKUP(Tabla1[[#This Row],[Código anterior]],'Plan 2009'!$B$1:$F$46,5,FALSE),0)</f>
        <v>7</v>
      </c>
      <c r="H2" s="63" t="s">
        <v>75</v>
      </c>
      <c r="J2" s="107" t="s">
        <v>76</v>
      </c>
      <c r="K2" s="107"/>
      <c r="L2" s="107"/>
      <c r="N2" s="107" t="s">
        <v>77</v>
      </c>
      <c r="O2" s="107"/>
      <c r="P2" s="107"/>
    </row>
    <row r="3" spans="1:16" x14ac:dyDescent="0.3">
      <c r="A3" s="84">
        <v>3622</v>
      </c>
      <c r="B3" s="67" t="s">
        <v>78</v>
      </c>
      <c r="C3" s="72" t="s">
        <v>79</v>
      </c>
      <c r="D3" s="72">
        <v>1023</v>
      </c>
      <c r="E3" s="61" t="str">
        <f>IFERROR(_xlfn.XLOOKUP(Tabla1[[#This Row],[Código anterior]],'Plan 2009'!$B$2:$B$46,'Plan 2009'!$D$2:$D$46),"No aprobada")</f>
        <v>Aprobada</v>
      </c>
      <c r="F3" s="62" t="s">
        <v>74</v>
      </c>
      <c r="G3" s="61">
        <f>IFERROR(VLOOKUP(Tabla1[[#This Row],[Código anterior]],'Plan 2009'!$B$1:$F$46,5,FALSE),0)</f>
        <v>9</v>
      </c>
      <c r="H3" s="63" t="s">
        <v>75</v>
      </c>
      <c r="J3" s="103">
        <f>COUNTIF(Tabla1[Condición],"Aprobada")</f>
        <v>16</v>
      </c>
      <c r="K3" s="103"/>
      <c r="L3" s="103"/>
      <c r="N3" s="103">
        <f>(J3*100)/63</f>
        <v>25.396825396825395</v>
      </c>
      <c r="O3" s="103"/>
      <c r="P3" s="103"/>
    </row>
    <row r="4" spans="1:16" ht="20.399999999999999" x14ac:dyDescent="0.3">
      <c r="A4" s="84">
        <v>3623</v>
      </c>
      <c r="B4" s="67" t="s">
        <v>80</v>
      </c>
      <c r="C4" s="72" t="s">
        <v>81</v>
      </c>
      <c r="D4" s="72">
        <v>1024</v>
      </c>
      <c r="E4" s="61" t="str">
        <f>IFERROR(_xlfn.XLOOKUP(Tabla1[[#This Row],[Código anterior]],'Plan 2009'!$B$2:$B$46,'Plan 2009'!$D$2:$D$46),"No aprobada")</f>
        <v>Aprobada</v>
      </c>
      <c r="F4" s="62" t="s">
        <v>74</v>
      </c>
      <c r="G4" s="61">
        <f>IFERROR(VLOOKUP(Tabla1[[#This Row],[Código anterior]],'Plan 2009'!$B$1:$F$46,5,FALSE),0)</f>
        <v>8</v>
      </c>
      <c r="H4" s="63" t="s">
        <v>82</v>
      </c>
    </row>
    <row r="5" spans="1:16" ht="28.8" x14ac:dyDescent="0.3">
      <c r="A5" s="84">
        <v>3624</v>
      </c>
      <c r="B5" s="67" t="s">
        <v>83</v>
      </c>
      <c r="C5" s="73" t="s">
        <v>84</v>
      </c>
      <c r="D5" s="73">
        <v>1108</v>
      </c>
      <c r="E5" s="61" t="str">
        <f>IFERROR(_xlfn.XLOOKUP(Tabla1[[#This Row],[Código anterior]],'Plan 2009'!$B$2:$B$46,'Plan 2009'!$D$2:$D$46),"No aprobada")</f>
        <v>Aprobada</v>
      </c>
      <c r="F5" s="62" t="s">
        <v>74</v>
      </c>
      <c r="G5" s="61">
        <f>IFERROR(VLOOKUP(Tabla1[[#This Row],[Código anterior]],'Plan 2009'!$B$1:$F$46,5,FALSE),0)</f>
        <v>8</v>
      </c>
      <c r="H5" s="63" t="s">
        <v>85</v>
      </c>
      <c r="J5" s="108" t="s">
        <v>86</v>
      </c>
      <c r="K5" s="108"/>
      <c r="L5" s="108"/>
      <c r="N5" s="108" t="s">
        <v>87</v>
      </c>
      <c r="O5" s="108"/>
      <c r="P5" s="108"/>
    </row>
    <row r="6" spans="1:16" x14ac:dyDescent="0.3">
      <c r="A6" s="84">
        <v>3625</v>
      </c>
      <c r="B6" s="67" t="s">
        <v>88</v>
      </c>
      <c r="C6" s="72" t="s">
        <v>89</v>
      </c>
      <c r="D6" s="72">
        <v>1030</v>
      </c>
      <c r="E6" s="61" t="str">
        <f>IFERROR(_xlfn.XLOOKUP(Tabla1[[#This Row],[Código anterior]],'Plan 2009'!$B$2:$B$46,'Plan 2009'!$D$2:$D$46),"No aprobada")</f>
        <v>Aprobada</v>
      </c>
      <c r="F6" s="62" t="s">
        <v>74</v>
      </c>
      <c r="G6" s="61">
        <f>IFERROR(VLOOKUP(Tabla1[[#This Row],[Código anterior]],'Plan 2009'!$B$1:$F$46,5,FALSE),0)</f>
        <v>7</v>
      </c>
      <c r="H6" s="63" t="s">
        <v>90</v>
      </c>
      <c r="J6" s="103">
        <f>SUM(Tabla1[Nota])/J3</f>
        <v>7.875</v>
      </c>
      <c r="K6" s="103"/>
      <c r="L6" s="103"/>
      <c r="N6" s="104">
        <f>63-J3</f>
        <v>47</v>
      </c>
      <c r="O6" s="105"/>
      <c r="P6" s="106"/>
    </row>
    <row r="7" spans="1:16" ht="28.8" x14ac:dyDescent="0.3">
      <c r="A7" s="85">
        <v>3626</v>
      </c>
      <c r="B7" s="67" t="s">
        <v>91</v>
      </c>
      <c r="C7" s="74" t="s">
        <v>92</v>
      </c>
      <c r="D7" s="74">
        <v>1121</v>
      </c>
      <c r="E7" s="61" t="s">
        <v>190</v>
      </c>
      <c r="F7" s="62" t="s">
        <v>74</v>
      </c>
      <c r="G7" s="61">
        <v>10</v>
      </c>
      <c r="H7" s="63" t="s">
        <v>93</v>
      </c>
    </row>
    <row r="8" spans="1:16" ht="28.8" x14ac:dyDescent="0.3">
      <c r="A8" s="84">
        <v>3627</v>
      </c>
      <c r="B8" s="67" t="s">
        <v>94</v>
      </c>
      <c r="C8" s="72" t="s">
        <v>95</v>
      </c>
      <c r="D8" s="72">
        <v>1027</v>
      </c>
      <c r="E8" s="61" t="str">
        <f>IFERROR(_xlfn.XLOOKUP(Tabla1[[#This Row],[Código anterior]],'Plan 2009'!$B$2:$B$46,'Plan 2009'!$D$2:$D$46),"No aprobada")</f>
        <v>Aprobada</v>
      </c>
      <c r="F8" s="62" t="s">
        <v>74</v>
      </c>
      <c r="G8" s="61">
        <f>IFERROR(VLOOKUP(Tabla1[[#This Row],[Código anterior]],'Plan 2009'!$B$1:$F$46,5,FALSE),0)</f>
        <v>8</v>
      </c>
      <c r="H8" s="63" t="s">
        <v>75</v>
      </c>
    </row>
    <row r="9" spans="1:16" x14ac:dyDescent="0.3">
      <c r="A9" s="84">
        <v>3628</v>
      </c>
      <c r="B9" s="67" t="s">
        <v>96</v>
      </c>
      <c r="C9" s="73" t="s">
        <v>96</v>
      </c>
      <c r="D9" s="73">
        <v>1031</v>
      </c>
      <c r="E9" s="61" t="str">
        <f>IFERROR(_xlfn.XLOOKUP(Tabla1[[#This Row],[Código anterior]],'Plan 2009'!$B$2:$B$46,'Plan 2009'!$D$2:$D$46),"No aprobada")</f>
        <v>No aprobada</v>
      </c>
      <c r="F9" s="61" t="str">
        <f>IF(E2&lt;="Cursada","Disponible","No disponible")</f>
        <v>Disponible</v>
      </c>
      <c r="G9" s="61">
        <f>IFERROR(VLOOKUP(Tabla1[[#This Row],[Código anterior]],'Plan 2009'!$B$1:$F$46,5,FALSE),0)</f>
        <v>0</v>
      </c>
      <c r="H9" s="63" t="s">
        <v>75</v>
      </c>
    </row>
    <row r="10" spans="1:16" ht="28.8" x14ac:dyDescent="0.3">
      <c r="A10" s="84">
        <v>3629</v>
      </c>
      <c r="B10" s="67" t="s">
        <v>97</v>
      </c>
      <c r="C10" s="72" t="s">
        <v>81</v>
      </c>
      <c r="D10" s="72">
        <v>1024</v>
      </c>
      <c r="E10" s="61" t="str">
        <f>IFERROR(_xlfn.XLOOKUP(Tabla1[[#This Row],[Código anterior]],'Plan 2009'!$B$2:$B$46,'Plan 2009'!$D$2:$D$46),"No aprobada")</f>
        <v>Aprobada</v>
      </c>
      <c r="F10" s="61" t="str">
        <f>IF(E4&lt;="Cursada","Disponible","No disponible")</f>
        <v>Disponible</v>
      </c>
      <c r="G10" s="61">
        <f>IFERROR(VLOOKUP(Tabla1[[#This Row],[Código anterior]],'Plan 2009'!$B$1:$F$46,5,FALSE),0)</f>
        <v>8</v>
      </c>
      <c r="H10" s="63" t="s">
        <v>82</v>
      </c>
    </row>
    <row r="11" spans="1:16" ht="28.8" x14ac:dyDescent="0.3">
      <c r="A11" s="60">
        <v>3630</v>
      </c>
      <c r="B11" s="67" t="s">
        <v>98</v>
      </c>
      <c r="C11" s="75" t="s">
        <v>99</v>
      </c>
      <c r="D11" s="75">
        <v>1116</v>
      </c>
      <c r="E11" s="61" t="str">
        <f>IFERROR(_xlfn.XLOOKUP(Tabla1[[#This Row],[Código anterior]],'Plan 2009'!$B$2:$B$46,'Plan 2009'!$D$2:$D$46),"No aprobada")</f>
        <v>No aprobada</v>
      </c>
      <c r="F11" s="61" t="str">
        <f>IF(E5&lt;="Cursada","Disponible","No disponible")</f>
        <v>Disponible</v>
      </c>
      <c r="G11" s="61">
        <f>IFERROR(VLOOKUP(Tabla1[[#This Row],[Código anterior]],'Plan 2009'!$B$1:$F$46,5,FALSE),0)</f>
        <v>0</v>
      </c>
      <c r="H11" s="63" t="s">
        <v>85</v>
      </c>
    </row>
    <row r="12" spans="1:16" ht="28.8" x14ac:dyDescent="0.3">
      <c r="A12" s="84">
        <v>3631</v>
      </c>
      <c r="B12" s="67" t="s">
        <v>100</v>
      </c>
      <c r="C12" s="72" t="s">
        <v>89</v>
      </c>
      <c r="D12" s="72">
        <v>1030</v>
      </c>
      <c r="E12" s="61" t="str">
        <f>IFERROR(_xlfn.XLOOKUP(Tabla1[[#This Row],[Código anterior]],'Plan 2009'!$B$2:$B$46,'Plan 2009'!$D$2:$D$46),"No aprobada")</f>
        <v>Aprobada</v>
      </c>
      <c r="F12" s="61" t="str">
        <f>IF(E6&lt;="Cursada","Disponible","No disponible")</f>
        <v>Disponible</v>
      </c>
      <c r="G12" s="61">
        <f>IFERROR(VLOOKUP(Tabla1[[#This Row],[Código anterior]],'Plan 2009'!$B$1:$F$46,5,FALSE),0)</f>
        <v>7</v>
      </c>
      <c r="H12" s="63" t="s">
        <v>90</v>
      </c>
    </row>
    <row r="13" spans="1:16" ht="28.8" x14ac:dyDescent="0.3">
      <c r="A13" s="84">
        <v>3632</v>
      </c>
      <c r="B13" s="67" t="s">
        <v>101</v>
      </c>
      <c r="C13" s="72" t="s">
        <v>102</v>
      </c>
      <c r="D13" s="72">
        <v>1026</v>
      </c>
      <c r="E13" s="61" t="str">
        <f>IFERROR(_xlfn.XLOOKUP(Tabla1[[#This Row],[Código anterior]],'Plan 2009'!$B$2:$B$46,'Plan 2009'!$D$2:$D$46),"No aprobada")</f>
        <v>Aprobada</v>
      </c>
      <c r="F13" s="62" t="s">
        <v>74</v>
      </c>
      <c r="G13" s="61">
        <f>IFERROR(VLOOKUP(Tabla1[[#This Row],[Código anterior]],'Plan 2009'!$B$1:$F$46,5,FALSE),0)</f>
        <v>8</v>
      </c>
      <c r="H13" s="63" t="s">
        <v>103</v>
      </c>
    </row>
    <row r="14" spans="1:16" x14ac:dyDescent="0.3">
      <c r="A14" s="84">
        <v>3633</v>
      </c>
      <c r="B14" s="68" t="s">
        <v>104</v>
      </c>
      <c r="C14" s="72" t="s">
        <v>79</v>
      </c>
      <c r="D14" s="72">
        <v>1023</v>
      </c>
      <c r="E14" s="61" t="str">
        <f>IFERROR(_xlfn.XLOOKUP(Tabla1[[#This Row],[Código anterior]],'Plan 2009'!$B$2:$B$46,'Plan 2009'!$D$2:$D$46),"No aprobada")</f>
        <v>Aprobada</v>
      </c>
      <c r="F14" s="61" t="str">
        <f>IF(E3&lt;="Cursada","Disponible","No disponible")</f>
        <v>Disponible</v>
      </c>
      <c r="G14" s="61">
        <f>IFERROR(VLOOKUP(Tabla1[[#This Row],[Código anterior]],'Plan 2009'!$B$1:$F$46,5,FALSE),0)</f>
        <v>9</v>
      </c>
      <c r="H14" s="63" t="s">
        <v>75</v>
      </c>
    </row>
    <row r="15" spans="1:16" x14ac:dyDescent="0.3">
      <c r="A15" s="60">
        <v>3634</v>
      </c>
      <c r="B15" s="68" t="s">
        <v>105</v>
      </c>
      <c r="C15" s="73" t="s">
        <v>105</v>
      </c>
      <c r="D15" s="73">
        <v>1035</v>
      </c>
      <c r="E15" s="61" t="str">
        <f>IFERROR(_xlfn.XLOOKUP(Tabla1[[#This Row],[Código anterior]],'Plan 2009'!$B$2:$B$46,'Plan 2009'!$D$2:$D$46),"No aprobada")</f>
        <v>No aprobada</v>
      </c>
      <c r="F15" s="61" t="str">
        <f>IF(E9&lt;="Cursada","Disponible","No disponible")</f>
        <v>No disponible</v>
      </c>
      <c r="G15" s="61">
        <f>IFERROR(VLOOKUP(Tabla1[[#This Row],[Código anterior]],'Plan 2009'!$B$1:$F$46,5,FALSE),0)</f>
        <v>0</v>
      </c>
      <c r="H15" s="63" t="s">
        <v>75</v>
      </c>
    </row>
    <row r="16" spans="1:16" ht="30.6" x14ac:dyDescent="0.3">
      <c r="A16" s="84">
        <v>3635</v>
      </c>
      <c r="B16" s="68" t="s">
        <v>106</v>
      </c>
      <c r="C16" s="73" t="s">
        <v>107</v>
      </c>
      <c r="D16" s="73">
        <v>1110</v>
      </c>
      <c r="E16" s="61" t="str">
        <f>IFERROR(_xlfn.XLOOKUP(Tabla1[[#This Row],[Código anterior]],'Plan 2009'!$B$2:$B$46,'Plan 2009'!$D$2:$D$46),"No aprobada")</f>
        <v>No aprobada</v>
      </c>
      <c r="F16" s="61" t="str">
        <f>IF(AND(E2&lt;="Cursada",E10&lt;="Cursada"),"Disponible","No disponible")</f>
        <v>Disponible</v>
      </c>
      <c r="G16" s="61">
        <f>IFERROR(VLOOKUP(Tabla1[[#This Row],[Código anterior]],'Plan 2009'!$B$1:$F$46,5,FALSE),0)</f>
        <v>0</v>
      </c>
      <c r="H16" s="63" t="s">
        <v>82</v>
      </c>
    </row>
    <row r="17" spans="1:8" x14ac:dyDescent="0.3">
      <c r="A17" s="85">
        <v>3636</v>
      </c>
      <c r="B17" s="68" t="s">
        <v>108</v>
      </c>
      <c r="C17" s="75" t="s">
        <v>109</v>
      </c>
      <c r="D17" s="75">
        <v>1114</v>
      </c>
      <c r="E17" s="61" t="s">
        <v>9</v>
      </c>
      <c r="F17" s="61" t="str">
        <f>IF(AND(E2&lt;="Cursada",E10&lt;="Cursada"),"Disponible","No disponible")</f>
        <v>Disponible</v>
      </c>
      <c r="G17" s="61">
        <f>IFERROR(VLOOKUP(Tabla1[[#This Row],[Código anterior]],'Plan 2009'!$B$1:$F$46,5,FALSE),0)</f>
        <v>0</v>
      </c>
      <c r="H17" s="63" t="s">
        <v>82</v>
      </c>
    </row>
    <row r="18" spans="1:8" ht="28.8" x14ac:dyDescent="0.3">
      <c r="A18" s="60">
        <v>3637</v>
      </c>
      <c r="B18" s="68" t="s">
        <v>110</v>
      </c>
      <c r="C18" s="75" t="s">
        <v>99</v>
      </c>
      <c r="D18" s="75">
        <v>1116</v>
      </c>
      <c r="E18" s="61" t="str">
        <f>IFERROR(_xlfn.XLOOKUP(Tabla1[[#This Row],[Código anterior]],'Plan 2009'!$B$2:$B$46,'Plan 2009'!$D$2:$D$46),"No aprobada")</f>
        <v>No aprobada</v>
      </c>
      <c r="F18" s="61" t="str">
        <f>IF(E11&lt;="Cursada","Disponible","No disponible")</f>
        <v>No disponible</v>
      </c>
      <c r="G18" s="61">
        <f>IFERROR(VLOOKUP(Tabla1[[#This Row],[Código anterior]],'Plan 2009'!$B$1:$F$46,5,FALSE),0)</f>
        <v>0</v>
      </c>
      <c r="H18" s="63" t="s">
        <v>85</v>
      </c>
    </row>
    <row r="19" spans="1:8" ht="28.8" x14ac:dyDescent="0.3">
      <c r="A19" s="60">
        <v>3638</v>
      </c>
      <c r="B19" s="68" t="s">
        <v>111</v>
      </c>
      <c r="C19" s="73" t="s">
        <v>111</v>
      </c>
      <c r="D19" s="73">
        <v>1109</v>
      </c>
      <c r="E19" s="61" t="str">
        <f>IFERROR(_xlfn.XLOOKUP(Tabla1[[#This Row],[Código anterior]],'Plan 2009'!$B$2:$B$46,'Plan 2009'!$D$2:$D$46),"No aprobada")</f>
        <v>No aprobada</v>
      </c>
      <c r="F19" s="61" t="str">
        <f>IF(E12&lt;="Cursada","Disponible","No disponible")</f>
        <v>Disponible</v>
      </c>
      <c r="G19" s="61">
        <f>IFERROR(VLOOKUP(Tabla1[[#This Row],[Código anterior]],'Plan 2009'!$B$1:$F$46,5,FALSE),0)</f>
        <v>0</v>
      </c>
      <c r="H19" s="63" t="s">
        <v>90</v>
      </c>
    </row>
    <row r="20" spans="1:8" x14ac:dyDescent="0.3">
      <c r="A20" s="84">
        <v>3639</v>
      </c>
      <c r="B20" s="68" t="s">
        <v>112</v>
      </c>
      <c r="C20" s="73" t="s">
        <v>104</v>
      </c>
      <c r="D20" s="73">
        <v>1033</v>
      </c>
      <c r="E20" s="61" t="str">
        <f>IFERROR(_xlfn.XLOOKUP(Tabla1[[#This Row],[Código anterior]],'Plan 2009'!$B$2:$B$46,'Plan 2009'!$D$2:$D$46),"No aprobada")</f>
        <v>Aprobada</v>
      </c>
      <c r="F20" s="61" t="str">
        <f>IF(E14&lt;="Cursada","Disponible","No disponible")</f>
        <v>Disponible</v>
      </c>
      <c r="G20" s="61">
        <f>IFERROR(VLOOKUP(Tabla1[[#This Row],[Código anterior]],'Plan 2009'!$B$1:$F$46,5,FALSE),0)</f>
        <v>8</v>
      </c>
      <c r="H20" s="63" t="s">
        <v>75</v>
      </c>
    </row>
    <row r="21" spans="1:8" ht="30.6" x14ac:dyDescent="0.3">
      <c r="A21" s="60">
        <v>3640</v>
      </c>
      <c r="B21" s="68" t="s">
        <v>113</v>
      </c>
      <c r="C21" s="73" t="s">
        <v>107</v>
      </c>
      <c r="D21" s="73">
        <v>1110</v>
      </c>
      <c r="E21" s="61" t="str">
        <f>IFERROR(_xlfn.XLOOKUP(Tabla1[[#This Row],[Código anterior]],'Plan 2009'!$B$2:$B$46,'Plan 2009'!$D$2:$D$46),"No aprobada")</f>
        <v>No aprobada</v>
      </c>
      <c r="F21" s="61" t="str">
        <f>IF(E16&lt;="Cursada","Disponible","No disponible")</f>
        <v>No disponible</v>
      </c>
      <c r="G21" s="61">
        <f>IFERROR(VLOOKUP(Tabla1[[#This Row],[Código anterior]],'Plan 2009'!$B$1:$F$46,5,FALSE),0)</f>
        <v>0</v>
      </c>
      <c r="H21" s="63" t="s">
        <v>82</v>
      </c>
    </row>
    <row r="22" spans="1:8" x14ac:dyDescent="0.3">
      <c r="A22" s="60">
        <v>3641</v>
      </c>
      <c r="B22" s="68" t="s">
        <v>114</v>
      </c>
      <c r="C22" s="75" t="s">
        <v>109</v>
      </c>
      <c r="D22" s="75">
        <v>1114</v>
      </c>
      <c r="E22" s="61" t="str">
        <f>IFERROR(_xlfn.XLOOKUP(Tabla1[[#This Row],[Código anterior]],'Plan 2009'!$B$2:$B$46,'Plan 2009'!$D$2:$D$46),"No aprobada")</f>
        <v>No aprobada</v>
      </c>
      <c r="F22" s="61" t="str">
        <f>IF(E17&lt;="Cursada","Disponible","No disponible")</f>
        <v>No disponible</v>
      </c>
      <c r="G22" s="61">
        <f>IFERROR(VLOOKUP(Tabla1[[#This Row],[Código anterior]],'Plan 2009'!$B$1:$F$46,5,FALSE),0)</f>
        <v>0</v>
      </c>
      <c r="H22" s="63" t="s">
        <v>82</v>
      </c>
    </row>
    <row r="23" spans="1:8" ht="28.8" x14ac:dyDescent="0.3">
      <c r="A23" s="60">
        <v>3642</v>
      </c>
      <c r="B23" s="68" t="s">
        <v>115</v>
      </c>
      <c r="C23" s="74" t="s">
        <v>116</v>
      </c>
      <c r="D23" s="74">
        <v>1120</v>
      </c>
      <c r="E23" s="61" t="str">
        <f>IFERROR(_xlfn.XLOOKUP(Tabla1[[#This Row],[Código anterior]],'Plan 2009'!$B$2:$B$46,'Plan 2009'!$D$2:$D$46),"No aprobada")</f>
        <v>No aprobada</v>
      </c>
      <c r="F23" s="61" t="str">
        <f>IF(AND(E7&lt;="Cursada", E18&lt;="Cursada"),"Disponible","No disponible")</f>
        <v>No disponible</v>
      </c>
      <c r="G23" s="61">
        <f>IFERROR(VLOOKUP(Tabla1[[#This Row],[Código anterior]],'Plan 2009'!$B$1:$F$46,5,FALSE),0)</f>
        <v>0</v>
      </c>
      <c r="H23" s="63" t="s">
        <v>85</v>
      </c>
    </row>
    <row r="24" spans="1:8" x14ac:dyDescent="0.3">
      <c r="A24" s="60">
        <v>3643</v>
      </c>
      <c r="B24" s="68" t="s">
        <v>117</v>
      </c>
      <c r="C24" s="74" t="s">
        <v>117</v>
      </c>
      <c r="D24" s="74">
        <v>1122</v>
      </c>
      <c r="E24" s="61" t="str">
        <f>IFERROR(_xlfn.XLOOKUP(Tabla1[[#This Row],[Código anterior]],'Plan 2009'!$B$2:$B$46,'Plan 2009'!$D$2:$D$46),"No aprobada")</f>
        <v>No aprobada</v>
      </c>
      <c r="F24" s="61" t="str">
        <f>IF(AND(E15&lt;="Cursada",E19&lt;="Cursada"),"Disponible","No disponible")</f>
        <v>No disponible</v>
      </c>
      <c r="G24" s="61">
        <f>IFERROR(VLOOKUP(Tabla1[[#This Row],[Código anterior]],'Plan 2009'!$B$1:$F$46,5,FALSE),0)</f>
        <v>0</v>
      </c>
      <c r="H24" s="63" t="s">
        <v>90</v>
      </c>
    </row>
    <row r="25" spans="1:8" ht="28.8" x14ac:dyDescent="0.3">
      <c r="A25" s="85">
        <v>3644</v>
      </c>
      <c r="B25" s="68" t="s">
        <v>118</v>
      </c>
      <c r="C25" s="76" t="s">
        <v>119</v>
      </c>
      <c r="D25" s="76">
        <v>0</v>
      </c>
      <c r="E25" s="61" t="s">
        <v>190</v>
      </c>
      <c r="F25" s="61" t="str">
        <f>IF(E13&lt;="Cursada","Disponible","No disponible")</f>
        <v>Disponible</v>
      </c>
      <c r="G25" s="61">
        <v>8</v>
      </c>
      <c r="H25" s="63" t="s">
        <v>103</v>
      </c>
    </row>
    <row r="26" spans="1:8" ht="28.8" x14ac:dyDescent="0.3">
      <c r="A26" s="84">
        <v>3645</v>
      </c>
      <c r="B26" s="69" t="s">
        <v>120</v>
      </c>
      <c r="C26" s="73" t="s">
        <v>121</v>
      </c>
      <c r="D26" s="73">
        <v>1027</v>
      </c>
      <c r="E26" s="61" t="str">
        <f>IFERROR(_xlfn.XLOOKUP(Tabla1[[#This Row],[Código anterior]],'Plan 2009'!$B$2:$B$46,'Plan 2009'!$D$2:$D$46),"No aprobada")</f>
        <v>Aprobada</v>
      </c>
      <c r="F26" s="61" t="str">
        <f>IF(E8&lt;="Cursada","Disponible","No disponible")</f>
        <v>Disponible</v>
      </c>
      <c r="G26" s="61">
        <v>5</v>
      </c>
      <c r="H26" s="63" t="s">
        <v>75</v>
      </c>
    </row>
    <row r="27" spans="1:8" ht="28.8" x14ac:dyDescent="0.3">
      <c r="A27" s="60">
        <v>3646</v>
      </c>
      <c r="B27" s="69" t="s">
        <v>122</v>
      </c>
      <c r="C27" s="73" t="s">
        <v>123</v>
      </c>
      <c r="D27" s="73">
        <v>1113</v>
      </c>
      <c r="E27" s="61" t="str">
        <f>IFERROR(_xlfn.XLOOKUP(Tabla1[[#This Row],[Código anterior]],'Plan 2009'!$B$2:$B$46,'Plan 2009'!$D$2:$D$46),"No aprobada")</f>
        <v>No aprobada</v>
      </c>
      <c r="F27" s="61" t="str">
        <f>IF(AND(E14&lt;="Cursada", E21&lt;="Cursada"),"Disponible","No disponible")</f>
        <v>No disponible</v>
      </c>
      <c r="G27" s="61">
        <f>IFERROR(VLOOKUP(Tabla1[[#This Row],[Código anterior]],'Plan 2009'!$B$1:$F$46,5,FALSE),0)</f>
        <v>0</v>
      </c>
      <c r="H27" s="63" t="s">
        <v>82</v>
      </c>
    </row>
    <row r="28" spans="1:8" ht="28.8" x14ac:dyDescent="0.3">
      <c r="A28" s="60">
        <v>3647</v>
      </c>
      <c r="B28" s="69" t="s">
        <v>124</v>
      </c>
      <c r="C28" s="74" t="s">
        <v>125</v>
      </c>
      <c r="D28" s="74">
        <v>1118</v>
      </c>
      <c r="E28" s="61" t="str">
        <f>IFERROR(_xlfn.XLOOKUP(Tabla1[[#This Row],[Código anterior]],'Plan 2009'!$B$2:$B$46,'Plan 2009'!$D$2:$D$46),"No aprobada")</f>
        <v>No aprobada</v>
      </c>
      <c r="F28" s="61" t="str">
        <f>IF(E23&lt;="Cursada","Disponible","No disponible")</f>
        <v>No disponible</v>
      </c>
      <c r="G28" s="61">
        <f>IFERROR(VLOOKUP(Tabla1[[#This Row],[Código anterior]],'Plan 2009'!$B$1:$F$46,5,FALSE),0)</f>
        <v>0</v>
      </c>
      <c r="H28" s="63" t="s">
        <v>85</v>
      </c>
    </row>
    <row r="29" spans="1:8" ht="28.8" x14ac:dyDescent="0.3">
      <c r="A29" s="60">
        <v>3648</v>
      </c>
      <c r="B29" s="69" t="s">
        <v>126</v>
      </c>
      <c r="C29" s="74" t="s">
        <v>116</v>
      </c>
      <c r="D29" s="74">
        <v>1120</v>
      </c>
      <c r="E29" s="61" t="str">
        <f>IFERROR(_xlfn.XLOOKUP(Tabla1[[#This Row],[Código anterior]],'Plan 2009'!$B$2:$B$46,'Plan 2009'!$D$2:$D$46),"No aprobada")</f>
        <v>No aprobada</v>
      </c>
      <c r="F29" s="61" t="str">
        <f>IF(AND(E17&lt;="Cursada", E23 &lt;= "Cursada"),"Disponible","No disponible")</f>
        <v>No disponible</v>
      </c>
      <c r="G29" s="61">
        <f>IFERROR(VLOOKUP(Tabla1[[#This Row],[Código anterior]],'Plan 2009'!$B$1:$F$46,5,FALSE),0)</f>
        <v>0</v>
      </c>
      <c r="H29" s="63" t="s">
        <v>85</v>
      </c>
    </row>
    <row r="30" spans="1:8" x14ac:dyDescent="0.3">
      <c r="A30" s="60">
        <v>3649</v>
      </c>
      <c r="B30" s="69" t="s">
        <v>127</v>
      </c>
      <c r="C30" s="75" t="s">
        <v>128</v>
      </c>
      <c r="D30" s="75">
        <v>1115</v>
      </c>
      <c r="E30" s="61" t="str">
        <f>IFERROR(_xlfn.XLOOKUP(Tabla1[[#This Row],[Código anterior]],'Plan 2009'!$B$2:$B$46,'Plan 2009'!$D$2:$D$46),"No aprobada")</f>
        <v>No aprobada</v>
      </c>
      <c r="F30" s="61" t="str">
        <f>IF(E19&lt;="Cursada","Disponible","No disponible")</f>
        <v>No disponible</v>
      </c>
      <c r="G30" s="61">
        <f>IFERROR(VLOOKUP(Tabla1[[#This Row],[Código anterior]],'Plan 2009'!$B$1:$F$46,5,FALSE),0)</f>
        <v>0</v>
      </c>
      <c r="H30" s="63" t="s">
        <v>90</v>
      </c>
    </row>
    <row r="31" spans="1:8" ht="28.8" x14ac:dyDescent="0.3">
      <c r="A31" s="60">
        <v>3650</v>
      </c>
      <c r="B31" s="69" t="s">
        <v>129</v>
      </c>
      <c r="C31" s="75" t="s">
        <v>130</v>
      </c>
      <c r="D31" s="75">
        <v>1112</v>
      </c>
      <c r="E31" s="61" t="str">
        <f>IFERROR(_xlfn.XLOOKUP(Tabla1[[#This Row],[Código anterior]],'Plan 2009'!$B$2:$B$46,'Plan 2009'!$D$2:$D$46),"No aprobada")</f>
        <v>No aprobada</v>
      </c>
      <c r="F31" s="61" t="str">
        <f>IF(AND(E16&lt;="Cursada", E19&lt;="Cursada", E24&lt;="Cursada"),"Disponible","No disponible")</f>
        <v>No disponible</v>
      </c>
      <c r="G31" s="61">
        <f>IFERROR(VLOOKUP(Tabla1[[#This Row],[Código anterior]],'Plan 2009'!$B$1:$F$46,5,FALSE),0)</f>
        <v>0</v>
      </c>
      <c r="H31" s="63" t="s">
        <v>93</v>
      </c>
    </row>
    <row r="32" spans="1:8" x14ac:dyDescent="0.3">
      <c r="A32" s="60">
        <v>3651</v>
      </c>
      <c r="B32" s="69" t="s">
        <v>131</v>
      </c>
      <c r="C32" s="75" t="s">
        <v>132</v>
      </c>
      <c r="D32" s="75">
        <v>1111</v>
      </c>
      <c r="E32" s="61" t="str">
        <f>IFERROR(_xlfn.XLOOKUP(Tabla1[[#This Row],[Código anterior]],'Plan 2009'!$B$2:$B$46,'Plan 2009'!$D$2:$D$46),"No aprobada")</f>
        <v>No aprobada</v>
      </c>
      <c r="F32" s="61" t="str">
        <f>IF(AND(E2&lt;="Cursada", E20&lt;="Cursada", E26&lt;="Cursada"),"Disponible","No disponible")</f>
        <v>Disponible</v>
      </c>
      <c r="G32" s="61">
        <f>IFERROR(VLOOKUP(Tabla1[[#This Row],[Código anterior]],'Plan 2009'!$B$1:$F$46,5,FALSE),0)</f>
        <v>0</v>
      </c>
      <c r="H32" s="63" t="s">
        <v>75</v>
      </c>
    </row>
    <row r="33" spans="1:8" x14ac:dyDescent="0.3">
      <c r="A33" s="60">
        <v>3652</v>
      </c>
      <c r="B33" s="69" t="s">
        <v>133</v>
      </c>
      <c r="C33" s="75" t="s">
        <v>123</v>
      </c>
      <c r="D33" s="75">
        <v>1113</v>
      </c>
      <c r="E33" s="61" t="str">
        <f>IFERROR(_xlfn.XLOOKUP(Tabla1[[#This Row],[Código anterior]],'Plan 2009'!$B$2:$B$46,'Plan 2009'!$D$2:$D$46),"No aprobada")</f>
        <v>No aprobada</v>
      </c>
      <c r="F33" s="61" t="str">
        <f>IF(AND(E22&lt;="Cursada", E27&lt;="Cursada"),"Disponible","No disponible")</f>
        <v>No disponible</v>
      </c>
      <c r="G33" s="61">
        <f>IFERROR(VLOOKUP(Tabla1[[#This Row],[Código anterior]],'Plan 2009'!$B$1:$F$46,5,FALSE),0)</f>
        <v>0</v>
      </c>
      <c r="H33" s="63" t="s">
        <v>82</v>
      </c>
    </row>
    <row r="34" spans="1:8" ht="28.8" x14ac:dyDescent="0.3">
      <c r="A34" s="60">
        <v>3653</v>
      </c>
      <c r="B34" s="69" t="s">
        <v>134</v>
      </c>
      <c r="C34" s="74" t="s">
        <v>116</v>
      </c>
      <c r="D34" s="74">
        <v>1120</v>
      </c>
      <c r="E34" s="61" t="str">
        <f>IFERROR(_xlfn.XLOOKUP(Tabla1[[#This Row],[Código anterior]],'Plan 2009'!$B$2:$B$46,'Plan 2009'!$D$2:$D$46),"No aprobada")</f>
        <v>No aprobada</v>
      </c>
      <c r="F34" s="61" t="str">
        <f>IF(E29&lt;="Cursada","Disponible","No disponible")</f>
        <v>No disponible</v>
      </c>
      <c r="G34" s="61">
        <f>IFERROR(VLOOKUP(Tabla1[[#This Row],[Código anterior]],'Plan 2009'!$B$1:$F$46,5,FALSE),0)</f>
        <v>0</v>
      </c>
      <c r="H34" s="63" t="s">
        <v>85</v>
      </c>
    </row>
    <row r="35" spans="1:8" ht="28.8" x14ac:dyDescent="0.3">
      <c r="A35" s="60">
        <v>3654</v>
      </c>
      <c r="B35" s="69" t="s">
        <v>135</v>
      </c>
      <c r="C35" s="75" t="s">
        <v>128</v>
      </c>
      <c r="D35" s="75">
        <v>1115</v>
      </c>
      <c r="E35" s="61" t="str">
        <f>IFERROR(_xlfn.XLOOKUP(Tabla1[[#This Row],[Código anterior]],'Plan 2009'!$B$2:$B$46,'Plan 2009'!$D$2:$D$46),"No aprobada")</f>
        <v>No aprobada</v>
      </c>
      <c r="F35" s="61" t="str">
        <f>IF(AND(E21&lt;="Cursada", E26&lt;="Cursada", E30&lt;="Cursada"),"Disponible","No disponible")</f>
        <v>No disponible</v>
      </c>
      <c r="G35" s="61">
        <f>IFERROR(VLOOKUP(Tabla1[[#This Row],[Código anterior]],'Plan 2009'!$B$1:$F$46,5,FALSE),0)</f>
        <v>0</v>
      </c>
      <c r="H35" s="63" t="s">
        <v>90</v>
      </c>
    </row>
    <row r="36" spans="1:8" ht="28.8" x14ac:dyDescent="0.3">
      <c r="A36" s="60">
        <v>3655</v>
      </c>
      <c r="B36" s="69" t="s">
        <v>136</v>
      </c>
      <c r="C36" s="75" t="s">
        <v>130</v>
      </c>
      <c r="D36" s="75">
        <v>1112</v>
      </c>
      <c r="E36" s="61" t="str">
        <f>IFERROR(_xlfn.XLOOKUP(Tabla1[[#This Row],[Código anterior]],'Plan 2009'!$B$2:$B$46,'Plan 2009'!$D$2:$D$46),"No aprobada")</f>
        <v>No aprobada</v>
      </c>
      <c r="F36" s="61" t="str">
        <f>IF(E31&lt;="Cursada","Disponible","No disponible")</f>
        <v>No disponible</v>
      </c>
      <c r="G36" s="61">
        <f>IFERROR(VLOOKUP(Tabla1[[#This Row],[Código anterior]],'Plan 2009'!$B$1:$F$46,5,FALSE),0)</f>
        <v>0</v>
      </c>
      <c r="H36" s="63" t="s">
        <v>93</v>
      </c>
    </row>
    <row r="37" spans="1:8" x14ac:dyDescent="0.3">
      <c r="A37" s="60">
        <v>3656</v>
      </c>
      <c r="B37" s="70" t="s">
        <v>137</v>
      </c>
      <c r="C37" s="75" t="s">
        <v>132</v>
      </c>
      <c r="D37" s="75">
        <v>1111</v>
      </c>
      <c r="E37" s="61" t="str">
        <f>IFERROR(_xlfn.XLOOKUP(Tabla1[[#This Row],[Código anterior]],'Plan 2009'!$B$2:$B$46,'Plan 2009'!$D$2:$D$46),"No aprobada")</f>
        <v>No aprobada</v>
      </c>
      <c r="F37" s="61" t="str">
        <f>IF(AND(E22&lt;="Cursada", E32&lt;="Cursada"),"Disponible","No disponible")</f>
        <v>No disponible</v>
      </c>
      <c r="G37" s="61">
        <f>IFERROR(VLOOKUP(Tabla1[[#This Row],[Código anterior]],'Plan 2009'!$B$1:$F$46,5,FALSE),0)</f>
        <v>0</v>
      </c>
      <c r="H37" s="63" t="s">
        <v>75</v>
      </c>
    </row>
    <row r="38" spans="1:8" x14ac:dyDescent="0.3">
      <c r="A38" s="60">
        <v>3657</v>
      </c>
      <c r="B38" s="70" t="s">
        <v>138</v>
      </c>
      <c r="C38" s="74" t="s">
        <v>139</v>
      </c>
      <c r="D38" s="74">
        <v>1129</v>
      </c>
      <c r="E38" s="61" t="str">
        <f>IFERROR(_xlfn.XLOOKUP(Tabla1[[#This Row],[Código anterior]],'Plan 2009'!$B$2:$B$46,'Plan 2009'!$D$2:$D$46),"No aprobada")</f>
        <v>No aprobada</v>
      </c>
      <c r="F38" s="61" t="str">
        <f>IF(E27&lt;="Cursada","Disponible","No disponible")</f>
        <v>No disponible</v>
      </c>
      <c r="G38" s="61">
        <f>IFERROR(VLOOKUP(Tabla1[[#This Row],[Código anterior]],'Plan 2009'!$B$1:$F$46,5,FALSE),0)</f>
        <v>0</v>
      </c>
      <c r="H38" s="63" t="s">
        <v>82</v>
      </c>
    </row>
    <row r="39" spans="1:8" ht="28.8" x14ac:dyDescent="0.3">
      <c r="A39" s="60">
        <v>3658</v>
      </c>
      <c r="B39" s="70" t="s">
        <v>140</v>
      </c>
      <c r="C39" s="74" t="s">
        <v>141</v>
      </c>
      <c r="D39" s="74">
        <v>1123</v>
      </c>
      <c r="E39" s="61" t="str">
        <f>IFERROR(_xlfn.XLOOKUP(Tabla1[[#This Row],[Código anterior]],'Plan 2009'!$B$2:$B$46,'Plan 2009'!$D$2:$D$46),"No aprobada")</f>
        <v>No aprobada</v>
      </c>
      <c r="F39" s="61" t="str">
        <f>IF(AND(E27&lt;="Cursada", E35&lt;="Cursada"),"Disponible","No disponible")</f>
        <v>No disponible</v>
      </c>
      <c r="G39" s="61">
        <f>IFERROR(VLOOKUP(Tabla1[[#This Row],[Código anterior]],'Plan 2009'!$B$1:$F$46,5,FALSE),0)</f>
        <v>0</v>
      </c>
      <c r="H39" s="63" t="s">
        <v>90</v>
      </c>
    </row>
    <row r="40" spans="1:8" ht="28.8" x14ac:dyDescent="0.3">
      <c r="A40" s="60">
        <v>3659</v>
      </c>
      <c r="B40" s="70" t="s">
        <v>142</v>
      </c>
      <c r="C40" s="77" t="s">
        <v>143</v>
      </c>
      <c r="D40" s="77">
        <v>1126</v>
      </c>
      <c r="E40" s="61" t="str">
        <f>IFERROR(_xlfn.XLOOKUP(Tabla1[[#This Row],[Código anterior]],'Plan 2009'!$B$2:$B$46,'Plan 2009'!$D$2:$D$46),"No aprobada")</f>
        <v>No aprobada</v>
      </c>
      <c r="F40" s="61" t="str">
        <f>IF(AND(E25&lt;="Cursada",E28&lt;="Cursada",E34&lt;="Cursada"),"Disponible","No disponible")</f>
        <v>No disponible</v>
      </c>
      <c r="G40" s="61">
        <f>IFERROR(VLOOKUP(Tabla1[[#This Row],[Código anterior]],'Plan 2009'!$B$1:$F$46,5,FALSE),0)</f>
        <v>0</v>
      </c>
      <c r="H40" s="63" t="s">
        <v>85</v>
      </c>
    </row>
    <row r="41" spans="1:8" ht="28.8" x14ac:dyDescent="0.3">
      <c r="A41" s="60">
        <v>3660</v>
      </c>
      <c r="B41" s="70" t="s">
        <v>56</v>
      </c>
      <c r="C41" s="74" t="s">
        <v>141</v>
      </c>
      <c r="D41" s="74">
        <v>1123</v>
      </c>
      <c r="E41" s="61" t="str">
        <f>IFERROR(_xlfn.XLOOKUP(Tabla1[[#This Row],[Código anterior]],'Plan 2009'!$B$2:$B$46,'Plan 2009'!$D$2:$D$46),"No aprobada")</f>
        <v>No aprobada</v>
      </c>
      <c r="F41" s="61" t="str">
        <f>IF(E35&lt;="Cursada","Disponible","No disponible")</f>
        <v>No disponible</v>
      </c>
      <c r="G41" s="61">
        <f>IFERROR(VLOOKUP(Tabla1[[#This Row],[Código anterior]],'Plan 2009'!$B$1:$F$46,5,FALSE),0)</f>
        <v>0</v>
      </c>
      <c r="H41" s="63" t="s">
        <v>90</v>
      </c>
    </row>
    <row r="42" spans="1:8" ht="28.8" x14ac:dyDescent="0.3">
      <c r="A42" s="60">
        <v>3661</v>
      </c>
      <c r="B42" s="70" t="s">
        <v>144</v>
      </c>
      <c r="C42" s="74" t="s">
        <v>145</v>
      </c>
      <c r="D42" s="74">
        <v>1125</v>
      </c>
      <c r="E42" s="61" t="str">
        <f>IFERROR(_xlfn.XLOOKUP(Tabla1[[#This Row],[Código anterior]],'Plan 2009'!$B$2:$B$46,'Plan 2009'!$D$2:$D$46),"No aprobada")</f>
        <v>No aprobada</v>
      </c>
      <c r="F42" s="61" t="str">
        <f>IF(AND(E25&lt;="Cursada", E31&lt;="Cursada", E32&lt;="Cursada"),"Disponible","No disponible")</f>
        <v>No disponible</v>
      </c>
      <c r="G42" s="61">
        <f>IFERROR(VLOOKUP(Tabla1[[#This Row],[Código anterior]],'Plan 2009'!$B$1:$F$46,5,FALSE),0)</f>
        <v>0</v>
      </c>
      <c r="H42" s="63" t="s">
        <v>103</v>
      </c>
    </row>
    <row r="43" spans="1:8" x14ac:dyDescent="0.3">
      <c r="A43" s="60">
        <v>3662</v>
      </c>
      <c r="B43" s="70" t="s">
        <v>146</v>
      </c>
      <c r="C43" s="74" t="s">
        <v>147</v>
      </c>
      <c r="D43" s="74">
        <v>1117</v>
      </c>
      <c r="E43" s="61" t="str">
        <f>IFERROR(_xlfn.XLOOKUP(Tabla1[[#This Row],[Código anterior]],'Plan 2009'!$B$2:$B$46,'Plan 2009'!$D$2:$D$46),"No aprobada")</f>
        <v>No aprobada</v>
      </c>
      <c r="F43" s="61" t="str">
        <f>IF(E32&lt;="Cursada","Disponible","No disponible")</f>
        <v>No disponible</v>
      </c>
      <c r="G43" s="61">
        <f>IFERROR(VLOOKUP(Tabla1[[#This Row],[Código anterior]],'Plan 2009'!$B$1:$F$46,5,FALSE),0)</f>
        <v>0</v>
      </c>
      <c r="H43" s="63" t="s">
        <v>75</v>
      </c>
    </row>
    <row r="44" spans="1:8" x14ac:dyDescent="0.3">
      <c r="A44" s="60">
        <v>3663</v>
      </c>
      <c r="B44" s="70" t="s">
        <v>148</v>
      </c>
      <c r="C44" s="77" t="s">
        <v>148</v>
      </c>
      <c r="D44" s="77">
        <v>1124</v>
      </c>
      <c r="E44" s="61" t="str">
        <f>IFERROR(_xlfn.XLOOKUP(Tabla1[[#This Row],[Código anterior]],'Plan 2009'!$B$2:$B$46,'Plan 2009'!$D$2:$D$46),"No aprobada")</f>
        <v>No aprobada</v>
      </c>
      <c r="F44" s="61" t="str">
        <f>IF(E38&lt;="Cursada","Disponible","No disponible")</f>
        <v>No disponible</v>
      </c>
      <c r="G44" s="61">
        <f>IFERROR(VLOOKUP(Tabla1[[#This Row],[Código anterior]],'Plan 2009'!$B$1:$F$46,5,FALSE),0)</f>
        <v>0</v>
      </c>
      <c r="H44" s="63" t="s">
        <v>82</v>
      </c>
    </row>
    <row r="45" spans="1:8" ht="28.8" x14ac:dyDescent="0.3">
      <c r="A45" s="60">
        <v>3664</v>
      </c>
      <c r="B45" s="70" t="s">
        <v>149</v>
      </c>
      <c r="C45" s="77" t="s">
        <v>150</v>
      </c>
      <c r="D45" s="77">
        <v>1127</v>
      </c>
      <c r="E45" s="61" t="str">
        <f>IFERROR(_xlfn.XLOOKUP(Tabla1[[#This Row],[Código anterior]],'Plan 2009'!$B$2:$B$46,'Plan 2009'!$D$2:$D$46),"No aprobada")</f>
        <v>No aprobada</v>
      </c>
      <c r="F45" s="61" t="str">
        <f>IF(AND(E27&lt;="Cursada", E32&lt;="Cursada"),"Disponible","No disponible")</f>
        <v>No disponible</v>
      </c>
      <c r="G45" s="61">
        <f>IFERROR(VLOOKUP(Tabla1[[#This Row],[Código anterior]],'Plan 2009'!$B$1:$F$46,5,FALSE),0)</f>
        <v>0</v>
      </c>
      <c r="H45" s="63" t="s">
        <v>85</v>
      </c>
    </row>
    <row r="46" spans="1:8" ht="28.8" x14ac:dyDescent="0.3">
      <c r="A46" s="60">
        <v>3665</v>
      </c>
      <c r="B46" s="70" t="s">
        <v>151</v>
      </c>
      <c r="C46" s="77" t="s">
        <v>152</v>
      </c>
      <c r="D46" s="77">
        <v>1126</v>
      </c>
      <c r="E46" s="61" t="str">
        <f>IFERROR(_xlfn.XLOOKUP(Tabla1[[#This Row],[Código anterior]],'Plan 2009'!$B$2:$B$46,'Plan 2009'!$D$2:$D$46),"No aprobada")</f>
        <v>No aprobada</v>
      </c>
      <c r="F46" s="61" t="str">
        <f>IF(AND(E33&lt;="Cursada", E40&lt;="Cursada"),"Disponible","No disponible")</f>
        <v>No disponible</v>
      </c>
      <c r="G46" s="61">
        <f>IFERROR(VLOOKUP(Tabla1[[#This Row],[Código anterior]],'Plan 2009'!$B$1:$F$46,5,FALSE),0)</f>
        <v>0</v>
      </c>
      <c r="H46" s="63" t="s">
        <v>85</v>
      </c>
    </row>
    <row r="47" spans="1:8" ht="28.8" x14ac:dyDescent="0.3">
      <c r="A47" s="60">
        <v>3666</v>
      </c>
      <c r="B47" s="70" t="s">
        <v>153</v>
      </c>
      <c r="C47" s="76" t="s">
        <v>154</v>
      </c>
      <c r="D47" s="76">
        <v>1131</v>
      </c>
      <c r="E47" s="61" t="str">
        <f>IFERROR(_xlfn.XLOOKUP(Tabla1[[#This Row],[Código anterior]],'Plan 2009'!$B$2:$B$46,'Plan 2009'!$D$2:$D$46),"No aprobada")</f>
        <v>No aprobada</v>
      </c>
      <c r="F47" s="61" t="str">
        <f>IF(AND(E30&lt;="Cursada", E33&lt;="Cursada", E36&lt;="Cursada"),"Disponible","No disponible")</f>
        <v>No disponible</v>
      </c>
      <c r="G47" s="61">
        <f>IFERROR(VLOOKUP(Tabla1[[#This Row],[Código anterior]],'Plan 2009'!$B$1:$F$46,5,FALSE),0)</f>
        <v>0</v>
      </c>
      <c r="H47" s="63" t="s">
        <v>93</v>
      </c>
    </row>
    <row r="48" spans="1:8" ht="28.8" x14ac:dyDescent="0.3">
      <c r="A48" s="60">
        <v>3667</v>
      </c>
      <c r="B48" s="70" t="s">
        <v>155</v>
      </c>
      <c r="C48" s="76" t="s">
        <v>156</v>
      </c>
      <c r="D48" s="76">
        <v>0</v>
      </c>
      <c r="E48" s="61" t="str">
        <f>IFERROR(_xlfn.XLOOKUP(Tabla1[[#This Row],[Código anterior]],'Plan 2009'!$B$2:$B$46,'Plan 2009'!$D$2:$D$46),"No aprobada")</f>
        <v>No aprobada</v>
      </c>
      <c r="F48" s="61" t="str">
        <f>IF(E28&lt;="Cursada","Disponible","No disponible")</f>
        <v>No disponible</v>
      </c>
      <c r="G48" s="61">
        <f>IFERROR(VLOOKUP(Tabla1[[#This Row],[Código anterior]],'Plan 2009'!$B$1:$F$46,5,FALSE),0)</f>
        <v>0</v>
      </c>
      <c r="H48" s="63" t="s">
        <v>93</v>
      </c>
    </row>
    <row r="49" spans="1:8" ht="28.8" x14ac:dyDescent="0.3">
      <c r="A49" s="60">
        <v>3668</v>
      </c>
      <c r="B49" s="71" t="s">
        <v>157</v>
      </c>
      <c r="C49" s="77" t="s">
        <v>150</v>
      </c>
      <c r="D49" s="77">
        <v>1127</v>
      </c>
      <c r="E49" s="61" t="str">
        <f>IFERROR(_xlfn.XLOOKUP(Tabla1[[#This Row],[Código anterior]],'Plan 2009'!$B$2:$B$46,'Plan 2009'!$D$2:$D$46),"No aprobada")</f>
        <v>No aprobada</v>
      </c>
      <c r="F49" s="61" t="str">
        <f>IF(AND(E37&lt;="Cursada", E45&lt;="Cursada"),"Disponible","No disponible")</f>
        <v>No disponible</v>
      </c>
      <c r="G49" s="61">
        <f>IFERROR(VLOOKUP(Tabla1[[#This Row],[Código anterior]],'Plan 2009'!$B$1:$F$46,5,FALSE),0)</f>
        <v>0</v>
      </c>
      <c r="H49" s="63" t="s">
        <v>85</v>
      </c>
    </row>
    <row r="50" spans="1:8" ht="28.8" x14ac:dyDescent="0.3">
      <c r="A50" s="60">
        <v>3670</v>
      </c>
      <c r="B50" s="71" t="s">
        <v>158</v>
      </c>
      <c r="C50" s="76" t="s">
        <v>159</v>
      </c>
      <c r="D50" s="76">
        <v>0</v>
      </c>
      <c r="E50" s="61" t="str">
        <f>IFERROR(_xlfn.XLOOKUP(Tabla1[[#This Row],[Código anterior]],'Plan 2009'!$B$2:$B$46,'Plan 2009'!$D$2:$D$46),"No aprobada")</f>
        <v>No aprobada</v>
      </c>
      <c r="F50" s="61" t="str">
        <f>IF(AND(E37&lt;="Cursada", E45&lt;="Cursada"),"Disponible","No disponible")</f>
        <v>No disponible</v>
      </c>
      <c r="G50" s="61">
        <f>IFERROR(VLOOKUP(Tabla1[[#This Row],[Código anterior]],'Plan 2009'!$B$1:$F$46,5,FALSE),0)</f>
        <v>0</v>
      </c>
      <c r="H50" s="63" t="s">
        <v>85</v>
      </c>
    </row>
    <row r="51" spans="1:8" ht="28.8" x14ac:dyDescent="0.3">
      <c r="A51" s="60">
        <v>3670</v>
      </c>
      <c r="B51" s="71" t="s">
        <v>160</v>
      </c>
      <c r="C51" s="76" t="s">
        <v>161</v>
      </c>
      <c r="D51" s="76">
        <v>0</v>
      </c>
      <c r="E51" s="61" t="str">
        <f>IFERROR(_xlfn.XLOOKUP(Tabla1[[#This Row],[Código anterior]],'Plan 2009'!$B$2:$B$46,'Plan 2009'!$D$2:$D$46),"No aprobada")</f>
        <v>No aprobada</v>
      </c>
      <c r="F51" s="61" t="str">
        <f>IF(E42&lt;="Cursada","Disponible","No disponible")</f>
        <v>No disponible</v>
      </c>
      <c r="G51" s="61">
        <f>IFERROR(VLOOKUP(Tabla1[[#This Row],[Código anterior]],'Plan 2009'!$B$1:$F$46,5,FALSE),0)</f>
        <v>0</v>
      </c>
      <c r="H51" s="63" t="s">
        <v>103</v>
      </c>
    </row>
    <row r="52" spans="1:8" ht="28.8" x14ac:dyDescent="0.3">
      <c r="A52" s="60">
        <v>3671</v>
      </c>
      <c r="B52" s="71" t="s">
        <v>162</v>
      </c>
      <c r="C52" s="76" t="s">
        <v>162</v>
      </c>
      <c r="D52" s="76">
        <v>1132</v>
      </c>
      <c r="E52" s="61" t="str">
        <f>IFERROR(_xlfn.XLOOKUP(Tabla1[[#This Row],[Código anterior]],'Plan 2009'!$B$2:$B$46,'Plan 2009'!$D$2:$D$46),"No aprobada")</f>
        <v>No aprobada</v>
      </c>
      <c r="F52" s="61" t="str">
        <f>IF(AND(E37&lt;="Cursada", E40&lt;="Cursada", E41&lt;="Cursada", E42&lt;="Cursada", E48&lt;="Cursada"),"Disponible","No disponible")</f>
        <v>No disponible</v>
      </c>
      <c r="G52" s="61">
        <f>IFERROR(VLOOKUP(Tabla1[[#This Row],[Código anterior]],'Plan 2009'!$B$1:$F$46,5,FALSE),0)</f>
        <v>0</v>
      </c>
      <c r="H52" s="63" t="s">
        <v>85</v>
      </c>
    </row>
    <row r="53" spans="1:8" ht="28.8" x14ac:dyDescent="0.3">
      <c r="A53" s="60"/>
      <c r="B53" s="71" t="s">
        <v>163</v>
      </c>
      <c r="C53" s="77" t="s">
        <v>163</v>
      </c>
      <c r="D53" s="77">
        <v>0</v>
      </c>
      <c r="E53" s="61" t="str">
        <f>IFERROR(_xlfn.XLOOKUP(Tabla1[[#This Row],[Código anterior]],'Plan 2009'!$B$2:$B$46,'Plan 2009'!$D$2:$D$46),"No aprobada")</f>
        <v>No aprobada</v>
      </c>
      <c r="F53" s="61" t="str">
        <f>IF(AND(E39&lt;="Cursada", E42&lt;="Cursada", E44 &lt;= "Cursada"),"Disponible","No disponible")</f>
        <v>No disponible</v>
      </c>
      <c r="G53" s="61">
        <f>IFERROR(VLOOKUP(Tabla1[[#This Row],[Código anterior]],'Plan 2009'!$B$1:$F$46,5,FALSE),0)</f>
        <v>0</v>
      </c>
      <c r="H53" s="63" t="s">
        <v>85</v>
      </c>
    </row>
    <row r="54" spans="1:8" ht="28.8" x14ac:dyDescent="0.3">
      <c r="A54" s="60"/>
      <c r="B54" s="71" t="s">
        <v>164</v>
      </c>
      <c r="C54" s="77" t="s">
        <v>164</v>
      </c>
      <c r="D54" s="77">
        <v>0</v>
      </c>
      <c r="E54" s="61" t="str">
        <f>IFERROR(_xlfn.XLOOKUP(Tabla1[[#This Row],[Código anterior]],'Plan 2009'!$B$2:$B$46,'Plan 2009'!$D$2:$D$46),"No aprobada")</f>
        <v>No aprobada</v>
      </c>
      <c r="F54" s="61" t="str">
        <f>IF(AND(E43&lt;="Cursada", E47&lt;="Cursada"),"Disponible","No disponible")</f>
        <v>No disponible</v>
      </c>
      <c r="G54" s="61">
        <f>IFERROR(VLOOKUP(Tabla1[[#This Row],[Código anterior]],'Plan 2009'!$B$1:$F$46,5,FALSE),0)</f>
        <v>0</v>
      </c>
      <c r="H54" s="63" t="s">
        <v>85</v>
      </c>
    </row>
    <row r="55" spans="1:8" ht="28.8" x14ac:dyDescent="0.3">
      <c r="A55" s="60"/>
      <c r="B55" s="71" t="s">
        <v>165</v>
      </c>
      <c r="C55" s="77" t="s">
        <v>165</v>
      </c>
      <c r="D55" s="77">
        <v>0</v>
      </c>
      <c r="E55" s="61" t="str">
        <f>IFERROR(_xlfn.XLOOKUP(Tabla1[[#This Row],[Código anterior]],'Plan 2009'!$B$2:$B$46,'Plan 2009'!$D$2:$D$46),"No aprobada")</f>
        <v>No aprobada</v>
      </c>
      <c r="F55" s="61" t="str">
        <f>IF(AND(E45&lt;="Cursada", E46&lt;="Cursada"),"Disponible","No disponible")</f>
        <v>No disponible</v>
      </c>
      <c r="G55" s="61">
        <f>IFERROR(VLOOKUP(Tabla1[[#This Row],[Código anterior]],'Plan 2009'!$B$1:$F$46,5,FALSE),0)</f>
        <v>0</v>
      </c>
      <c r="H55" s="63" t="s">
        <v>85</v>
      </c>
    </row>
    <row r="56" spans="1:8" ht="28.8" x14ac:dyDescent="0.3">
      <c r="A56" s="60">
        <v>3675</v>
      </c>
      <c r="B56" s="71" t="s">
        <v>166</v>
      </c>
      <c r="C56" s="77" t="s">
        <v>166</v>
      </c>
      <c r="D56" s="77">
        <v>1133</v>
      </c>
      <c r="E56" s="61" t="str">
        <f>IFERROR(_xlfn.XLOOKUP(Tabla1[[#This Row],[Código anterior]],'Plan 2009'!$B$2:$B$46,'Plan 2009'!$D$2:$D$46),"No aprobada")</f>
        <v>No aprobada</v>
      </c>
      <c r="F56" s="61" t="str">
        <f>IF(E23&lt;="Cursada","Disponible","No disponible")</f>
        <v>No disponible</v>
      </c>
      <c r="G56" s="61">
        <f>IFERROR(VLOOKUP(Tabla1[[#This Row],[Código anterior]],'Plan 2009'!$B$1:$F$46,5,FALSE),0)</f>
        <v>0</v>
      </c>
      <c r="H56" s="63"/>
    </row>
    <row r="57" spans="1:8" x14ac:dyDescent="0.3">
      <c r="A57" s="60"/>
      <c r="B57" s="71" t="s">
        <v>167</v>
      </c>
      <c r="C57" s="76" t="s">
        <v>161</v>
      </c>
      <c r="D57" s="76">
        <v>0</v>
      </c>
      <c r="E57" s="61" t="str">
        <f>IFERROR(_xlfn.XLOOKUP(Tabla1[[#This Row],[Código anterior]],'Plan 2009'!$B$2:$B$46,'Plan 2009'!$D$2:$D$46),"No aprobada")</f>
        <v>No aprobada</v>
      </c>
      <c r="F57" s="61" t="str">
        <f>IF(AND(E2&lt;="Cursada", E4&lt;="Cursada", E5&lt;="Cursada", E6 &lt;="Cursada", E7&lt;="Cursada", E11&lt;="Cursada",  E13&lt;="Cursada", E16&lt;="Cursada", E19&lt;="Cursada",  E17&lt;="Cursada"),"Disponible","No disponible")</f>
        <v>No disponible</v>
      </c>
      <c r="G57" s="61">
        <f>IFERROR(VLOOKUP(Tabla1[[#This Row],[Código anterior]],'Plan 2009'!$B$1:$F$46,5,FALSE),0)</f>
        <v>0</v>
      </c>
      <c r="H57" s="63"/>
    </row>
    <row r="58" spans="1:8" ht="28.8" x14ac:dyDescent="0.3">
      <c r="A58" s="60">
        <v>3676</v>
      </c>
      <c r="B58" s="71" t="s">
        <v>168</v>
      </c>
      <c r="C58" s="76" t="s">
        <v>161</v>
      </c>
      <c r="D58" s="76">
        <v>0</v>
      </c>
      <c r="E58" s="61" t="str">
        <f>IFERROR(_xlfn.XLOOKUP(Tabla1[[#This Row],[Código anterior]],'Plan 2009'!$B$2:$B$46,'Plan 2009'!$D$2:$D$46),"No aprobada")</f>
        <v>No aprobada</v>
      </c>
      <c r="F58" s="61" t="str">
        <f>IF(E7&lt;="Cursada","Disponible","No disponible")</f>
        <v>Disponible</v>
      </c>
      <c r="G58" s="61">
        <f>IFERROR(VLOOKUP(Tabla1[[#This Row],[Código anterior]],'Plan 2009'!$B$1:$F$46,5,FALSE),0)</f>
        <v>0</v>
      </c>
      <c r="H58" s="63"/>
    </row>
    <row r="59" spans="1:8" x14ac:dyDescent="0.3">
      <c r="A59" s="60">
        <v>901</v>
      </c>
      <c r="B59" s="61" t="s">
        <v>169</v>
      </c>
      <c r="C59" s="78" t="s">
        <v>169</v>
      </c>
      <c r="D59" s="78">
        <v>901</v>
      </c>
      <c r="E59" s="61" t="str">
        <f>IFERROR(_xlfn.XLOOKUP(Tabla1[[#This Row],[Código anterior]],'Plan 2009'!$B$2:$B$46,'Plan 2009'!$D$2:$D$46),"No aprobada")</f>
        <v>Aprobada</v>
      </c>
      <c r="F59" s="62" t="s">
        <v>74</v>
      </c>
      <c r="G59" s="61">
        <f>IFERROR(VLOOKUP(Tabla1[[#This Row],[Código anterior]],'Plan 2009'!$B$1:$F$46,5,FALSE),0)</f>
        <v>9</v>
      </c>
      <c r="H59" s="63" t="s">
        <v>45</v>
      </c>
    </row>
    <row r="60" spans="1:8" x14ac:dyDescent="0.3">
      <c r="A60" s="60">
        <v>902</v>
      </c>
      <c r="B60" s="61" t="s">
        <v>170</v>
      </c>
      <c r="C60" s="78" t="s">
        <v>170</v>
      </c>
      <c r="D60" s="78">
        <v>902</v>
      </c>
      <c r="E60" s="61" t="str">
        <f>IFERROR(_xlfn.XLOOKUP(Tabla1[[#This Row],[Código anterior]],'Plan 2009'!$B$2:$B$46,'Plan 2009'!$D$2:$D$46),"No aprobada")</f>
        <v>No aprobada</v>
      </c>
      <c r="F60" s="61" t="str">
        <f>IF(E59&lt;="Cursada","Disponible","No disponible")</f>
        <v>Disponible</v>
      </c>
      <c r="G60" s="61">
        <f>IFERROR(VLOOKUP(Tabla1[[#This Row],[Código anterior]],'Plan 2009'!$B$1:$F$46,5,FALSE),0)</f>
        <v>0</v>
      </c>
      <c r="H60" s="63" t="s">
        <v>45</v>
      </c>
    </row>
    <row r="61" spans="1:8" x14ac:dyDescent="0.3">
      <c r="A61" s="60">
        <v>903</v>
      </c>
      <c r="B61" s="61" t="s">
        <v>171</v>
      </c>
      <c r="C61" s="78" t="s">
        <v>171</v>
      </c>
      <c r="D61" s="78">
        <v>903</v>
      </c>
      <c r="E61" s="61" t="str">
        <f>IFERROR(_xlfn.XLOOKUP(Tabla1[[#This Row],[Código anterior]],'Plan 2009'!$B$2:$B$46,'Plan 2009'!$D$2:$D$46),"No aprobada")</f>
        <v>No aprobada</v>
      </c>
      <c r="F61" s="61" t="str">
        <f t="shared" ref="F61:F62" si="0">IF(E60&lt;="Cursada","Disponible","No disponible")</f>
        <v>No disponible</v>
      </c>
      <c r="G61" s="61">
        <f>IFERROR(VLOOKUP(Tabla1[[#This Row],[Código anterior]],'Plan 2009'!$B$1:$F$46,5,FALSE),0)</f>
        <v>0</v>
      </c>
      <c r="H61" s="63" t="s">
        <v>45</v>
      </c>
    </row>
    <row r="62" spans="1:8" x14ac:dyDescent="0.3">
      <c r="A62" s="60">
        <v>904</v>
      </c>
      <c r="B62" s="61" t="s">
        <v>172</v>
      </c>
      <c r="C62" s="78" t="s">
        <v>172</v>
      </c>
      <c r="D62" s="78">
        <v>904</v>
      </c>
      <c r="E62" s="61" t="str">
        <f>IFERROR(_xlfn.XLOOKUP(Tabla1[[#This Row],[Código anterior]],'Plan 2009'!$B$2:$B$46,'Plan 2009'!$D$2:$D$46),"No aprobada")</f>
        <v>No aprobada</v>
      </c>
      <c r="F62" s="61" t="str">
        <f t="shared" si="0"/>
        <v>No disponible</v>
      </c>
      <c r="G62" s="61">
        <f>IFERROR(VLOOKUP(Tabla1[[#This Row],[Código anterior]],'Plan 2009'!$B$1:$F$46,5,FALSE),0)</f>
        <v>0</v>
      </c>
      <c r="H62" s="63" t="s">
        <v>45</v>
      </c>
    </row>
    <row r="63" spans="1:8" x14ac:dyDescent="0.3">
      <c r="A63" s="60">
        <v>911</v>
      </c>
      <c r="B63" s="61" t="s">
        <v>173</v>
      </c>
      <c r="C63" s="78" t="s">
        <v>173</v>
      </c>
      <c r="D63" s="78">
        <v>911</v>
      </c>
      <c r="E63" s="61" t="str">
        <f>IFERROR(_xlfn.XLOOKUP(Tabla1[[#This Row],[Código anterior]],'Plan 2009'!$B$2:$B$46,'Plan 2009'!$D$2:$D$46),"No aprobada")</f>
        <v>Aprobada</v>
      </c>
      <c r="F63" s="62" t="s">
        <v>74</v>
      </c>
      <c r="G63" s="61">
        <f>IFERROR(VLOOKUP(Tabla1[[#This Row],[Código anterior]],'Plan 2009'!$B$1:$F$46,5,FALSE),0)</f>
        <v>7</v>
      </c>
      <c r="H63" s="63" t="s">
        <v>45</v>
      </c>
    </row>
    <row r="64" spans="1:8" x14ac:dyDescent="0.3">
      <c r="A64" s="64">
        <v>912</v>
      </c>
      <c r="B64" s="65" t="s">
        <v>174</v>
      </c>
      <c r="C64" s="79" t="s">
        <v>174</v>
      </c>
      <c r="D64" s="79">
        <v>912</v>
      </c>
      <c r="E64" s="61" t="str">
        <f>IFERROR(_xlfn.XLOOKUP(Tabla1[[#This Row],[Código anterior]],'Plan 2009'!$B$2:$B$46,'Plan 2009'!$D$2:$D$46),"No aprobada")</f>
        <v>No aprobada</v>
      </c>
      <c r="F64" s="65" t="str">
        <f>IF(E63&lt;="Cursada","Disponible","No disponible")</f>
        <v>Disponible</v>
      </c>
      <c r="G64" s="61">
        <f>IFERROR(VLOOKUP(Tabla1[[#This Row],[Código anterior]],'Plan 2009'!$B$1:$F$46,5,FALSE),0)</f>
        <v>0</v>
      </c>
      <c r="H64" s="66" t="s">
        <v>45</v>
      </c>
    </row>
  </sheetData>
  <mergeCells count="8">
    <mergeCell ref="J6:L6"/>
    <mergeCell ref="N6:P6"/>
    <mergeCell ref="J2:L2"/>
    <mergeCell ref="J3:L3"/>
    <mergeCell ref="N2:P2"/>
    <mergeCell ref="N3:P3"/>
    <mergeCell ref="J5:L5"/>
    <mergeCell ref="N5:P5"/>
  </mergeCells>
  <conditionalFormatting sqref="E2:E64">
    <cfRule type="cellIs" dxfId="18" priority="7" operator="equal">
      <formula>"Cursada"</formula>
    </cfRule>
    <cfRule type="cellIs" dxfId="17" priority="8" operator="equal">
      <formula>"Aprobada"</formula>
    </cfRule>
  </conditionalFormatting>
  <conditionalFormatting sqref="F2:F64">
    <cfRule type="cellIs" dxfId="16" priority="6" operator="equal">
      <formula>"Disponible"</formula>
    </cfRule>
  </conditionalFormatting>
  <conditionalFormatting sqref="G2:G64">
    <cfRule type="cellIs" dxfId="15" priority="1" operator="lessThan">
      <formula>5</formula>
    </cfRule>
    <cfRule type="cellIs" priority="2" operator="equal">
      <formula>0</formula>
    </cfRule>
    <cfRule type="cellIs" dxfId="14" priority="4" operator="greaterThanOrEqual">
      <formula>8</formula>
    </cfRule>
    <cfRule type="cellIs" dxfId="13" priority="5" operator="greaterThanOrEqual">
      <formula>5</formula>
    </cfRule>
  </conditionalFormatting>
  <dataValidations count="2">
    <dataValidation type="list" showInputMessage="1" showErrorMessage="1" sqref="E2:E64" xr:uid="{3B05C073-7011-4C1D-A300-27B5CC222D84}">
      <formula1>"Aprobada,Cursada,No aprobada"</formula1>
    </dataValidation>
    <dataValidation type="list" allowBlank="1" showInputMessage="1" showErrorMessage="1" sqref="H2:H64" xr:uid="{53412617-1084-4AA0-83DC-3E81FE28BA3F}">
      <formula1>"Ciencias Básicas,Programación,Infraestructura,Desarrollo de Software,Calidad y seguridad de la información,Gestión y complementarias,Transversales"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225B-0815-4573-A25D-8D180A0CB709}">
  <dimension ref="A1:C6"/>
  <sheetViews>
    <sheetView workbookViewId="0">
      <selection activeCell="G8" sqref="G8"/>
    </sheetView>
  </sheetViews>
  <sheetFormatPr baseColWidth="10" defaultRowHeight="14.4" x14ac:dyDescent="0.3"/>
  <cols>
    <col min="2" max="2" width="22.88671875" bestFit="1" customWidth="1"/>
    <col min="3" max="3" width="19.33203125" bestFit="1" customWidth="1"/>
  </cols>
  <sheetData>
    <row r="1" spans="1:3" x14ac:dyDescent="0.3">
      <c r="A1" s="80" t="s">
        <v>175</v>
      </c>
      <c r="B1" s="80" t="s">
        <v>176</v>
      </c>
      <c r="C1" s="80" t="s">
        <v>177</v>
      </c>
    </row>
    <row r="2" spans="1:3" x14ac:dyDescent="0.3">
      <c r="A2" s="83" t="s">
        <v>178</v>
      </c>
      <c r="B2" s="83" t="s">
        <v>179</v>
      </c>
      <c r="C2" s="83" t="s">
        <v>180</v>
      </c>
    </row>
    <row r="3" spans="1:3" x14ac:dyDescent="0.3">
      <c r="A3" s="83" t="s">
        <v>181</v>
      </c>
      <c r="B3" s="83" t="s">
        <v>182</v>
      </c>
      <c r="C3" s="83" t="s">
        <v>183</v>
      </c>
    </row>
    <row r="4" spans="1:3" x14ac:dyDescent="0.3">
      <c r="A4" s="81" t="s">
        <v>184</v>
      </c>
      <c r="B4" s="81" t="s">
        <v>185</v>
      </c>
      <c r="C4" s="81"/>
    </row>
    <row r="5" spans="1:3" x14ac:dyDescent="0.3">
      <c r="A5" s="83" t="s">
        <v>186</v>
      </c>
      <c r="B5" s="83" t="s">
        <v>187</v>
      </c>
      <c r="C5" s="83" t="s">
        <v>180</v>
      </c>
    </row>
    <row r="6" spans="1:3" x14ac:dyDescent="0.3">
      <c r="A6" s="82" t="s">
        <v>188</v>
      </c>
      <c r="B6" s="82" t="s">
        <v>189</v>
      </c>
      <c r="C6" s="8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2009</vt:lpstr>
      <vt:lpstr>Plan 2023 (Transición)</vt:lpstr>
      <vt:lpstr>Dias de cursada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</dc:creator>
  <cp:keywords/>
  <dc:description/>
  <cp:lastModifiedBy>Calvo, Ignacio</cp:lastModifiedBy>
  <cp:revision/>
  <dcterms:created xsi:type="dcterms:W3CDTF">2013-03-31T23:24:15Z</dcterms:created>
  <dcterms:modified xsi:type="dcterms:W3CDTF">2023-10-26T13:27:11Z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216557cb-e1c6-48d3-9e4e-fa6c1426c273</vt:lpwstr>
  </property>
</Properties>
</file>