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Default Extension="jpeg" ContentType="image/jpeg"/>
  <Default Extension="gif" ContentType="image/gif"/>
  <Default Extension="bin" ContentType="application/vnd.ms-office.vbaProject"/>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comment1.xml" ContentType="application/vnd.openxmlformats-officedocument.spreadsheetml.comments+xml"/>
  <Override PartName="/xl/worksheets/sheet4.xml" ContentType="application/vnd.openxmlformats-officedocument.spreadsheetml.worksheet+xml"/>
  <Override PartName="/xl/drawings/drawing2.xml" ContentType="application/vnd.openxmlformats-officedocument.drawing+xml"/>
  <Override PartName="/xl/worksheets/sheet5.xml" ContentType="application/vnd.openxmlformats-officedocument.spreadsheetml.worksheet+xml"/>
  <Override PartName="/xl/drawings/drawing3.xml" ContentType="application/vnd.openxmlformats-officedocument.drawing+xml"/>
  <Override PartName="/xl/worksheets/sheet6.xml" ContentType="application/vnd.openxmlformats-officedocument.spreadsheetml.worksheet+xml"/>
  <Override PartName="/xl/drawings/drawing4.xml" ContentType="application/vnd.openxmlformats-officedocument.drawing+xml"/>
  <Override PartName="/xl/comments/comment2.xml" ContentType="application/vnd.openxmlformats-officedocument.spreadsheetml.comments+xml"/>
  <Override PartName="/xl/worksheets/sheet7.xml" ContentType="application/vnd.openxmlformats-officedocument.spreadsheetml.worksheet+xml"/>
  <Override PartName="/xl/drawings/drawing5.xml" ContentType="application/vnd.openxmlformats-officedocument.drawing+xml"/>
  <Override PartName="/xl/comments/comment3.xml" ContentType="application/vnd.openxmlformats-officedocument.spreadsheetml.comments+xml"/>
  <Override PartName="/xl/worksheets/sheet8.xml" ContentType="application/vnd.openxmlformats-officedocument.spreadsheetml.worksheet+xml"/>
  <Override PartName="/xl/drawings/drawing6.xml" ContentType="application/vnd.openxmlformats-officedocument.drawing+xml"/>
  <Override PartName="/xl/comments/comment4.xml" ContentType="application/vnd.openxmlformats-officedocument.spreadsheetml.comments+xml"/>
  <Override PartName="/xl/worksheets/sheet9.xml" ContentType="application/vnd.openxmlformats-officedocument.spreadsheetml.worksheet+xml"/>
  <Override PartName="/xl/drawings/drawing7.xml" ContentType="application/vnd.openxmlformats-officedocument.drawing+xml"/>
  <Override PartName="/xl/comments/comment5.xml" ContentType="application/vnd.openxmlformats-officedocument.spreadsheetml.comments+xml"/>
  <Override PartName="/xl/worksheets/sheet10.xml" ContentType="application/vnd.openxmlformats-officedocument.spreadsheetml.worksheet+xml"/>
  <Override PartName="/xl/drawings/drawing8.xml" ContentType="application/vnd.openxmlformats-officedocument.drawing+xml"/>
  <Override PartName="/xl/comments/comment6.xml" ContentType="application/vnd.openxmlformats-officedocument.spreadsheetml.comments+xml"/>
  <Override PartName="/xl/worksheets/sheet11.xml" ContentType="application/vnd.openxmlformats-officedocument.spreadsheetml.worksheet+xml"/>
  <Override PartName="/xl/drawings/drawing9.xml" ContentType="application/vnd.openxmlformats-officedocument.drawing+xml"/>
  <Override PartName="/xl/comments/comment7.xml" ContentType="application/vnd.openxmlformats-officedocument.spreadsheetml.comments+xml"/>
  <Override PartName="/xl/worksheets/sheet12.xml" ContentType="application/vnd.openxmlformats-officedocument.spreadsheetml.worksheet+xml"/>
  <Override PartName="/xl/drawings/drawing10.xml" ContentType="application/vnd.openxmlformats-officedocument.drawing+xml"/>
  <Override PartName="/xl/comments/comment8.xml" ContentType="application/vnd.openxmlformats-officedocument.spreadsheetml.comments+xml"/>
  <Override PartName="/xl/worksheets/sheet13.xml" ContentType="application/vnd.openxmlformats-officedocument.spreadsheetml.worksheet+xml"/>
  <Override PartName="/xl/drawings/drawing11.xml" ContentType="application/vnd.openxmlformats-officedocument.drawing+xml"/>
  <Override PartName="/xl/comments/comment9.xml" ContentType="application/vnd.openxmlformats-officedocument.spreadsheetml.comments+xml"/>
  <Override PartName="/xl/worksheets/sheet14.xml" ContentType="application/vnd.openxmlformats-officedocument.spreadsheetml.worksheet+xml"/>
  <Override PartName="/xl/drawings/drawing12.xml" ContentType="application/vnd.openxmlformats-officedocument.drawing+xml"/>
  <Override PartName="/xl/comments/comment10.xml" ContentType="application/vnd.openxmlformats-officedocument.spreadsheetml.comments+xml"/>
  <Override PartName="/xl/worksheets/sheet15.xml" ContentType="application/vnd.openxmlformats-officedocument.spreadsheetml.worksheet+xml"/>
  <Override PartName="/xl/drawings/drawing13.xml" ContentType="application/vnd.openxmlformats-officedocument.drawing+xml"/>
  <Override PartName="/xl/comments/comment11.xml" ContentType="application/vnd.openxmlformats-officedocument.spreadsheetml.comments+xml"/>
  <Override PartName="/xl/worksheets/sheet16.xml" ContentType="application/vnd.openxmlformats-officedocument.spreadsheetml.worksheet+xml"/>
  <Override PartName="/xl/drawings/drawing14.xml" ContentType="application/vnd.openxmlformats-officedocument.drawing+xml"/>
  <Override PartName="/xl/comments/comment12.xml" ContentType="application/vnd.openxmlformats-officedocument.spreadsheetml.comments+xml"/>
  <Override PartName="/xl/worksheets/sheet17.xml" ContentType="application/vnd.openxmlformats-officedocument.spreadsheetml.worksheet+xml"/>
  <Override PartName="/xl/drawings/drawing15.xml" ContentType="application/vnd.openxmlformats-officedocument.drawing+xml"/>
  <Override PartName="/xl/comments/comment13.xml" ContentType="application/vnd.openxmlformats-officedocument.spreadsheetml.comments+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4" activeTab="11" autoFilterDateGrouping="1"/>
  </bookViews>
  <sheets>
    <sheet xmlns:r="http://schemas.openxmlformats.org/officeDocument/2006/relationships" name="Validador" sheetId="1" state="hidden" r:id="rId1"/>
    <sheet xmlns:r="http://schemas.openxmlformats.org/officeDocument/2006/relationships" name="ET" sheetId="2" state="hidden" r:id="rId2"/>
    <sheet xmlns:r="http://schemas.openxmlformats.org/officeDocument/2006/relationships" name="SIG.A" sheetId="3" state="hidden" r:id="rId3"/>
    <sheet xmlns:r="http://schemas.openxmlformats.org/officeDocument/2006/relationships" name="CLASF. PERDIDAS" sheetId="4" state="visible" r:id="rId4"/>
    <sheet xmlns:r="http://schemas.openxmlformats.org/officeDocument/2006/relationships" name="INSTRUCTIVO" sheetId="5" state="visible" r:id="rId5"/>
    <sheet xmlns:r="http://schemas.openxmlformats.org/officeDocument/2006/relationships" name="ENERO" sheetId="6" state="visible" r:id="rId6"/>
    <sheet xmlns:r="http://schemas.openxmlformats.org/officeDocument/2006/relationships" name="FEBRERO" sheetId="7" state="visible" r:id="rId7"/>
    <sheet xmlns:r="http://schemas.openxmlformats.org/officeDocument/2006/relationships" name="MARZO" sheetId="8" state="visible" r:id="rId8"/>
    <sheet xmlns:r="http://schemas.openxmlformats.org/officeDocument/2006/relationships" name="ABRIL" sheetId="9" state="visible" r:id="rId9"/>
    <sheet xmlns:r="http://schemas.openxmlformats.org/officeDocument/2006/relationships" name="MAYO" sheetId="10" state="visible" r:id="rId10"/>
    <sheet xmlns:r="http://schemas.openxmlformats.org/officeDocument/2006/relationships" name="JUNIO" sheetId="11" state="visible" r:id="rId11"/>
    <sheet xmlns:r="http://schemas.openxmlformats.org/officeDocument/2006/relationships" name="JULIO" sheetId="12" state="visible" r:id="rId12"/>
    <sheet xmlns:r="http://schemas.openxmlformats.org/officeDocument/2006/relationships" name="AGOSTO" sheetId="13" state="visible" r:id="rId13"/>
    <sheet xmlns:r="http://schemas.openxmlformats.org/officeDocument/2006/relationships" name="SEPTIEMBRE" sheetId="14" state="visible" r:id="rId14"/>
    <sheet xmlns:r="http://schemas.openxmlformats.org/officeDocument/2006/relationships" name="OCTUBRE" sheetId="15" state="visible" r:id="rId15"/>
    <sheet xmlns:r="http://schemas.openxmlformats.org/officeDocument/2006/relationships" name="NOVIEMBRE" sheetId="16" state="visible" r:id="rId16"/>
    <sheet xmlns:r="http://schemas.openxmlformats.org/officeDocument/2006/relationships" name="DICIEMBRE" sheetId="17" state="visible" r:id="rId17"/>
  </sheets>
  <externalReferences>
    <externalReference xmlns:r="http://schemas.openxmlformats.org/officeDocument/2006/relationships" r:id="rId18"/>
    <externalReference xmlns:r="http://schemas.openxmlformats.org/officeDocument/2006/relationships" r:id="rId19"/>
  </externalReferences>
  <definedNames>
    <definedName name="_xlnm._FilterDatabase" localSheetId="0" hidden="1">'Validador'!$A$1</definedName>
    <definedName name="_xlnm._FilterDatabase" localSheetId="1" hidden="1">'ET'!$A$1:$D$1123</definedName>
  </definedNames>
  <calcPr calcId="191029" fullCalcOnLoad="1"/>
</workbook>
</file>

<file path=xl/styles.xml><?xml version="1.0" encoding="utf-8"?>
<styleSheet xmlns="http://schemas.openxmlformats.org/spreadsheetml/2006/main">
  <numFmts count="10">
    <numFmt numFmtId="164" formatCode="_(* #,##0_);_(* \(#,##0\);_(* &quot;-&quot;??_);_(@_)"/>
    <numFmt numFmtId="165" formatCode="_ * #,##0_ ;_ * \-#,##0_ ;_ * &quot;-&quot;??_ ;_ @_ "/>
    <numFmt numFmtId="166" formatCode="dd/mm/yyyy;@"/>
    <numFmt numFmtId="167" formatCode="d/mm/yyyy;@"/>
    <numFmt numFmtId="168" formatCode="0.0%"/>
    <numFmt numFmtId="169" formatCode="#,##0.0"/>
    <numFmt numFmtId="170" formatCode="0.0"/>
    <numFmt numFmtId="171" formatCode="#,##0_ ;\-#,##0\ "/>
    <numFmt numFmtId="172" formatCode="#,##0.0_ ;\-#,##0.0\ "/>
    <numFmt numFmtId="173" formatCode="_ * #,##0.00_ ;_ * \-#,##0.00_ ;_ * &quot;-&quot;??_ ;_ @_ "/>
  </numFmts>
  <fonts count="98">
    <font>
      <name val="Calibri"/>
      <family val="2"/>
      <color theme="1"/>
      <sz val="11"/>
      <scheme val="minor"/>
    </font>
    <font>
      <name val="Calibri"/>
      <family val="2"/>
      <color theme="1"/>
      <sz val="11"/>
      <scheme val="minor"/>
    </font>
    <font>
      <name val="Arial "/>
      <color theme="1"/>
      <sz val="11"/>
    </font>
    <font>
      <name val="Arial "/>
      <b val="1"/>
      <color theme="1"/>
      <sz val="14"/>
    </font>
    <font>
      <name val="Arial "/>
      <b val="1"/>
      <color theme="1"/>
      <sz val="11"/>
    </font>
    <font>
      <name val="Arial "/>
      <b val="1"/>
      <color rgb="FF0070C0"/>
      <sz val="18"/>
    </font>
    <font>
      <name val="Arial "/>
      <b val="1"/>
      <color rgb="FFFF0000"/>
      <sz val="18"/>
    </font>
    <font>
      <name val="Arial "/>
      <color rgb="FFFF0000"/>
      <sz val="18"/>
    </font>
    <font>
      <name val="Arial "/>
      <b val="1"/>
      <color theme="3" tint="-0.249977111117893"/>
      <sz val="16"/>
    </font>
    <font>
      <name val="Arial "/>
      <b val="1"/>
      <color theme="1"/>
      <sz val="9"/>
    </font>
    <font>
      <name val="Arial "/>
      <b val="1"/>
      <sz val="8"/>
    </font>
    <font>
      <name val="Arial "/>
      <b val="1"/>
      <sz val="7"/>
    </font>
    <font>
      <name val="Arial "/>
      <b val="1"/>
      <sz val="10"/>
    </font>
    <font>
      <name val="Arial "/>
      <b val="1"/>
      <color theme="1"/>
      <sz val="10"/>
    </font>
    <font>
      <name val="Arial"/>
      <family val="2"/>
      <sz val="10"/>
    </font>
    <font>
      <name val="Arial "/>
      <b val="1"/>
      <sz val="12"/>
    </font>
    <font>
      <name val="Arial "/>
      <sz val="10"/>
    </font>
    <font>
      <name val="Arial "/>
      <sz val="14"/>
    </font>
    <font>
      <name val="Arial "/>
      <color theme="1"/>
      <sz val="10"/>
    </font>
    <font>
      <name val="Arial "/>
      <b val="1"/>
      <color theme="1"/>
      <sz val="16"/>
    </font>
    <font>
      <name val="Arial "/>
      <b val="1"/>
      <color rgb="FFFF0000"/>
      <sz val="16"/>
    </font>
    <font>
      <name val="Tahoma"/>
      <family val="2"/>
      <b val="1"/>
      <color indexed="81"/>
      <sz val="9"/>
    </font>
    <font>
      <name val="Tahoma"/>
      <family val="2"/>
      <color indexed="81"/>
      <sz val="9"/>
    </font>
    <font>
      <name val="Tahoma"/>
      <family val="2"/>
      <b val="1"/>
      <color indexed="81"/>
      <sz val="7"/>
    </font>
    <font>
      <name val="Tahoma"/>
      <family val="2"/>
      <color indexed="81"/>
      <sz val="7"/>
    </font>
    <font>
      <name val="Tahoma"/>
      <family val="2"/>
      <b val="1"/>
      <color indexed="81"/>
      <sz val="8"/>
    </font>
    <font>
      <name val="Tahoma"/>
      <family val="2"/>
      <color indexed="81"/>
      <sz val="8"/>
    </font>
    <font>
      <name val="Tahoma"/>
      <family val="2"/>
      <b val="1"/>
      <color indexed="81"/>
      <sz val="10"/>
    </font>
    <font>
      <name val="Calibri"/>
      <family val="2"/>
      <sz val="8"/>
      <scheme val="minor"/>
    </font>
    <font>
      <name val="Arial"/>
      <family val="2"/>
      <color theme="1"/>
      <sz val="11"/>
    </font>
    <font>
      <name val="Tahoma"/>
      <family val="2"/>
      <b val="1"/>
      <color indexed="81"/>
      <sz val="11"/>
    </font>
    <font>
      <name val="Tahoma"/>
      <family val="2"/>
      <color indexed="81"/>
      <sz val="11"/>
    </font>
    <font>
      <name val="Nunito "/>
      <color theme="1"/>
      <sz val="11"/>
    </font>
    <font>
      <name val="Nunito "/>
      <b val="1"/>
      <color theme="0"/>
      <sz val="14"/>
    </font>
    <font>
      <name val="Nunito "/>
      <color theme="1" tint="0.249977111117893"/>
      <sz val="11"/>
    </font>
    <font>
      <name val="Nunito "/>
      <b val="1"/>
      <color theme="1" tint="0.249977111117893"/>
      <sz val="11"/>
    </font>
    <font>
      <name val="Nunito "/>
      <b val="1"/>
      <i val="1"/>
      <color theme="1" tint="0.249977111117893"/>
      <sz val="11"/>
    </font>
    <font>
      <name val="Nunito "/>
      <color theme="1" tint="0.249977111117893"/>
      <sz val="11"/>
      <u val="single"/>
    </font>
    <font>
      <name val="Calibri"/>
      <family val="2"/>
      <b val="1"/>
      <color theme="0"/>
      <sz val="11"/>
      <scheme val="minor"/>
    </font>
    <font>
      <name val="Arial"/>
      <family val="2"/>
      <b val="1"/>
      <color theme="1" tint="0.3499862666707358"/>
      <sz val="11"/>
    </font>
    <font>
      <name val="Arial "/>
      <b val="1"/>
      <color theme="1" tint="0.3499862666707358"/>
      <sz val="9"/>
    </font>
    <font>
      <name val="Arial"/>
      <family val="2"/>
      <color theme="1" tint="0.3499862666707358"/>
      <sz val="11"/>
    </font>
    <font>
      <name val="Arial"/>
      <family val="2"/>
      <color rgb="FF4B4B4B"/>
      <sz val="11"/>
    </font>
    <font>
      <name val="Calibri"/>
      <family val="2"/>
      <color theme="0"/>
      <sz val="11"/>
      <scheme val="minor"/>
    </font>
    <font>
      <name val="Arial "/>
      <color theme="1" tint="0.3499862666707358"/>
      <sz val="11"/>
    </font>
    <font>
      <name val="Arial "/>
      <color theme="1" tint="0.3499862666707358"/>
      <sz val="9"/>
    </font>
    <font>
      <name val="Arial Narrow"/>
      <family val="2"/>
      <b val="1"/>
      <color rgb="FF49877D"/>
      <sz val="16"/>
    </font>
    <font>
      <name val="Arial Narrow"/>
      <family val="2"/>
      <color theme="1"/>
      <sz val="11"/>
    </font>
    <font>
      <name val="Arial Narrow"/>
      <family val="2"/>
      <b val="1"/>
      <color theme="1"/>
      <sz val="14"/>
    </font>
    <font>
      <name val="Arial Narrow"/>
      <family val="2"/>
      <b val="1"/>
      <color theme="1"/>
      <sz val="11"/>
    </font>
    <font>
      <name val="Arial Narrow"/>
      <family val="2"/>
      <b val="1"/>
      <color rgb="FF73B3A9"/>
      <sz val="39"/>
    </font>
    <font>
      <name val="Arial Narrow"/>
      <family val="2"/>
      <b val="1"/>
      <color rgb="FFFF0000"/>
      <sz val="18"/>
    </font>
    <font>
      <name val="Arial Narrow"/>
      <family val="2"/>
      <color rgb="FFFF0000"/>
      <sz val="18"/>
    </font>
    <font>
      <name val="Arial Narrow"/>
      <family val="2"/>
      <b val="1"/>
      <color rgb="FF49877D"/>
      <sz val="14"/>
    </font>
    <font>
      <name val="Arial Narrow"/>
      <family val="2"/>
      <sz val="14"/>
    </font>
    <font>
      <name val="Arial Narrow"/>
      <family val="2"/>
      <color theme="1"/>
      <sz val="9"/>
    </font>
    <font>
      <name val="Arial Narrow"/>
      <family val="2"/>
      <b val="1"/>
      <color rgb="FFFF0000"/>
      <sz val="14"/>
    </font>
    <font>
      <name val="Arial Narrow"/>
      <family val="2"/>
      <b val="1"/>
      <color theme="3" tint="-0.249977111117893"/>
      <sz val="16"/>
    </font>
    <font>
      <name val="Arial Narrow"/>
      <family val="2"/>
      <b val="1"/>
      <color theme="1"/>
      <sz val="9"/>
    </font>
    <font>
      <name val="Arial Narrow"/>
      <family val="2"/>
      <b val="1"/>
      <color theme="1"/>
      <sz val="10"/>
    </font>
    <font>
      <name val="Arial Narrow"/>
      <family val="2"/>
      <b val="1"/>
      <color theme="0" tint="-0.0499893185216834"/>
      <sz val="9"/>
    </font>
    <font>
      <name val="Arial Narrow"/>
      <family val="2"/>
      <b val="1"/>
      <sz val="9"/>
    </font>
    <font>
      <name val="Arial Narrow"/>
      <family val="2"/>
      <b val="1"/>
      <sz val="11"/>
    </font>
    <font>
      <name val="Arial Narrow"/>
      <family val="2"/>
      <b val="1"/>
      <sz val="20"/>
    </font>
    <font>
      <name val="Arial Narrow"/>
      <family val="2"/>
      <b val="1"/>
      <sz val="10"/>
    </font>
    <font>
      <name val="Arial Narrow"/>
      <family val="2"/>
      <sz val="11"/>
    </font>
    <font>
      <name val="Arial Narrow"/>
      <family val="2"/>
      <sz val="9"/>
    </font>
    <font>
      <name val="Arial Narrow"/>
      <family val="2"/>
      <sz val="12"/>
    </font>
    <font>
      <name val="Arial Narrow"/>
      <family val="2"/>
      <b val="1"/>
      <sz val="12"/>
    </font>
    <font>
      <name val="Arial Narrow"/>
      <family val="2"/>
      <sz val="10"/>
    </font>
    <font>
      <name val="Arial Narrow"/>
      <family val="2"/>
      <color theme="1"/>
      <sz val="10"/>
    </font>
    <font>
      <name val="Arial Narrow"/>
      <family val="2"/>
      <b val="1"/>
      <color theme="1"/>
      <sz val="12"/>
    </font>
    <font>
      <name val="Arial Narrow"/>
      <family val="2"/>
      <b val="1"/>
      <color theme="1"/>
      <sz val="8"/>
    </font>
    <font>
      <name val="Arial Narrow"/>
      <family val="2"/>
      <b val="1"/>
      <sz val="8"/>
    </font>
    <font>
      <name val="Arial Narrow"/>
      <family val="2"/>
      <b val="1"/>
      <color theme="0" tint="-0.0499893185216834"/>
      <sz val="28"/>
    </font>
    <font>
      <name val="Arial Narrow"/>
      <family val="2"/>
      <b val="1"/>
      <color theme="0" tint="-0.0499893185216834"/>
      <sz val="36"/>
    </font>
    <font>
      <name val="Arial Narrow"/>
      <family val="2"/>
      <color rgb="FF49877D"/>
      <sz val="10"/>
    </font>
    <font>
      <name val="Arial Narrow"/>
      <family val="2"/>
      <b val="1"/>
      <color theme="9" tint="-0.249977111117893"/>
      <sz val="20"/>
    </font>
    <font>
      <name val="Arial Narrow"/>
      <family val="2"/>
      <b val="1"/>
      <sz val="22"/>
    </font>
    <font>
      <name val="Arial Narrow"/>
      <family val="2"/>
      <sz val="12"/>
      <u val="single"/>
    </font>
    <font>
      <name val="Arial Narrow"/>
      <family val="2"/>
      <b val="1"/>
      <color theme="1"/>
      <sz val="20"/>
    </font>
    <font>
      <name val="Arial Narrow"/>
      <family val="2"/>
      <b val="1"/>
      <color theme="1"/>
      <sz val="16"/>
    </font>
    <font>
      <name val="Arial Narrow"/>
      <family val="2"/>
      <b val="1"/>
      <color theme="0"/>
      <sz val="9"/>
    </font>
    <font>
      <name val="Arial Narrow"/>
      <family val="2"/>
      <color theme="1"/>
      <sz val="12"/>
    </font>
    <font>
      <name val="Tahoma"/>
      <family val="2"/>
      <color indexed="81"/>
      <sz val="10"/>
    </font>
    <font>
      <name val="Arial Narrow"/>
      <family val="2"/>
      <b val="1"/>
      <color rgb="FFFF0000"/>
      <sz val="22"/>
    </font>
    <font>
      <name val="Arial Narrow"/>
      <family val="2"/>
      <b val="1"/>
      <color theme="0" tint="-0.0499893185216834"/>
      <sz val="16"/>
    </font>
    <font>
      <name val="Nunito "/>
      <color theme="0"/>
      <sz val="16"/>
    </font>
    <font>
      <name val="Nunito "/>
      <b val="1"/>
      <color theme="0"/>
      <sz val="16"/>
    </font>
    <font>
      <name val="Nunito "/>
      <sz val="11"/>
    </font>
    <font>
      <name val="Nunito "/>
      <b val="1"/>
      <color theme="1"/>
      <sz val="11"/>
    </font>
    <font>
      <name val="Nunito "/>
      <b val="1"/>
      <color theme="1"/>
      <sz val="11"/>
      <u val="single"/>
    </font>
    <font>
      <name val="Nunito"/>
      <color theme="1"/>
      <sz val="11"/>
    </font>
    <font>
      <name val="Nunito "/>
      <b val="1"/>
      <color theme="1" tint="0.249977111117893"/>
      <sz val="12"/>
    </font>
    <font>
      <name val="Nunito "/>
      <b val="1"/>
      <sz val="11"/>
    </font>
    <font>
      <name val="Nunito "/>
      <b val="1"/>
      <i val="1"/>
      <sz val="11"/>
    </font>
    <font>
      <name val="Arial Narrow"/>
      <family val="2"/>
      <b val="1"/>
      <color rgb="FFFF0000"/>
      <sz val="9"/>
    </font>
    <font>
      <name val="Arial"/>
      <family val="2"/>
      <color theme="1"/>
      <sz val="10"/>
    </font>
  </fonts>
  <fills count="37">
    <fill>
      <patternFill/>
    </fill>
    <fill>
      <patternFill patternType="gray125"/>
    </fill>
    <fill>
      <patternFill patternType="solid">
        <fgColor theme="3" tint="0.5999938962981048"/>
        <bgColor indexed="64"/>
      </patternFill>
    </fill>
    <fill>
      <patternFill patternType="solid">
        <fgColor theme="0"/>
        <bgColor indexed="64"/>
      </patternFill>
    </fill>
    <fill>
      <patternFill patternType="solid">
        <fgColor theme="4" tint="0.5999938962981048"/>
        <bgColor indexed="64"/>
      </patternFill>
    </fill>
    <fill>
      <patternFill patternType="solid">
        <fgColor rgb="FFFFFF00"/>
        <bgColor indexed="64"/>
      </patternFill>
    </fill>
    <fill>
      <patternFill patternType="solid">
        <fgColor rgb="FFFFCCFF"/>
        <bgColor indexed="64"/>
      </patternFill>
    </fill>
    <fill>
      <patternFill patternType="solid">
        <fgColor theme="9" tint="0.5999938962981048"/>
        <bgColor indexed="64"/>
      </patternFill>
    </fill>
    <fill>
      <patternFill patternType="solid">
        <fgColor theme="3" tint="0.7999816888943144"/>
        <bgColor indexed="64"/>
      </patternFill>
    </fill>
    <fill>
      <patternFill patternType="solid">
        <fgColor rgb="FFFFFFCC"/>
        <bgColor indexed="64"/>
      </patternFill>
    </fill>
    <fill>
      <patternFill patternType="solid">
        <fgColor theme="6" tint="0.3999755851924192"/>
        <bgColor indexed="64"/>
      </patternFill>
    </fill>
    <fill>
      <patternFill patternType="solid">
        <fgColor theme="7" tint="0.5999938962981048"/>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rgb="FFE3EBB1"/>
        <bgColor indexed="64"/>
      </patternFill>
    </fill>
    <fill>
      <patternFill patternType="solid">
        <fgColor theme="6" tint="0.5999938962981048"/>
        <bgColor indexed="64"/>
      </patternFill>
    </fill>
    <fill>
      <patternFill patternType="solid">
        <fgColor rgb="FFFF0000"/>
        <bgColor indexed="64"/>
      </patternFill>
    </fill>
    <fill>
      <patternFill patternType="solid">
        <fgColor rgb="FF00B050"/>
        <bgColor indexed="64"/>
      </patternFill>
    </fill>
    <fill>
      <patternFill patternType="solid">
        <fgColor theme="5" tint="0.7999816888943144"/>
        <bgColor indexed="64"/>
      </patternFill>
    </fill>
    <fill>
      <patternFill patternType="solid">
        <fgColor theme="9" tint="0.7999816888943144"/>
        <bgColor indexed="64"/>
      </patternFill>
    </fill>
    <fill>
      <patternFill patternType="solid">
        <fgColor theme="4" tint="0.7999816888943144"/>
        <bgColor indexed="64"/>
      </patternFill>
    </fill>
    <fill>
      <patternFill patternType="solid">
        <fgColor rgb="FF73B9AF"/>
        <bgColor indexed="64"/>
      </patternFill>
    </fill>
    <fill>
      <patternFill patternType="solid">
        <fgColor rgb="FF49877D"/>
        <bgColor indexed="64"/>
      </patternFill>
    </fill>
    <fill>
      <patternFill patternType="solid">
        <fgColor rgb="FFB4D6D0"/>
        <bgColor indexed="64"/>
      </patternFill>
    </fill>
    <fill>
      <patternFill patternType="solid">
        <fgColor theme="0" tint="-0.0499893185216834"/>
        <bgColor indexed="64"/>
      </patternFill>
    </fill>
    <fill>
      <patternFill patternType="solid">
        <fgColor theme="0" tint="-0.3499862666707358"/>
        <bgColor indexed="64"/>
      </patternFill>
    </fill>
    <fill>
      <patternFill patternType="solid">
        <fgColor rgb="FF35615A"/>
        <bgColor indexed="64"/>
      </patternFill>
    </fill>
    <fill>
      <patternFill patternType="solid">
        <fgColor theme="9" tint="0.3999755851924192"/>
        <bgColor indexed="64"/>
      </patternFill>
    </fill>
    <fill>
      <patternFill patternType="solid">
        <fgColor theme="5" tint="0.5999938962981048"/>
        <bgColor indexed="64"/>
      </patternFill>
    </fill>
    <fill>
      <patternFill patternType="solid">
        <fgColor theme="8" tint="0.5999938962981048"/>
        <bgColor indexed="64"/>
      </patternFill>
    </fill>
    <fill>
      <patternFill patternType="solid">
        <fgColor theme="5" tint="0.3999755851924192"/>
        <bgColor indexed="64"/>
      </patternFill>
    </fill>
    <fill>
      <patternFill patternType="solid">
        <fgColor theme="8" tint="0.3999755851924192"/>
        <bgColor indexed="64"/>
      </patternFill>
    </fill>
    <fill>
      <patternFill patternType="solid">
        <fgColor theme="7" tint="0.3999755851924192"/>
        <bgColor indexed="64"/>
      </patternFill>
    </fill>
    <fill>
      <patternFill patternType="solid">
        <fgColor theme="7" tint="0.7999816888943144"/>
        <bgColor indexed="64"/>
      </patternFill>
    </fill>
    <fill>
      <patternFill patternType="solid">
        <fgColor rgb="FFFFFFB3"/>
        <bgColor indexed="64"/>
      </patternFill>
    </fill>
    <fill>
      <patternFill patternType="solid">
        <fgColor theme="8" tint="0.7999816888943144"/>
        <bgColor indexed="64"/>
      </patternFill>
    </fill>
    <fill>
      <patternFill patternType="solid">
        <fgColor rgb="FFFFFFC1"/>
        <bgColor indexed="64"/>
      </patternFill>
    </fill>
  </fills>
  <borders count="84">
    <border>
      <left/>
      <right/>
      <top/>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top/>
      <bottom/>
      <diagonal/>
    </border>
    <border>
      <left/>
      <right style="thin">
        <color auto="1"/>
      </right>
      <top/>
      <bottom/>
      <diagonal/>
    </border>
    <border>
      <left style="thin">
        <color auto="1"/>
      </left>
      <right style="thin">
        <color auto="1"/>
      </right>
      <top/>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top style="medium">
        <color auto="1"/>
      </top>
      <bottom style="medium">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diagonal/>
    </border>
    <border>
      <left/>
      <right style="thin">
        <color auto="1"/>
      </right>
      <top style="medium">
        <color auto="1"/>
      </top>
      <bottom/>
      <diagonal/>
    </border>
    <border>
      <left style="thin">
        <color auto="1"/>
      </left>
      <right style="medium">
        <color auto="1"/>
      </right>
      <top style="medium">
        <color auto="1"/>
      </top>
      <bottom/>
      <diagonal/>
    </border>
    <border>
      <left style="medium">
        <color auto="1"/>
      </left>
      <right/>
      <top/>
      <bottom/>
      <diagonal/>
    </border>
    <border>
      <left style="thin">
        <color auto="1"/>
      </left>
      <right style="medium">
        <color auto="1"/>
      </right>
      <top/>
      <bottom/>
      <diagonal/>
    </border>
    <border>
      <left style="thin">
        <color auto="1"/>
      </left>
      <right style="medium">
        <color auto="1"/>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style="thin">
        <color auto="1"/>
      </right>
      <top style="medium">
        <color auto="1"/>
      </top>
      <bottom style="medium">
        <color auto="1"/>
      </bottom>
      <diagonal/>
    </border>
    <border>
      <left style="thin">
        <color auto="1"/>
      </left>
      <right style="thin">
        <color auto="1"/>
      </right>
      <top style="medium">
        <color auto="1"/>
      </top>
      <bottom/>
      <diagonal/>
    </border>
    <border>
      <left style="thin">
        <color auto="1"/>
      </left>
      <right style="thin">
        <color auto="1"/>
      </right>
      <top/>
      <bottom style="medium">
        <color auto="1"/>
      </bottom>
      <diagonal/>
    </border>
    <border>
      <left style="thin">
        <color auto="1"/>
      </left>
      <right/>
      <top style="medium">
        <color auto="1"/>
      </top>
      <bottom style="medium">
        <color auto="1"/>
      </bottom>
      <diagonal/>
    </border>
    <border>
      <left/>
      <right/>
      <top style="medium">
        <color auto="1"/>
      </top>
      <bottom/>
      <diagonal/>
    </border>
    <border>
      <left/>
      <right style="medium">
        <color auto="1"/>
      </right>
      <top style="medium">
        <color auto="1"/>
      </top>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style="thin">
        <color auto="1"/>
      </right>
      <top style="medium">
        <color auto="1"/>
      </top>
      <bottom/>
      <diagonal/>
    </border>
    <border>
      <left style="medium">
        <color auto="1"/>
      </left>
      <right style="thin">
        <color auto="1"/>
      </right>
      <top/>
      <bottom/>
      <diagonal/>
    </border>
    <border>
      <left style="medium">
        <color auto="1"/>
      </left>
      <right style="thin">
        <color auto="1"/>
      </right>
      <top/>
      <bottom style="medium">
        <color auto="1"/>
      </bottom>
      <diagonal/>
    </border>
    <border>
      <left/>
      <right style="medium">
        <color auto="1"/>
      </right>
      <top/>
      <bottom/>
      <diagonal/>
    </border>
    <border>
      <left style="thin">
        <color auto="1"/>
      </left>
      <right/>
      <top style="medium">
        <color auto="1"/>
      </top>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right style="medium">
        <color auto="1"/>
      </right>
      <top style="medium">
        <color auto="1"/>
      </top>
      <bottom style="thin">
        <color auto="1"/>
      </bottom>
      <diagonal/>
    </border>
    <border>
      <left style="medium">
        <color auto="1"/>
      </left>
      <right style="thin">
        <color auto="1"/>
      </right>
      <top/>
      <bottom style="thin">
        <color auto="1"/>
      </bottom>
      <diagonal/>
    </border>
    <border>
      <left style="thin">
        <color auto="1"/>
      </left>
      <right/>
      <top/>
      <bottom style="thin">
        <color auto="1"/>
      </bottom>
      <diagonal/>
    </border>
    <border>
      <left style="thin">
        <color auto="1"/>
      </left>
      <right style="thin">
        <color auto="1"/>
      </right>
      <top/>
      <bottom style="thin">
        <color auto="1"/>
      </bottom>
      <diagonal/>
    </border>
    <border>
      <left style="medium">
        <color auto="1"/>
      </left>
      <right/>
      <top style="thin">
        <color auto="1"/>
      </top>
      <bottom style="thin">
        <color auto="1"/>
      </bottom>
      <diagonal/>
    </border>
    <border>
      <left style="medium">
        <color auto="1"/>
      </left>
      <right/>
      <top/>
      <bottom style="thin">
        <color auto="1"/>
      </bottom>
      <diagonal/>
    </border>
    <border>
      <left/>
      <right style="thin">
        <color auto="1"/>
      </right>
      <top/>
      <bottom style="thin">
        <color auto="1"/>
      </bottom>
      <diagonal/>
    </border>
    <border>
      <left style="medium">
        <color indexed="64"/>
      </left>
      <right style="thin">
        <color auto="1"/>
      </right>
      <top style="medium">
        <color indexed="64"/>
      </top>
      <bottom style="medium">
        <color indexed="64"/>
      </bottom>
      <diagonal/>
    </border>
    <border>
      <left/>
      <right/>
      <top style="thick">
        <color auto="1"/>
      </top>
      <bottom style="hair">
        <color auto="1"/>
      </bottom>
      <diagonal/>
    </border>
    <border>
      <left style="thin">
        <color auto="1"/>
      </left>
      <right/>
      <top style="thick">
        <color auto="1"/>
      </top>
      <bottom style="hair">
        <color auto="1"/>
      </bottom>
      <diagonal/>
    </border>
    <border>
      <left/>
      <right style="thin">
        <color indexed="64"/>
      </right>
      <top style="thick">
        <color auto="1"/>
      </top>
      <bottom style="hair">
        <color auto="1"/>
      </bottom>
      <diagonal/>
    </border>
    <border>
      <left style="medium">
        <color indexed="64"/>
      </left>
      <right style="medium">
        <color indexed="64"/>
      </right>
      <top style="medium">
        <color indexed="64"/>
      </top>
      <bottom style="thin">
        <color auto="1"/>
      </bottom>
      <diagonal/>
    </border>
    <border>
      <left/>
      <right style="medium">
        <color indexed="64"/>
      </right>
      <top style="thin">
        <color auto="1"/>
      </top>
      <bottom style="thin">
        <color auto="1"/>
      </bottom>
      <diagonal/>
    </border>
    <border>
      <left/>
      <right style="medium">
        <color indexed="64"/>
      </right>
      <top style="thin">
        <color auto="1"/>
      </top>
      <bottom style="medium">
        <color indexed="64"/>
      </bottom>
      <diagonal/>
    </border>
    <border>
      <left/>
      <right/>
      <top style="thin">
        <color auto="1"/>
      </top>
      <bottom/>
      <diagonal/>
    </border>
    <border>
      <left style="medium">
        <color auto="1"/>
      </left>
      <right style="medium">
        <color auto="1"/>
      </right>
      <top style="medium">
        <color auto="1"/>
      </top>
      <bottom/>
      <diagonal/>
    </border>
    <border>
      <left/>
      <right style="thin">
        <color auto="1"/>
      </right>
      <top style="thin">
        <color auto="1"/>
      </top>
      <bottom style="medium">
        <color auto="1"/>
      </bottom>
      <diagonal/>
    </border>
    <border>
      <left/>
      <right/>
      <top style="medium">
        <color indexed="64"/>
      </top>
      <bottom/>
      <diagonal/>
    </border>
    <border>
      <left/>
      <right style="thin">
        <color auto="1"/>
      </right>
      <top style="medium">
        <color indexed="64"/>
      </top>
      <bottom/>
      <diagonal/>
    </border>
    <border>
      <left/>
      <right style="thin">
        <color auto="1"/>
      </right>
      <top style="medium">
        <color indexed="64"/>
      </top>
      <bottom style="medium">
        <color indexed="64"/>
      </bottom>
      <diagonal/>
    </border>
    <border>
      <left/>
      <right style="thin">
        <color auto="1"/>
      </right>
      <top style="medium">
        <color auto="1"/>
      </top>
      <bottom style="thin">
        <color auto="1"/>
      </bottom>
      <diagonal/>
    </border>
    <border>
      <left style="medium">
        <color indexed="64"/>
      </left>
      <right/>
      <top/>
      <bottom/>
      <diagonal/>
    </border>
    <border>
      <left style="medium">
        <color indexed="64"/>
      </left>
      <right style="medium">
        <color indexed="64"/>
      </right>
      <top/>
      <bottom/>
      <diagonal/>
    </border>
    <border>
      <left style="medium">
        <color indexed="64"/>
      </left>
      <right style="medium">
        <color indexed="64"/>
      </right>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medium">
        <color indexed="64"/>
      </right>
      <top style="thin">
        <color auto="1"/>
      </top>
      <bottom style="thin">
        <color auto="1"/>
      </bottom>
      <diagonal/>
    </border>
    <border>
      <left/>
      <right style="medium">
        <color indexed="64"/>
      </right>
      <top style="thin">
        <color auto="1"/>
      </top>
      <bottom/>
      <diagonal/>
    </border>
    <border>
      <left style="thin">
        <color auto="1"/>
      </left>
      <right style="thin">
        <color indexed="64"/>
      </right>
      <top style="thick">
        <color auto="1"/>
      </top>
      <bottom style="hair">
        <color auto="1"/>
      </bottom>
      <diagonal/>
    </border>
    <border>
      <left/>
      <right/>
      <top style="thick">
        <color auto="1"/>
      </top>
      <bottom/>
      <diagonal/>
    </border>
    <border>
      <left/>
      <right style="thin">
        <color indexed="64"/>
      </right>
      <top style="thick">
        <color auto="1"/>
      </top>
      <bottom/>
      <diagonal/>
    </border>
    <border>
      <left/>
      <right/>
      <top style="medium">
        <color auto="1"/>
      </top>
      <bottom style="thin">
        <color auto="1"/>
      </bottom>
      <diagonal/>
    </border>
    <border>
      <left style="thin">
        <color auto="1"/>
      </left>
      <right style="medium">
        <color auto="1"/>
      </right>
      <top style="medium">
        <color auto="1"/>
      </top>
      <bottom style="medium">
        <color auto="1"/>
      </bottom>
      <diagonal/>
    </border>
    <border>
      <left style="thin">
        <color auto="1"/>
      </left>
      <right style="medium">
        <color auto="1"/>
      </right>
      <top/>
      <bottom style="thin">
        <color auto="1"/>
      </bottom>
      <diagonal/>
    </border>
  </borders>
  <cellStyleXfs count="11">
    <xf numFmtId="0" fontId="1" fillId="0" borderId="0"/>
    <xf numFmtId="43" fontId="1" fillId="0" borderId="0"/>
    <xf numFmtId="173" fontId="14" fillId="0" borderId="0"/>
    <xf numFmtId="0" fontId="14" fillId="0" borderId="0"/>
    <xf numFmtId="9" fontId="1" fillId="0" borderId="0"/>
    <xf numFmtId="43" fontId="1" fillId="0" borderId="0"/>
    <xf numFmtId="0" fontId="29" fillId="0" borderId="0"/>
    <xf numFmtId="43" fontId="1" fillId="0" borderId="0"/>
    <xf numFmtId="43" fontId="1" fillId="0" borderId="0"/>
    <xf numFmtId="43" fontId="1" fillId="0" borderId="0"/>
    <xf numFmtId="43" fontId="1" fillId="0" borderId="0"/>
  </cellStyleXfs>
  <cellXfs count="1270">
    <xf numFmtId="0" fontId="0" fillId="0" borderId="0" pivotButton="0" quotePrefix="0" xfId="0"/>
    <xf numFmtId="0" fontId="2" fillId="0" borderId="0" applyAlignment="1" pivotButton="0" quotePrefix="0" xfId="0">
      <alignment vertical="center" wrapText="1"/>
    </xf>
    <xf numFmtId="0" fontId="2" fillId="0" borderId="0" applyAlignment="1" pivotButton="0" quotePrefix="0" xfId="0">
      <alignment vertical="center"/>
    </xf>
    <xf numFmtId="0" fontId="3" fillId="0" borderId="0" applyAlignment="1" pivotButton="0" quotePrefix="0" xfId="0">
      <alignment vertical="center"/>
    </xf>
    <xf numFmtId="0" fontId="2" fillId="0" borderId="0" applyAlignment="1" pivotButton="0" quotePrefix="0" xfId="0">
      <alignment horizontal="center" vertical="center"/>
    </xf>
    <xf numFmtId="0" fontId="4" fillId="0" borderId="0" applyAlignment="1" pivotButton="0" quotePrefix="0" xfId="0">
      <alignment vertical="center"/>
    </xf>
    <xf numFmtId="0" fontId="5" fillId="3" borderId="0" applyAlignment="1" pivotButton="0" quotePrefix="0" xfId="0">
      <alignment vertical="center"/>
    </xf>
    <xf numFmtId="0" fontId="6" fillId="3" borderId="0" applyAlignment="1" pivotButton="0" quotePrefix="0" xfId="0">
      <alignment vertical="center"/>
    </xf>
    <xf numFmtId="0" fontId="7" fillId="3" borderId="0" applyAlignment="1" pivotButton="0" quotePrefix="0" xfId="0">
      <alignment horizontal="center" vertical="center"/>
    </xf>
    <xf numFmtId="0" fontId="7" fillId="3" borderId="0" applyAlignment="1" pivotButton="0" quotePrefix="0" xfId="0">
      <alignment vertical="center"/>
    </xf>
    <xf numFmtId="0" fontId="4" fillId="0" borderId="0" applyAlignment="1" pivotButton="0" quotePrefix="0" xfId="0">
      <alignment vertical="center" wrapText="1"/>
    </xf>
    <xf numFmtId="0" fontId="3" fillId="4" borderId="1" applyAlignment="1" applyProtection="1" pivotButton="0" quotePrefix="0" xfId="0">
      <alignment horizontal="center" vertical="center" wrapText="1"/>
      <protection locked="0" hidden="0"/>
    </xf>
    <xf numFmtId="0" fontId="3" fillId="4" borderId="1" applyAlignment="1" applyProtection="1" pivotButton="0" quotePrefix="0" xfId="0">
      <alignment horizontal="center" vertical="center"/>
      <protection locked="0" hidden="0"/>
    </xf>
    <xf numFmtId="0" fontId="8" fillId="0" borderId="0" applyAlignment="1" pivotButton="0" quotePrefix="0" xfId="0">
      <alignment vertical="center"/>
    </xf>
    <xf numFmtId="0" fontId="12" fillId="7" borderId="23" applyAlignment="1" pivotButton="0" quotePrefix="0" xfId="0">
      <alignment vertical="center" wrapText="1"/>
    </xf>
    <xf numFmtId="0" fontId="9" fillId="8" borderId="24" applyAlignment="1" pivotButton="0" quotePrefix="0" xfId="0">
      <alignment vertical="center" wrapText="1"/>
    </xf>
    <xf numFmtId="0" fontId="2" fillId="8" borderId="25" applyAlignment="1" pivotButton="0" quotePrefix="0" xfId="0">
      <alignment vertical="center"/>
    </xf>
    <xf numFmtId="164" fontId="12" fillId="3" borderId="12" applyAlignment="1" applyProtection="1" pivotButton="0" quotePrefix="0" xfId="1">
      <alignment vertical="center" wrapText="1"/>
      <protection locked="0" hidden="0"/>
    </xf>
    <xf numFmtId="164" fontId="12" fillId="3" borderId="18" applyAlignment="1" applyProtection="1" pivotButton="0" quotePrefix="0" xfId="1">
      <alignment vertical="center" wrapText="1"/>
      <protection locked="0" hidden="0"/>
    </xf>
    <xf numFmtId="164" fontId="12" fillId="3" borderId="21" applyAlignment="1" applyProtection="1" pivotButton="0" quotePrefix="0" xfId="1">
      <alignment vertical="center" wrapText="1"/>
      <protection locked="0" hidden="0"/>
    </xf>
    <xf numFmtId="164" fontId="9" fillId="8" borderId="25" applyAlignment="1" pivotButton="0" quotePrefix="0" xfId="1">
      <alignment vertical="center" wrapText="1"/>
    </xf>
    <xf numFmtId="164" fontId="9" fillId="8" borderId="25" applyAlignment="1" pivotButton="0" quotePrefix="0" xfId="1">
      <alignment horizontal="center" vertical="center" wrapText="1"/>
    </xf>
    <xf numFmtId="164" fontId="12" fillId="9" borderId="34" applyAlignment="1" pivotButton="0" quotePrefix="0" xfId="1">
      <alignment vertical="center" wrapText="1"/>
    </xf>
    <xf numFmtId="164" fontId="9" fillId="8" borderId="24" applyAlignment="1" pivotButton="0" quotePrefix="0" xfId="1">
      <alignment vertical="center" wrapText="1"/>
    </xf>
    <xf numFmtId="164" fontId="9" fillId="8" borderId="2" applyAlignment="1" pivotButton="0" quotePrefix="0" xfId="1">
      <alignment vertical="center" wrapText="1"/>
    </xf>
    <xf numFmtId="164" fontId="2" fillId="8" borderId="23" applyAlignment="1" pivotButton="0" quotePrefix="0" xfId="1">
      <alignment vertical="center"/>
    </xf>
    <xf numFmtId="164" fontId="9" fillId="8" borderId="23" applyAlignment="1" pivotButton="0" quotePrefix="0" xfId="1">
      <alignment vertical="center" wrapText="1"/>
    </xf>
    <xf numFmtId="164" fontId="9" fillId="8" borderId="23" applyAlignment="1" pivotButton="0" quotePrefix="0" xfId="1">
      <alignment horizontal="center" vertical="center" wrapText="1"/>
    </xf>
    <xf numFmtId="164" fontId="12" fillId="9" borderId="38" applyAlignment="1" pivotButton="0" quotePrefix="0" xfId="1">
      <alignment vertical="center" wrapText="1"/>
    </xf>
    <xf numFmtId="164" fontId="12" fillId="10" borderId="23" applyAlignment="1" pivotButton="0" quotePrefix="0" xfId="1">
      <alignment vertical="center" wrapText="1"/>
    </xf>
    <xf numFmtId="164" fontId="12" fillId="10" borderId="23" applyAlignment="1" pivotButton="0" quotePrefix="0" xfId="1">
      <alignment horizontal="center" vertical="center" wrapText="1"/>
    </xf>
    <xf numFmtId="164" fontId="9" fillId="8" borderId="27" applyAlignment="1" pivotButton="0" quotePrefix="0" xfId="1">
      <alignment vertical="center" wrapText="1"/>
    </xf>
    <xf numFmtId="164" fontId="2" fillId="8" borderId="39" applyAlignment="1" pivotButton="0" quotePrefix="0" xfId="1">
      <alignment vertical="center"/>
    </xf>
    <xf numFmtId="164" fontId="12" fillId="11" borderId="23" applyAlignment="1" pivotButton="0" quotePrefix="0" xfId="1">
      <alignment vertical="center" wrapText="1"/>
    </xf>
    <xf numFmtId="164" fontId="12" fillId="11" borderId="23" applyAlignment="1" pivotButton="0" quotePrefix="0" xfId="1">
      <alignment horizontal="center" vertical="center" wrapText="1"/>
    </xf>
    <xf numFmtId="0" fontId="12" fillId="3" borderId="12" applyAlignment="1" applyProtection="1" pivotButton="0" quotePrefix="0" xfId="1">
      <alignment vertical="center" wrapText="1"/>
      <protection locked="0" hidden="0"/>
    </xf>
    <xf numFmtId="0" fontId="12" fillId="3" borderId="18" applyAlignment="1" applyProtection="1" pivotButton="0" quotePrefix="0" xfId="1">
      <alignment vertical="center" wrapText="1"/>
      <protection locked="0" hidden="0"/>
    </xf>
    <xf numFmtId="164" fontId="9" fillId="8" borderId="30" applyAlignment="1" pivotButton="0" quotePrefix="0" xfId="1">
      <alignment vertical="center" wrapText="1"/>
    </xf>
    <xf numFmtId="164" fontId="2" fillId="8" borderId="0" applyAlignment="1" pivotButton="0" quotePrefix="0" xfId="1">
      <alignment vertical="center"/>
    </xf>
    <xf numFmtId="49" fontId="14" fillId="0" borderId="1" applyAlignment="1" applyProtection="1" pivotButton="0" quotePrefix="0" xfId="0">
      <alignment horizontal="center" vertical="center"/>
      <protection locked="0" hidden="0"/>
    </xf>
    <xf numFmtId="164" fontId="9" fillId="8" borderId="39" applyAlignment="1" pivotButton="0" quotePrefix="0" xfId="1">
      <alignment vertical="center" wrapText="1"/>
    </xf>
    <xf numFmtId="164" fontId="9" fillId="8" borderId="39" applyAlignment="1" pivotButton="0" quotePrefix="0" xfId="1">
      <alignment horizontal="center" vertical="center" wrapText="1"/>
    </xf>
    <xf numFmtId="164" fontId="12" fillId="9" borderId="47" applyAlignment="1" pivotButton="0" quotePrefix="0" xfId="1">
      <alignment vertical="center" wrapText="1"/>
    </xf>
    <xf numFmtId="164" fontId="2" fillId="8" borderId="25" applyAlignment="1" pivotButton="0" quotePrefix="0" xfId="1">
      <alignment vertical="center"/>
    </xf>
    <xf numFmtId="164" fontId="9" fillId="3" borderId="12" applyAlignment="1" applyProtection="1" pivotButton="0" quotePrefix="0" xfId="1">
      <alignment horizontal="center" vertical="center" wrapText="1"/>
      <protection locked="0" hidden="0"/>
    </xf>
    <xf numFmtId="165" fontId="15" fillId="9" borderId="12" applyAlignment="1" pivotButton="0" quotePrefix="0" xfId="2">
      <alignment horizontal="center" vertical="center" wrapText="1"/>
    </xf>
    <xf numFmtId="164" fontId="2" fillId="0" borderId="11" applyAlignment="1" applyProtection="1" pivotButton="0" quotePrefix="0" xfId="1">
      <alignment horizontal="center" vertical="center"/>
      <protection locked="0" hidden="0"/>
    </xf>
    <xf numFmtId="164" fontId="2" fillId="0" borderId="12" applyAlignment="1" applyProtection="1" pivotButton="0" quotePrefix="0" xfId="1">
      <alignment horizontal="center" vertical="center"/>
      <protection locked="0" hidden="0"/>
    </xf>
    <xf numFmtId="164" fontId="2" fillId="0" borderId="48" applyAlignment="1" applyProtection="1" pivotButton="0" quotePrefix="0" xfId="1">
      <alignment horizontal="center" vertical="center"/>
      <protection locked="0" hidden="0"/>
    </xf>
    <xf numFmtId="164" fontId="9" fillId="3" borderId="18" applyAlignment="1" applyProtection="1" pivotButton="0" quotePrefix="0" xfId="1">
      <alignment horizontal="center" vertical="center" wrapText="1"/>
      <protection locked="0" hidden="0"/>
    </xf>
    <xf numFmtId="165" fontId="15" fillId="9" borderId="18" applyAlignment="1" pivotButton="0" quotePrefix="0" xfId="2">
      <alignment horizontal="center" vertical="center" wrapText="1"/>
    </xf>
    <xf numFmtId="164" fontId="2" fillId="0" borderId="17" applyAlignment="1" applyProtection="1" pivotButton="0" quotePrefix="0" xfId="1">
      <alignment horizontal="center" vertical="center"/>
      <protection locked="0" hidden="0"/>
    </xf>
    <xf numFmtId="164" fontId="2" fillId="0" borderId="18" applyAlignment="1" applyProtection="1" pivotButton="0" quotePrefix="0" xfId="1">
      <alignment horizontal="center" vertical="center"/>
      <protection locked="0" hidden="0"/>
    </xf>
    <xf numFmtId="164" fontId="2" fillId="0" borderId="8" applyAlignment="1" applyProtection="1" pivotButton="0" quotePrefix="0" xfId="1">
      <alignment horizontal="center" vertical="center"/>
      <protection locked="0" hidden="0"/>
    </xf>
    <xf numFmtId="164" fontId="12" fillId="3" borderId="7" applyAlignment="1" applyProtection="1" pivotButton="0" quotePrefix="0" xfId="1">
      <alignment vertical="center" wrapText="1"/>
      <protection locked="0" hidden="0"/>
    </xf>
    <xf numFmtId="164" fontId="9" fillId="3" borderId="8" applyAlignment="1" applyProtection="1" pivotButton="0" quotePrefix="0" xfId="1">
      <alignment horizontal="center" vertical="center" wrapText="1"/>
      <protection locked="0" hidden="0"/>
    </xf>
    <xf numFmtId="164" fontId="9" fillId="3" borderId="21" applyAlignment="1" applyProtection="1" pivotButton="0" quotePrefix="0" xfId="1">
      <alignment horizontal="center" vertical="center" wrapText="1"/>
      <protection locked="0" hidden="0"/>
    </xf>
    <xf numFmtId="164" fontId="9" fillId="3" borderId="49" applyAlignment="1" applyProtection="1" pivotButton="0" quotePrefix="0" xfId="1">
      <alignment horizontal="center" vertical="center" wrapText="1"/>
      <protection locked="0" hidden="0"/>
    </xf>
    <xf numFmtId="165" fontId="15" fillId="9" borderId="21" applyAlignment="1" pivotButton="0" quotePrefix="0" xfId="2">
      <alignment horizontal="center" vertical="center" wrapText="1"/>
    </xf>
    <xf numFmtId="164" fontId="2" fillId="0" borderId="20" applyAlignment="1" applyProtection="1" pivotButton="0" quotePrefix="0" xfId="1">
      <alignment horizontal="center" vertical="center"/>
      <protection locked="0" hidden="0"/>
    </xf>
    <xf numFmtId="164" fontId="2" fillId="0" borderId="21" applyAlignment="1" applyProtection="1" pivotButton="0" quotePrefix="0" xfId="1">
      <alignment horizontal="center" vertical="center"/>
      <protection locked="0" hidden="0"/>
    </xf>
    <xf numFmtId="164" fontId="2" fillId="0" borderId="49" applyAlignment="1" applyProtection="1" pivotButton="0" quotePrefix="0" xfId="1">
      <alignment horizontal="center" vertical="center"/>
      <protection locked="0" hidden="0"/>
    </xf>
    <xf numFmtId="0" fontId="16" fillId="0" borderId="0" applyAlignment="1" pivotButton="0" quotePrefix="0" xfId="0">
      <alignment horizontal="left" vertical="center" wrapText="1"/>
    </xf>
    <xf numFmtId="0" fontId="16" fillId="0" borderId="0" applyAlignment="1" pivotButton="0" quotePrefix="0" xfId="0">
      <alignment horizontal="right" vertical="center" wrapText="1"/>
    </xf>
    <xf numFmtId="0" fontId="16" fillId="0" borderId="0" applyAlignment="1" pivotButton="0" quotePrefix="0" xfId="0">
      <alignment horizontal="right" vertical="center"/>
    </xf>
    <xf numFmtId="0" fontId="16" fillId="0" borderId="0" applyAlignment="1" pivotButton="0" quotePrefix="0" xfId="0">
      <alignment horizontal="center" vertical="center"/>
    </xf>
    <xf numFmtId="0" fontId="12" fillId="0" borderId="0" applyAlignment="1" pivotButton="0" quotePrefix="0" xfId="0">
      <alignment horizontal="left" vertical="center"/>
    </xf>
    <xf numFmtId="164" fontId="2" fillId="0" borderId="0" applyAlignment="1" pivotButton="0" quotePrefix="0" xfId="0">
      <alignment horizontal="center" vertical="center"/>
    </xf>
    <xf numFmtId="164" fontId="16" fillId="0" borderId="53" applyAlignment="1" applyProtection="1" pivotButton="0" quotePrefix="0" xfId="1">
      <alignment horizontal="right" vertical="center"/>
      <protection locked="0" hidden="0"/>
    </xf>
    <xf numFmtId="164" fontId="18" fillId="8" borderId="18" applyAlignment="1" pivotButton="0" quotePrefix="0" xfId="1">
      <alignment horizontal="center" vertical="center"/>
    </xf>
    <xf numFmtId="164" fontId="12" fillId="10" borderId="0" applyAlignment="1" pivotButton="0" quotePrefix="0" xfId="1">
      <alignment vertical="center" wrapText="1"/>
    </xf>
    <xf numFmtId="164" fontId="4" fillId="8" borderId="30" applyAlignment="1" applyProtection="1" pivotButton="0" quotePrefix="0" xfId="1">
      <alignment horizontal="center" vertical="center"/>
      <protection locked="0" hidden="0"/>
    </xf>
    <xf numFmtId="164" fontId="4" fillId="8" borderId="0" applyAlignment="1" applyProtection="1" pivotButton="0" quotePrefix="0" xfId="1">
      <alignment horizontal="center" vertical="center"/>
      <protection locked="0" hidden="0"/>
    </xf>
    <xf numFmtId="164" fontId="16" fillId="0" borderId="12" applyAlignment="1" applyProtection="1" pivotButton="0" quotePrefix="0" xfId="1">
      <alignment horizontal="right" vertical="center"/>
      <protection locked="0" hidden="0"/>
    </xf>
    <xf numFmtId="164" fontId="16" fillId="0" borderId="18" applyAlignment="1" applyProtection="1" pivotButton="0" quotePrefix="0" xfId="1">
      <alignment horizontal="right" vertical="center"/>
      <protection locked="0" hidden="0"/>
    </xf>
    <xf numFmtId="164" fontId="16" fillId="0" borderId="21" applyAlignment="1" applyProtection="1" pivotButton="0" quotePrefix="0" xfId="1">
      <alignment horizontal="right" vertical="center"/>
      <protection locked="0" hidden="0"/>
    </xf>
    <xf numFmtId="164" fontId="12" fillId="11" borderId="0" applyAlignment="1" pivotButton="0" quotePrefix="0" xfId="1">
      <alignment vertical="center" wrapText="1"/>
    </xf>
    <xf numFmtId="0" fontId="19" fillId="0" borderId="0" applyAlignment="1" pivotButton="0" quotePrefix="0" xfId="0">
      <alignment vertical="center"/>
    </xf>
    <xf numFmtId="164" fontId="16" fillId="0" borderId="12" applyAlignment="1" pivotButton="0" quotePrefix="0" xfId="1">
      <alignment horizontal="right" vertical="center"/>
    </xf>
    <xf numFmtId="164" fontId="16" fillId="0" borderId="11" applyAlignment="1" pivotButton="0" quotePrefix="0" xfId="1">
      <alignment horizontal="right" vertical="center"/>
    </xf>
    <xf numFmtId="164" fontId="16" fillId="0" borderId="18" applyAlignment="1" pivotButton="0" quotePrefix="0" xfId="1">
      <alignment horizontal="right" vertical="center"/>
    </xf>
    <xf numFmtId="164" fontId="16" fillId="0" borderId="17" applyAlignment="1" pivotButton="0" quotePrefix="0" xfId="1">
      <alignment horizontal="right" vertical="center"/>
    </xf>
    <xf numFmtId="164" fontId="16" fillId="0" borderId="21" applyAlignment="1" pivotButton="0" quotePrefix="0" xfId="1">
      <alignment horizontal="right" vertical="center" wrapText="1"/>
    </xf>
    <xf numFmtId="164" fontId="16" fillId="0" borderId="21" applyAlignment="1" pivotButton="0" quotePrefix="0" xfId="1">
      <alignment horizontal="right" vertical="center"/>
    </xf>
    <xf numFmtId="164" fontId="16" fillId="0" borderId="20" applyAlignment="1" pivotButton="0" quotePrefix="0" xfId="1">
      <alignment horizontal="right" vertical="center" wrapText="1"/>
    </xf>
    <xf numFmtId="164" fontId="12" fillId="10" borderId="38" applyAlignment="1" pivotButton="0" quotePrefix="0" xfId="1">
      <alignment vertical="center" wrapText="1"/>
    </xf>
    <xf numFmtId="164" fontId="13" fillId="10" borderId="23" applyAlignment="1" pivotButton="0" quotePrefix="0" xfId="1">
      <alignment horizontal="center" vertical="center"/>
    </xf>
    <xf numFmtId="164" fontId="4" fillId="8" borderId="30" applyAlignment="1" pivotButton="0" quotePrefix="0" xfId="1">
      <alignment horizontal="center" vertical="center"/>
    </xf>
    <xf numFmtId="164" fontId="4" fillId="8" borderId="0" applyAlignment="1" pivotButton="0" quotePrefix="0" xfId="1">
      <alignment horizontal="center" vertical="center"/>
    </xf>
    <xf numFmtId="164" fontId="4" fillId="8" borderId="0" applyAlignment="1" pivotButton="0" quotePrefix="0" xfId="1">
      <alignment horizontal="center" vertical="center"/>
    </xf>
    <xf numFmtId="164" fontId="16" fillId="0" borderId="53" applyAlignment="1" pivotButton="0" quotePrefix="0" xfId="1">
      <alignment horizontal="right" vertical="center" wrapText="1"/>
    </xf>
    <xf numFmtId="164" fontId="16" fillId="0" borderId="53" applyAlignment="1" pivotButton="0" quotePrefix="0" xfId="1">
      <alignment horizontal="right" vertical="center"/>
    </xf>
    <xf numFmtId="164" fontId="16" fillId="0" borderId="11" applyAlignment="1" pivotButton="0" quotePrefix="0" xfId="1">
      <alignment horizontal="right" vertical="center" wrapText="1"/>
    </xf>
    <xf numFmtId="164" fontId="16" fillId="0" borderId="12" applyAlignment="1" pivotButton="0" quotePrefix="0" xfId="1">
      <alignment horizontal="right" vertical="center" wrapText="1"/>
    </xf>
    <xf numFmtId="164" fontId="16" fillId="0" borderId="18" applyAlignment="1" pivotButton="0" quotePrefix="0" xfId="1">
      <alignment horizontal="right" vertical="center" wrapText="1"/>
    </xf>
    <xf numFmtId="164" fontId="16" fillId="0" borderId="17" applyAlignment="1" pivotButton="0" quotePrefix="0" xfId="1">
      <alignment horizontal="right" vertical="center" wrapText="1"/>
    </xf>
    <xf numFmtId="164" fontId="16" fillId="0" borderId="17" applyAlignment="1" pivotButton="0" quotePrefix="0" xfId="1">
      <alignment horizontal="right" vertical="center" wrapText="1"/>
    </xf>
    <xf numFmtId="164" fontId="16" fillId="0" borderId="18" applyAlignment="1" pivotButton="0" quotePrefix="0" xfId="1">
      <alignment horizontal="right" vertical="center" wrapText="1"/>
    </xf>
    <xf numFmtId="164" fontId="16" fillId="0" borderId="7" applyAlignment="1" pivotButton="0" quotePrefix="0" xfId="1">
      <alignment horizontal="right" vertical="center" wrapText="1"/>
    </xf>
    <xf numFmtId="164" fontId="16" fillId="0" borderId="7" applyAlignment="1" pivotButton="0" quotePrefix="0" xfId="1">
      <alignment horizontal="right" vertical="center"/>
    </xf>
    <xf numFmtId="164" fontId="12" fillId="11" borderId="38" applyAlignment="1" pivotButton="0" quotePrefix="0" xfId="1">
      <alignment vertical="center" wrapText="1"/>
    </xf>
    <xf numFmtId="164" fontId="12" fillId="11" borderId="23" applyAlignment="1" pivotButton="0" quotePrefix="0" xfId="1">
      <alignment vertical="center" wrapText="1"/>
    </xf>
    <xf numFmtId="164" fontId="13" fillId="11" borderId="23" applyAlignment="1" pivotButton="0" quotePrefix="0" xfId="1">
      <alignment horizontal="center" vertical="center"/>
    </xf>
    <xf numFmtId="164" fontId="12" fillId="8" borderId="14" applyAlignment="1" pivotButton="0" quotePrefix="0" xfId="1">
      <alignment vertical="center" wrapText="1"/>
    </xf>
    <xf numFmtId="164" fontId="12" fillId="9" borderId="35" applyAlignment="1" pivotButton="0" quotePrefix="0" xfId="1">
      <alignment vertical="center" wrapText="1"/>
    </xf>
    <xf numFmtId="164" fontId="9" fillId="8" borderId="38" applyAlignment="1" pivotButton="0" quotePrefix="0" xfId="1">
      <alignment vertical="center" wrapText="1"/>
    </xf>
    <xf numFmtId="164" fontId="13" fillId="8" borderId="35" applyAlignment="1" pivotButton="0" quotePrefix="0" xfId="1">
      <alignment vertical="center"/>
    </xf>
    <xf numFmtId="164" fontId="12" fillId="10" borderId="23" applyAlignment="1" pivotButton="0" quotePrefix="0" xfId="1">
      <alignment vertical="center" wrapText="1"/>
    </xf>
    <xf numFmtId="164" fontId="12" fillId="10" borderId="23" applyAlignment="1" pivotButton="0" quotePrefix="0" xfId="1">
      <alignment horizontal="center" vertical="center" wrapText="1"/>
    </xf>
    <xf numFmtId="164" fontId="12" fillId="11" borderId="23" applyAlignment="1" pivotButton="0" quotePrefix="0" xfId="1">
      <alignment horizontal="center" vertical="center" wrapText="1"/>
    </xf>
    <xf numFmtId="164" fontId="9" fillId="8" borderId="47" applyAlignment="1" pivotButton="0" quotePrefix="0" xfId="1">
      <alignment vertical="center" wrapText="1"/>
    </xf>
    <xf numFmtId="164" fontId="13" fillId="8" borderId="28" applyAlignment="1" pivotButton="0" quotePrefix="0" xfId="1">
      <alignment vertical="center"/>
    </xf>
    <xf numFmtId="164" fontId="12" fillId="9" borderId="28" applyAlignment="1" pivotButton="0" quotePrefix="0" xfId="1">
      <alignment vertical="center" wrapText="1"/>
    </xf>
    <xf numFmtId="164" fontId="12" fillId="10" borderId="14" applyAlignment="1" pivotButton="0" quotePrefix="0" xfId="1">
      <alignment vertical="center" wrapText="1"/>
    </xf>
    <xf numFmtId="164" fontId="12" fillId="11" borderId="14" applyAlignment="1" pivotButton="0" quotePrefix="0" xfId="1">
      <alignment vertical="center" wrapText="1"/>
    </xf>
    <xf numFmtId="0" fontId="8" fillId="0" borderId="0" applyAlignment="1" pivotButton="0" quotePrefix="0" xfId="0">
      <alignment horizontal="left" vertical="center"/>
    </xf>
    <xf numFmtId="166" fontId="12" fillId="3" borderId="0" applyAlignment="1" applyProtection="1" pivotButton="0" quotePrefix="0" xfId="1">
      <alignment vertical="center" wrapText="1"/>
      <protection locked="0" hidden="0"/>
    </xf>
    <xf numFmtId="167" fontId="9" fillId="8" borderId="0" applyAlignment="1" pivotButton="0" quotePrefix="0" xfId="1">
      <alignment vertical="center" wrapText="1"/>
    </xf>
    <xf numFmtId="14" fontId="14" fillId="0" borderId="0" applyProtection="1" pivotButton="0" quotePrefix="0" xfId="0">
      <protection locked="0" hidden="0"/>
    </xf>
    <xf numFmtId="167" fontId="12" fillId="11" borderId="0" applyAlignment="1" pivotButton="0" quotePrefix="0" xfId="1">
      <alignment horizontal="center" vertical="center" wrapText="1"/>
    </xf>
    <xf numFmtId="14" fontId="14" fillId="0" borderId="0" applyAlignment="1" applyProtection="1" pivotButton="0" quotePrefix="0" xfId="0">
      <alignment horizontal="center" vertical="center"/>
      <protection locked="0" hidden="0"/>
    </xf>
    <xf numFmtId="0" fontId="17" fillId="13" borderId="0" applyAlignment="1" applyProtection="1" pivotButton="0" quotePrefix="0" xfId="0">
      <alignment horizontal="center" vertical="center" wrapText="1"/>
      <protection locked="0" hidden="0"/>
    </xf>
    <xf numFmtId="0" fontId="8" fillId="0" borderId="39" applyAlignment="1" pivotButton="0" quotePrefix="0" xfId="0">
      <alignment horizontal="center" vertical="center"/>
    </xf>
    <xf numFmtId="166" fontId="12" fillId="3" borderId="0" applyAlignment="1" pivotButton="0" quotePrefix="0" xfId="1">
      <alignment vertical="center" wrapText="1"/>
    </xf>
    <xf numFmtId="164" fontId="12" fillId="3" borderId="48" applyAlignment="1" applyProtection="1" pivotButton="0" quotePrefix="0" xfId="1">
      <alignment vertical="center" wrapText="1"/>
      <protection locked="0" hidden="0"/>
    </xf>
    <xf numFmtId="164" fontId="12" fillId="3" borderId="8" applyAlignment="1" applyProtection="1" pivotButton="0" quotePrefix="0" xfId="1">
      <alignment vertical="center" wrapText="1"/>
      <protection locked="0" hidden="0"/>
    </xf>
    <xf numFmtId="164" fontId="12" fillId="3" borderId="49" applyAlignment="1" applyProtection="1" pivotButton="0" quotePrefix="0" xfId="1">
      <alignment vertical="center" wrapText="1"/>
      <protection locked="0" hidden="0"/>
    </xf>
    <xf numFmtId="0" fontId="12" fillId="7" borderId="18" applyAlignment="1" pivotButton="0" quotePrefix="0" xfId="0">
      <alignment vertical="center" wrapText="1"/>
    </xf>
    <xf numFmtId="166" fontId="12" fillId="3" borderId="18" applyAlignment="1" applyProtection="1" pivotButton="0" quotePrefix="0" xfId="1">
      <alignment vertical="center" wrapText="1"/>
      <protection locked="0" hidden="0"/>
    </xf>
    <xf numFmtId="167" fontId="9" fillId="8" borderId="18" applyAlignment="1" pivotButton="0" quotePrefix="0" xfId="1">
      <alignment vertical="center" wrapText="1"/>
    </xf>
    <xf numFmtId="167" fontId="12" fillId="10" borderId="18" applyAlignment="1" pivotButton="0" quotePrefix="0" xfId="1">
      <alignment horizontal="center" vertical="center" wrapText="1"/>
    </xf>
    <xf numFmtId="167" fontId="12" fillId="10" borderId="18" applyAlignment="1" pivotButton="0" quotePrefix="0" xfId="1">
      <alignment horizontal="center" vertical="center" wrapText="1"/>
    </xf>
    <xf numFmtId="14" fontId="14" fillId="0" borderId="18" applyProtection="1" pivotButton="0" quotePrefix="0" xfId="0">
      <protection locked="0" hidden="0"/>
    </xf>
    <xf numFmtId="167" fontId="9" fillId="8" borderId="8" applyAlignment="1" pivotButton="0" quotePrefix="0" xfId="1">
      <alignment vertical="center" wrapText="1"/>
    </xf>
    <xf numFmtId="167" fontId="12" fillId="11" borderId="25" applyAlignment="1" pivotButton="0" quotePrefix="0" xfId="1">
      <alignment horizontal="center" vertical="center" wrapText="1"/>
    </xf>
    <xf numFmtId="166" fontId="12" fillId="3" borderId="48" applyAlignment="1" applyProtection="1" pivotButton="0" quotePrefix="0" xfId="1">
      <alignment vertical="center" wrapText="1"/>
      <protection locked="0" hidden="0"/>
    </xf>
    <xf numFmtId="166" fontId="12" fillId="3" borderId="8" applyAlignment="1" applyProtection="1" pivotButton="0" quotePrefix="0" xfId="1">
      <alignment vertical="center" wrapText="1"/>
      <protection locked="0" hidden="0"/>
    </xf>
    <xf numFmtId="166" fontId="12" fillId="3" borderId="49" applyAlignment="1" applyProtection="1" pivotButton="0" quotePrefix="0" xfId="1">
      <alignment vertical="center" wrapText="1"/>
      <protection locked="0" hidden="0"/>
    </xf>
    <xf numFmtId="167" fontId="9" fillId="8" borderId="23" applyAlignment="1" pivotButton="0" quotePrefix="0" xfId="1">
      <alignment vertical="center" wrapText="1"/>
    </xf>
    <xf numFmtId="14" fontId="14" fillId="0" borderId="2" applyProtection="1" pivotButton="0" quotePrefix="0" xfId="0">
      <protection locked="0" hidden="0"/>
    </xf>
    <xf numFmtId="14" fontId="14" fillId="0" borderId="2" applyAlignment="1" applyProtection="1" pivotButton="0" quotePrefix="0" xfId="0">
      <alignment horizontal="center" vertical="center"/>
      <protection locked="0" hidden="0"/>
    </xf>
    <xf numFmtId="167" fontId="9" fillId="8" borderId="39" applyAlignment="1" pivotButton="0" quotePrefix="0" xfId="1">
      <alignment vertical="center" wrapText="1"/>
    </xf>
    <xf numFmtId="166" fontId="12" fillId="3" borderId="5" applyAlignment="1" applyProtection="1" pivotButton="0" quotePrefix="0" xfId="1">
      <alignment vertical="center" wrapText="1"/>
      <protection locked="0" hidden="0"/>
    </xf>
    <xf numFmtId="167" fontId="12" fillId="11" borderId="18" applyAlignment="1" pivotButton="0" quotePrefix="0" xfId="1">
      <alignment horizontal="center" vertical="center" wrapText="1"/>
    </xf>
    <xf numFmtId="0" fontId="17" fillId="3" borderId="0" applyAlignment="1" applyProtection="1" pivotButton="0" quotePrefix="0" xfId="0">
      <alignment horizontal="center" vertical="center" wrapText="1"/>
      <protection locked="0" hidden="0"/>
    </xf>
    <xf numFmtId="0" fontId="2" fillId="0" borderId="18" applyAlignment="1" pivotButton="0" quotePrefix="0" xfId="0">
      <alignment horizontal="center" vertical="center"/>
    </xf>
    <xf numFmtId="0" fontId="8" fillId="0" borderId="0" applyAlignment="1" pivotButton="0" quotePrefix="0" xfId="0">
      <alignment horizontal="center" vertical="center"/>
    </xf>
    <xf numFmtId="0" fontId="12" fillId="15" borderId="18" applyAlignment="1" pivotButton="0" quotePrefix="0" xfId="0">
      <alignment horizontal="center" vertical="center" wrapText="1"/>
    </xf>
    <xf numFmtId="166" fontId="12" fillId="3" borderId="18" applyAlignment="1" pivotButton="0" quotePrefix="0" xfId="1">
      <alignment horizontal="center" vertical="center" wrapText="1"/>
    </xf>
    <xf numFmtId="167" fontId="9" fillId="8" borderId="18" applyAlignment="1" pivotButton="0" quotePrefix="0" xfId="1">
      <alignment horizontal="center" vertical="center" wrapText="1"/>
    </xf>
    <xf numFmtId="14" fontId="14" fillId="0" borderId="18" applyAlignment="1" pivotButton="0" quotePrefix="0" xfId="0">
      <alignment horizontal="center" vertical="center"/>
    </xf>
    <xf numFmtId="167" fontId="9" fillId="8" borderId="18" applyAlignment="1" pivotButton="0" quotePrefix="0" xfId="1">
      <alignment horizontal="center" vertical="center" wrapText="1"/>
    </xf>
    <xf numFmtId="164" fontId="9" fillId="3" borderId="11" applyAlignment="1" pivotButton="0" quotePrefix="0" xfId="1">
      <alignment horizontal="center" vertical="center" wrapText="1"/>
    </xf>
    <xf numFmtId="164" fontId="9" fillId="3" borderId="17" applyAlignment="1" pivotButton="0" quotePrefix="0" xfId="1">
      <alignment horizontal="center" vertical="center" wrapText="1"/>
    </xf>
    <xf numFmtId="164" fontId="9" fillId="3" borderId="20" applyAlignment="1" pivotButton="0" quotePrefix="0" xfId="1">
      <alignment horizontal="center" vertical="center" wrapText="1"/>
    </xf>
    <xf numFmtId="164" fontId="16" fillId="0" borderId="51" applyAlignment="1" pivotButton="0" quotePrefix="0" xfId="1">
      <alignment horizontal="right" vertical="center"/>
    </xf>
    <xf numFmtId="164" fontId="12" fillId="10" borderId="18" applyAlignment="1" pivotButton="0" quotePrefix="0" xfId="1">
      <alignment vertical="center" wrapText="1"/>
    </xf>
    <xf numFmtId="164" fontId="12" fillId="11" borderId="18" applyAlignment="1" pivotButton="0" quotePrefix="0" xfId="1">
      <alignment vertical="center" wrapText="1"/>
    </xf>
    <xf numFmtId="164" fontId="13" fillId="11" borderId="18" applyAlignment="1" pivotButton="0" quotePrefix="0" xfId="1">
      <alignment horizontal="center" vertical="center"/>
    </xf>
    <xf numFmtId="164" fontId="2" fillId="0" borderId="0" applyAlignment="1" pivotButton="0" quotePrefix="0" xfId="0">
      <alignment vertical="center"/>
    </xf>
    <xf numFmtId="168" fontId="2" fillId="0" borderId="18" applyAlignment="1" pivotButton="0" quotePrefix="0" xfId="4">
      <alignment vertical="center"/>
    </xf>
    <xf numFmtId="0" fontId="9" fillId="0" borderId="0" applyAlignment="1" pivotButton="0" quotePrefix="0" xfId="0">
      <alignment horizontal="center" vertical="center" wrapText="1"/>
    </xf>
    <xf numFmtId="0" fontId="12" fillId="0" borderId="0" applyAlignment="1" pivotButton="0" quotePrefix="0" xfId="0">
      <alignment vertical="center" wrapText="1"/>
    </xf>
    <xf numFmtId="0" fontId="0" fillId="5" borderId="0" pivotButton="0" quotePrefix="0" xfId="0"/>
    <xf numFmtId="0" fontId="0" fillId="0" borderId="0" applyAlignment="1" pivotButton="0" quotePrefix="0" xfId="0">
      <alignment wrapText="1"/>
    </xf>
    <xf numFmtId="0" fontId="2" fillId="3" borderId="0" applyAlignment="1" pivotButton="0" quotePrefix="0" xfId="0">
      <alignment horizontal="center" vertical="center"/>
    </xf>
    <xf numFmtId="0" fontId="19" fillId="3" borderId="0" applyAlignment="1" pivotButton="0" quotePrefix="0" xfId="0">
      <alignment vertical="center"/>
    </xf>
    <xf numFmtId="164" fontId="13" fillId="8" borderId="36" applyAlignment="1" pivotButton="0" quotePrefix="0" xfId="1">
      <alignment horizontal="center" vertical="center"/>
    </xf>
    <xf numFmtId="164" fontId="16" fillId="0" borderId="52" applyAlignment="1" applyProtection="1" pivotButton="0" quotePrefix="0" xfId="1">
      <alignment horizontal="right" vertical="center"/>
      <protection locked="0" hidden="0"/>
    </xf>
    <xf numFmtId="164" fontId="16" fillId="0" borderId="48" applyAlignment="1" applyProtection="1" pivotButton="0" quotePrefix="0" xfId="1">
      <alignment horizontal="right" vertical="center"/>
      <protection locked="0" hidden="0"/>
    </xf>
    <xf numFmtId="164" fontId="16" fillId="0" borderId="8" applyAlignment="1" applyProtection="1" pivotButton="0" quotePrefix="0" xfId="1">
      <alignment horizontal="right" vertical="center"/>
      <protection locked="0" hidden="0"/>
    </xf>
    <xf numFmtId="164" fontId="16" fillId="0" borderId="49" applyAlignment="1" applyProtection="1" pivotButton="0" quotePrefix="0" xfId="1">
      <alignment horizontal="right" vertical="center"/>
      <protection locked="0" hidden="0"/>
    </xf>
    <xf numFmtId="164" fontId="12" fillId="10" borderId="18" applyAlignment="1" pivotButton="0" quotePrefix="0" xfId="1">
      <alignment vertical="center" wrapText="1"/>
    </xf>
    <xf numFmtId="164" fontId="12" fillId="11" borderId="18" applyAlignment="1" pivotButton="0" quotePrefix="0" xfId="1">
      <alignment vertical="center" wrapText="1"/>
    </xf>
    <xf numFmtId="0" fontId="4" fillId="2" borderId="40" applyAlignment="1" pivotButton="0" quotePrefix="0" xfId="0">
      <alignment vertical="center"/>
    </xf>
    <xf numFmtId="165" fontId="12" fillId="9" borderId="18" applyAlignment="1" pivotButton="0" quotePrefix="0" xfId="2">
      <alignment horizontal="center" vertical="center" wrapText="1"/>
    </xf>
    <xf numFmtId="164" fontId="16" fillId="4" borderId="48" applyAlignment="1" pivotButton="0" quotePrefix="0" xfId="1">
      <alignment horizontal="right" vertical="center"/>
    </xf>
    <xf numFmtId="164" fontId="16" fillId="4" borderId="8" applyAlignment="1" pivotButton="0" quotePrefix="0" xfId="1">
      <alignment horizontal="right" vertical="center"/>
    </xf>
    <xf numFmtId="164" fontId="16" fillId="14" borderId="53" applyAlignment="1" pivotButton="0" quotePrefix="0" xfId="1">
      <alignment horizontal="right" vertical="center"/>
    </xf>
    <xf numFmtId="164" fontId="16" fillId="14" borderId="18" applyAlignment="1" pivotButton="0" quotePrefix="0" xfId="1">
      <alignment horizontal="right" vertical="center"/>
    </xf>
    <xf numFmtId="164" fontId="16" fillId="4" borderId="49" applyAlignment="1" pivotButton="0" quotePrefix="0" xfId="1">
      <alignment horizontal="right" vertical="center"/>
    </xf>
    <xf numFmtId="164" fontId="16" fillId="4" borderId="52" applyAlignment="1" pivotButton="0" quotePrefix="0" xfId="1">
      <alignment horizontal="right" vertical="center"/>
    </xf>
    <xf numFmtId="164" fontId="16" fillId="4" borderId="5" applyAlignment="1" pivotButton="0" quotePrefix="0" xfId="1">
      <alignment horizontal="right" vertical="center"/>
    </xf>
    <xf numFmtId="164" fontId="16" fillId="14" borderId="18" applyAlignment="1" pivotButton="0" quotePrefix="0" xfId="1">
      <alignment horizontal="right" vertical="center" wrapText="1"/>
    </xf>
    <xf numFmtId="164" fontId="16" fillId="14" borderId="7" applyAlignment="1" pivotButton="0" quotePrefix="0" xfId="1">
      <alignment horizontal="right" vertical="center" wrapText="1"/>
    </xf>
    <xf numFmtId="164" fontId="16" fillId="14" borderId="53" applyAlignment="1" pivotButton="0" quotePrefix="0" xfId="1">
      <alignment horizontal="right" vertical="center" wrapText="1"/>
    </xf>
    <xf numFmtId="164" fontId="12" fillId="11" borderId="1" applyAlignment="1" pivotButton="0" quotePrefix="0" xfId="1">
      <alignment vertical="center" wrapText="1"/>
    </xf>
    <xf numFmtId="164" fontId="12" fillId="10" borderId="1" applyAlignment="1" pivotButton="0" quotePrefix="0" xfId="1">
      <alignment vertical="center" wrapText="1"/>
    </xf>
    <xf numFmtId="164" fontId="9" fillId="8" borderId="34" applyAlignment="1" pivotButton="0" quotePrefix="0" xfId="1">
      <alignment vertical="center" wrapText="1"/>
    </xf>
    <xf numFmtId="164" fontId="13" fillId="8" borderId="33" applyAlignment="1" pivotButton="0" quotePrefix="0" xfId="1">
      <alignment vertical="center"/>
    </xf>
    <xf numFmtId="164" fontId="13" fillId="8" borderId="7" applyAlignment="1" pivotButton="0" quotePrefix="0" xfId="1">
      <alignment horizontal="center" vertical="center"/>
    </xf>
    <xf numFmtId="164" fontId="13" fillId="8" borderId="21" applyAlignment="1" pivotButton="0" quotePrefix="0" xfId="1">
      <alignment horizontal="center" vertical="center"/>
    </xf>
    <xf numFmtId="164" fontId="13" fillId="10" borderId="18" applyAlignment="1" pivotButton="0" quotePrefix="0" xfId="1">
      <alignment horizontal="center" vertical="center"/>
    </xf>
    <xf numFmtId="0" fontId="4" fillId="8" borderId="26" applyAlignment="1" pivotButton="0" quotePrefix="0" xfId="0">
      <alignment vertical="center"/>
    </xf>
    <xf numFmtId="0" fontId="4" fillId="8" borderId="3" applyAlignment="1" pivotButton="0" quotePrefix="0" xfId="0">
      <alignment vertical="center"/>
    </xf>
    <xf numFmtId="0" fontId="4" fillId="8" borderId="40" applyAlignment="1" pivotButton="0" quotePrefix="0" xfId="0">
      <alignment vertical="center"/>
    </xf>
    <xf numFmtId="0" fontId="4" fillId="8" borderId="46" applyAlignment="1" pivotButton="0" quotePrefix="0" xfId="0">
      <alignment vertical="center"/>
    </xf>
    <xf numFmtId="164" fontId="4" fillId="6" borderId="13" applyAlignment="1" pivotButton="0" quotePrefix="0" xfId="0">
      <alignment horizontal="center" vertical="center"/>
    </xf>
    <xf numFmtId="0" fontId="2" fillId="0" borderId="46" applyAlignment="1" pivotButton="0" quotePrefix="0" xfId="0">
      <alignment vertical="center"/>
    </xf>
    <xf numFmtId="0" fontId="10" fillId="6" borderId="50" applyAlignment="1" pivotButton="0" quotePrefix="0" xfId="0">
      <alignment horizontal="center" vertical="center" wrapText="1"/>
    </xf>
    <xf numFmtId="0" fontId="10" fillId="6" borderId="31" applyAlignment="1" pivotButton="0" quotePrefix="0" xfId="0">
      <alignment horizontal="center" vertical="center" wrapText="1"/>
    </xf>
    <xf numFmtId="0" fontId="10" fillId="6" borderId="40" applyAlignment="1" pivotButton="0" quotePrefix="0" xfId="0">
      <alignment horizontal="center" vertical="center" wrapText="1"/>
    </xf>
    <xf numFmtId="0" fontId="0" fillId="0" borderId="0" applyAlignment="1" pivotButton="0" quotePrefix="0" xfId="0">
      <alignment horizontal="left" vertical="center" wrapText="1"/>
    </xf>
    <xf numFmtId="0" fontId="32" fillId="0" borderId="0" applyAlignment="1" pivotButton="0" quotePrefix="0" xfId="0">
      <alignment vertical="center"/>
    </xf>
    <xf numFmtId="0" fontId="0" fillId="0" borderId="0" applyAlignment="1" pivotButton="0" quotePrefix="0" xfId="0">
      <alignment vertical="center"/>
    </xf>
    <xf numFmtId="0" fontId="33" fillId="26" borderId="18" applyAlignment="1" pivotButton="0" quotePrefix="0" xfId="0">
      <alignment horizontal="center" vertical="center" wrapText="1"/>
    </xf>
    <xf numFmtId="0" fontId="34" fillId="3" borderId="18" applyAlignment="1" pivotButton="0" quotePrefix="0" xfId="0">
      <alignment horizontal="justify" vertical="center" wrapText="1"/>
    </xf>
    <xf numFmtId="0" fontId="35" fillId="23" borderId="7" applyAlignment="1" pivotButton="0" quotePrefix="0" xfId="0">
      <alignment horizontal="justify" vertical="center"/>
    </xf>
    <xf numFmtId="0" fontId="35" fillId="23" borderId="16" applyAlignment="1" pivotButton="0" quotePrefix="0" xfId="0">
      <alignment vertical="center"/>
    </xf>
    <xf numFmtId="0" fontId="34" fillId="23" borderId="53" applyAlignment="1" pivotButton="0" quotePrefix="0" xfId="0">
      <alignment horizontal="justify" vertical="center"/>
    </xf>
    <xf numFmtId="0" fontId="35" fillId="23" borderId="18" applyAlignment="1" pivotButton="0" quotePrefix="0" xfId="0">
      <alignment horizontal="justify" vertical="center"/>
    </xf>
    <xf numFmtId="0" fontId="35" fillId="23" borderId="18" applyAlignment="1" pivotButton="0" quotePrefix="0" xfId="0">
      <alignment horizontal="justify" vertical="center" wrapText="1"/>
    </xf>
    <xf numFmtId="0" fontId="0" fillId="0" borderId="0" applyAlignment="1" pivotButton="0" quotePrefix="0" xfId="0">
      <alignment horizontal="left" vertical="center"/>
    </xf>
    <xf numFmtId="0" fontId="35" fillId="3" borderId="18" applyAlignment="1" pivotButton="0" quotePrefix="0" xfId="0">
      <alignment horizontal="justify" vertical="center"/>
    </xf>
    <xf numFmtId="0" fontId="38" fillId="26" borderId="18" applyAlignment="1" pivotButton="0" quotePrefix="0" xfId="0">
      <alignment horizontal="left" vertical="center"/>
    </xf>
    <xf numFmtId="0" fontId="44" fillId="0" borderId="18" applyAlignment="1" pivotButton="0" quotePrefix="0" xfId="0">
      <alignment horizontal="left" vertical="center" wrapText="1"/>
    </xf>
    <xf numFmtId="0" fontId="41" fillId="23" borderId="18" applyAlignment="1" pivotButton="0" quotePrefix="0" xfId="0">
      <alignment horizontal="left" vertical="center" wrapText="1"/>
    </xf>
    <xf numFmtId="0" fontId="41" fillId="0" borderId="18" applyAlignment="1" pivotButton="0" quotePrefix="0" xfId="0">
      <alignment horizontal="left" vertical="center" wrapText="1"/>
    </xf>
    <xf numFmtId="0" fontId="0" fillId="0" borderId="0" applyAlignment="1" pivotButton="0" quotePrefix="0" xfId="0">
      <alignment horizontal="center" vertical="center"/>
    </xf>
    <xf numFmtId="0" fontId="43" fillId="26" borderId="18" applyAlignment="1" pivotButton="0" quotePrefix="0" xfId="0">
      <alignment horizontal="center" vertical="center"/>
    </xf>
    <xf numFmtId="0" fontId="35" fillId="0" borderId="18" applyAlignment="1" pivotButton="0" quotePrefix="0" xfId="0">
      <alignment horizontal="left" vertical="center" wrapText="1"/>
    </xf>
    <xf numFmtId="0" fontId="38" fillId="26" borderId="18" applyAlignment="1" pivotButton="0" quotePrefix="0" xfId="0">
      <alignment horizontal="center" vertical="center" wrapText="1"/>
    </xf>
    <xf numFmtId="0" fontId="41" fillId="0" borderId="18" applyAlignment="1" pivotButton="0" quotePrefix="0" xfId="0">
      <alignment vertical="center" wrapText="1"/>
    </xf>
    <xf numFmtId="0" fontId="41" fillId="23" borderId="18" applyAlignment="1" pivotButton="0" quotePrefix="0" xfId="0">
      <alignment vertical="center" wrapText="1"/>
    </xf>
    <xf numFmtId="0" fontId="42" fillId="0" borderId="18" applyAlignment="1" pivotButton="0" quotePrefix="0" xfId="0">
      <alignment vertical="center" wrapText="1"/>
    </xf>
    <xf numFmtId="0" fontId="0" fillId="0" borderId="0" applyAlignment="1" pivotButton="0" quotePrefix="0" xfId="0">
      <alignment vertical="center" wrapText="1"/>
    </xf>
    <xf numFmtId="0" fontId="35" fillId="0" borderId="18" applyAlignment="1" pivotButton="0" quotePrefix="0" xfId="0">
      <alignment vertical="center" wrapText="1"/>
    </xf>
    <xf numFmtId="0" fontId="35" fillId="0" borderId="18" applyAlignment="1" pivotButton="0" quotePrefix="0" xfId="0">
      <alignment horizontal="justify" vertical="center" wrapText="1"/>
    </xf>
    <xf numFmtId="0" fontId="46" fillId="0" borderId="0" applyAlignment="1" pivotButton="0" quotePrefix="0" xfId="0">
      <alignment horizontal="centerContinuous" vertical="center" readingOrder="1"/>
    </xf>
    <xf numFmtId="0" fontId="47" fillId="0" borderId="0" applyAlignment="1" pivotButton="0" quotePrefix="0" xfId="0">
      <alignment horizontal="centerContinuous" vertical="center"/>
    </xf>
    <xf numFmtId="0" fontId="48" fillId="0" borderId="0" applyAlignment="1" pivotButton="0" quotePrefix="0" xfId="0">
      <alignment horizontal="centerContinuous" vertical="center"/>
    </xf>
    <xf numFmtId="0" fontId="47" fillId="0" borderId="0" applyAlignment="1" pivotButton="0" quotePrefix="0" xfId="0">
      <alignment vertical="center"/>
    </xf>
    <xf numFmtId="0" fontId="47" fillId="0" borderId="0" applyAlignment="1" pivotButton="0" quotePrefix="0" xfId="0">
      <alignment horizontal="center" vertical="center"/>
    </xf>
    <xf numFmtId="0" fontId="49" fillId="0" borderId="0" applyAlignment="1" pivotButton="0" quotePrefix="0" xfId="0">
      <alignment horizontal="center" vertical="center"/>
    </xf>
    <xf numFmtId="0" fontId="47" fillId="0" borderId="0" applyAlignment="1" pivotButton="0" quotePrefix="0" xfId="0">
      <alignment horizontal="centerContinuous" vertical="center" wrapText="1"/>
    </xf>
    <xf numFmtId="0" fontId="50" fillId="0" borderId="0" applyAlignment="1" pivotButton="0" quotePrefix="0" xfId="0">
      <alignment horizontal="centerContinuous" vertical="center" readingOrder="1"/>
    </xf>
    <xf numFmtId="0" fontId="51" fillId="3" borderId="0" applyAlignment="1" pivotButton="0" quotePrefix="0" xfId="0">
      <alignment horizontal="centerContinuous" vertical="center"/>
    </xf>
    <xf numFmtId="0" fontId="52" fillId="3" borderId="0" applyAlignment="1" pivotButton="0" quotePrefix="0" xfId="0">
      <alignment horizontal="centerContinuous" vertical="center"/>
    </xf>
    <xf numFmtId="0" fontId="52" fillId="3" borderId="0" applyAlignment="1" pivotButton="0" quotePrefix="0" xfId="0">
      <alignment vertical="center"/>
    </xf>
    <xf numFmtId="0" fontId="52" fillId="3" borderId="0" applyAlignment="1" pivotButton="0" quotePrefix="0" xfId="0">
      <alignment horizontal="center" vertical="center"/>
    </xf>
    <xf numFmtId="0" fontId="47" fillId="0" borderId="0" applyAlignment="1" pivotButton="0" quotePrefix="0" xfId="0">
      <alignment vertical="center" wrapText="1"/>
    </xf>
    <xf numFmtId="0" fontId="48" fillId="0" borderId="0" applyAlignment="1" pivotButton="0" quotePrefix="0" xfId="0">
      <alignment vertical="center"/>
    </xf>
    <xf numFmtId="0" fontId="48" fillId="21" borderId="1" applyAlignment="1" applyProtection="1" pivotButton="0" quotePrefix="0" xfId="0">
      <alignment horizontal="center" vertical="center" wrapText="1"/>
      <protection locked="0" hidden="0"/>
    </xf>
    <xf numFmtId="14" fontId="54" fillId="13" borderId="18" applyAlignment="1" pivotButton="0" quotePrefix="0" xfId="0">
      <alignment horizontal="center" vertical="center"/>
    </xf>
    <xf numFmtId="0" fontId="53" fillId="0" borderId="0" applyAlignment="1" pivotButton="0" quotePrefix="0" xfId="0">
      <alignment horizontal="left" vertical="center" readingOrder="1"/>
    </xf>
    <xf numFmtId="0" fontId="56" fillId="0" borderId="4" applyAlignment="1" pivotButton="0" quotePrefix="0" xfId="0">
      <alignment horizontal="left" vertical="center"/>
    </xf>
    <xf numFmtId="0" fontId="56" fillId="0" borderId="0" applyAlignment="1" pivotButton="0" quotePrefix="0" xfId="0">
      <alignment horizontal="left" vertical="center"/>
    </xf>
    <xf numFmtId="0" fontId="57" fillId="0" borderId="0" applyAlignment="1" pivotButton="0" quotePrefix="0" xfId="0">
      <alignment horizontal="left" vertical="center"/>
    </xf>
    <xf numFmtId="0" fontId="57" fillId="0" borderId="0" applyAlignment="1" pivotButton="0" quotePrefix="0" xfId="0">
      <alignment vertical="center"/>
    </xf>
    <xf numFmtId="0" fontId="57" fillId="0" borderId="0" applyAlignment="1" pivotButton="0" quotePrefix="0" xfId="0">
      <alignment horizontal="center" vertical="center"/>
    </xf>
    <xf numFmtId="0" fontId="60" fillId="0" borderId="0" applyAlignment="1" pivotButton="0" quotePrefix="0" xfId="0">
      <alignment horizontal="center" vertical="center" wrapText="1"/>
    </xf>
    <xf numFmtId="0" fontId="58" fillId="0" borderId="0" applyAlignment="1" pivotButton="0" quotePrefix="0" xfId="0">
      <alignment vertical="center" wrapText="1"/>
    </xf>
    <xf numFmtId="0" fontId="49" fillId="0" borderId="0" applyAlignment="1" pivotButton="0" quotePrefix="0" xfId="0">
      <alignment vertical="center"/>
    </xf>
    <xf numFmtId="3" fontId="64" fillId="3" borderId="18" applyAlignment="1" applyProtection="1" pivotButton="0" quotePrefix="0" xfId="1">
      <alignment horizontal="center" vertical="center" wrapText="1"/>
      <protection locked="0" hidden="0"/>
    </xf>
    <xf numFmtId="49" fontId="64" fillId="3" borderId="18" applyAlignment="1" applyProtection="1" pivotButton="0" quotePrefix="0" xfId="1">
      <alignment horizontal="center" vertical="center" wrapText="1"/>
      <protection locked="0" hidden="0"/>
    </xf>
    <xf numFmtId="166" fontId="64" fillId="3" borderId="18" applyAlignment="1" applyProtection="1" pivotButton="0" quotePrefix="0" xfId="1">
      <alignment horizontal="center" vertical="center" wrapText="1"/>
      <protection locked="0" hidden="0"/>
    </xf>
    <xf numFmtId="0" fontId="64" fillId="0" borderId="18" applyAlignment="1" pivotButton="0" quotePrefix="0" xfId="1">
      <alignment horizontal="center" vertical="center" wrapText="1"/>
    </xf>
    <xf numFmtId="3" fontId="65" fillId="18" borderId="18" applyAlignment="1" applyProtection="1" pivotButton="0" quotePrefix="0" xfId="1">
      <alignment horizontal="center" vertical="center" wrapText="1"/>
      <protection locked="0" hidden="0"/>
    </xf>
    <xf numFmtId="49" fontId="64" fillId="18" borderId="18" applyAlignment="1" applyProtection="1" pivotButton="0" quotePrefix="0" xfId="1">
      <alignment horizontal="center" vertical="center" wrapText="1"/>
      <protection locked="0" hidden="0"/>
    </xf>
    <xf numFmtId="166" fontId="64" fillId="18" borderId="18" applyAlignment="1" applyProtection="1" pivotButton="0" quotePrefix="0" xfId="1">
      <alignment horizontal="center" vertical="center" wrapText="1"/>
      <protection locked="0" hidden="0"/>
    </xf>
    <xf numFmtId="166" fontId="64" fillId="0" borderId="0" applyAlignment="1" applyProtection="1" pivotButton="0" quotePrefix="0" xfId="1">
      <alignment horizontal="center" vertical="center" wrapText="1"/>
      <protection locked="0" hidden="0"/>
    </xf>
    <xf numFmtId="164" fontId="64" fillId="0" borderId="0" applyAlignment="1" applyProtection="1" pivotButton="0" quotePrefix="0" xfId="1">
      <alignment vertical="center" wrapText="1"/>
      <protection locked="0" hidden="0"/>
    </xf>
    <xf numFmtId="0" fontId="64" fillId="3" borderId="18" applyAlignment="1" pivotButton="0" quotePrefix="0" xfId="1">
      <alignment horizontal="center" vertical="center" wrapText="1"/>
    </xf>
    <xf numFmtId="3" fontId="64" fillId="9" borderId="18" applyAlignment="1" pivotButton="0" quotePrefix="0" xfId="1">
      <alignment horizontal="center" vertical="center" wrapText="1"/>
    </xf>
    <xf numFmtId="164" fontId="66" fillId="9" borderId="8" applyAlignment="1" pivotButton="0" quotePrefix="0" xfId="1">
      <alignment vertical="center"/>
    </xf>
    <xf numFmtId="164" fontId="66" fillId="9" borderId="9" applyAlignment="1" pivotButton="0" quotePrefix="0" xfId="1">
      <alignment vertical="center"/>
    </xf>
    <xf numFmtId="164" fontId="67" fillId="9" borderId="9" applyAlignment="1" pivotButton="0" quotePrefix="0" xfId="1">
      <alignment vertical="center" wrapText="1"/>
    </xf>
    <xf numFmtId="3" fontId="68" fillId="9" borderId="9" applyAlignment="1" pivotButton="0" quotePrefix="0" xfId="1">
      <alignment horizontal="center" vertical="center" wrapText="1"/>
    </xf>
    <xf numFmtId="164" fontId="67" fillId="0" borderId="0" applyAlignment="1" applyProtection="1" pivotButton="0" quotePrefix="0" xfId="1">
      <alignment vertical="center" wrapText="1"/>
      <protection locked="0" hidden="0"/>
    </xf>
    <xf numFmtId="3" fontId="67" fillId="9" borderId="8" applyAlignment="1" applyProtection="1" pivotButton="0" quotePrefix="0" xfId="1">
      <alignment horizontal="center" vertical="center" wrapText="1"/>
      <protection locked="0" hidden="0"/>
    </xf>
    <xf numFmtId="3" fontId="67" fillId="9" borderId="9" applyAlignment="1" pivotButton="0" quotePrefix="0" xfId="1">
      <alignment horizontal="center" vertical="center" wrapText="1"/>
    </xf>
    <xf numFmtId="3" fontId="69" fillId="9" borderId="10" applyAlignment="1" applyProtection="1" pivotButton="0" quotePrefix="0" xfId="1">
      <alignment horizontal="center" vertical="center" wrapText="1"/>
      <protection locked="0" hidden="0"/>
    </xf>
    <xf numFmtId="164" fontId="64" fillId="0" borderId="0" applyAlignment="1" pivotButton="0" quotePrefix="0" xfId="1">
      <alignment vertical="center" wrapText="1"/>
    </xf>
    <xf numFmtId="164" fontId="58" fillId="0" borderId="0" applyAlignment="1" pivotButton="0" quotePrefix="0" xfId="1">
      <alignment vertical="center" wrapText="1"/>
    </xf>
    <xf numFmtId="3" fontId="67" fillId="0" borderId="14" applyAlignment="1" applyProtection="1" pivotButton="0" quotePrefix="0" xfId="1">
      <alignment horizontal="center" vertical="center" wrapText="1"/>
      <protection locked="0" hidden="0"/>
    </xf>
    <xf numFmtId="167" fontId="64" fillId="22" borderId="9" applyAlignment="1" pivotButton="0" quotePrefix="0" xfId="1">
      <alignment vertical="center" wrapText="1"/>
    </xf>
    <xf numFmtId="164" fontId="67" fillId="9" borderId="18" applyAlignment="1" pivotButton="0" quotePrefix="0" xfId="1">
      <alignment vertical="center"/>
    </xf>
    <xf numFmtId="164" fontId="67" fillId="0" borderId="0" applyAlignment="1" applyProtection="1" pivotButton="0" quotePrefix="0" xfId="1">
      <alignment vertical="center"/>
      <protection locked="0" hidden="0"/>
    </xf>
    <xf numFmtId="0" fontId="49" fillId="23" borderId="0" applyAlignment="1" pivotButton="0" quotePrefix="0" xfId="0">
      <alignment vertical="center"/>
    </xf>
    <xf numFmtId="164" fontId="64" fillId="23" borderId="8" applyAlignment="1" applyProtection="1" pivotButton="0" quotePrefix="0" xfId="1">
      <alignment vertical="center" wrapText="1"/>
      <protection locked="0" hidden="0"/>
    </xf>
    <xf numFmtId="164" fontId="64" fillId="23" borderId="9" applyAlignment="1" pivotButton="0" quotePrefix="0" xfId="1">
      <alignment vertical="center" wrapText="1"/>
    </xf>
    <xf numFmtId="164" fontId="64" fillId="23" borderId="9" applyAlignment="1" applyProtection="1" pivotButton="0" quotePrefix="0" xfId="1">
      <alignment vertical="center" wrapText="1"/>
      <protection locked="0" hidden="0"/>
    </xf>
    <xf numFmtId="164" fontId="64" fillId="23" borderId="9" applyAlignment="1" pivotButton="0" quotePrefix="0" xfId="1">
      <alignment horizontal="center" vertical="center" wrapText="1"/>
    </xf>
    <xf numFmtId="3" fontId="64" fillId="23" borderId="9" applyAlignment="1" pivotButton="0" quotePrefix="0" xfId="1">
      <alignment horizontal="center" vertical="center" wrapText="1"/>
    </xf>
    <xf numFmtId="164" fontId="64" fillId="23" borderId="9" applyAlignment="1" pivotButton="0" quotePrefix="0" xfId="1">
      <alignment horizontal="center" vertical="center" wrapText="1"/>
    </xf>
    <xf numFmtId="167" fontId="64" fillId="23" borderId="9" applyAlignment="1" applyProtection="1" pivotButton="0" quotePrefix="0" xfId="1">
      <alignment horizontal="center" vertical="center" wrapText="1"/>
      <protection locked="0" hidden="0"/>
    </xf>
    <xf numFmtId="167" fontId="64" fillId="23" borderId="9" applyAlignment="1" pivotButton="0" quotePrefix="0" xfId="1">
      <alignment horizontal="center" vertical="center" wrapText="1"/>
    </xf>
    <xf numFmtId="49" fontId="64" fillId="23" borderId="9" applyAlignment="1" applyProtection="1" pivotButton="0" quotePrefix="0" xfId="1">
      <alignment horizontal="center" vertical="center" wrapText="1"/>
      <protection locked="0" hidden="0"/>
    </xf>
    <xf numFmtId="167" fontId="64" fillId="23" borderId="10" applyAlignment="1" applyProtection="1" pivotButton="0" quotePrefix="0" xfId="1">
      <alignment horizontal="center" vertical="center" wrapText="1"/>
      <protection locked="0" hidden="0"/>
    </xf>
    <xf numFmtId="167" fontId="64" fillId="0" borderId="0" applyAlignment="1" applyProtection="1" pivotButton="0" quotePrefix="0" xfId="1">
      <alignment horizontal="center" vertical="center" wrapText="1"/>
      <protection locked="0" hidden="0"/>
    </xf>
    <xf numFmtId="3" fontId="58" fillId="23" borderId="8" applyAlignment="1" applyProtection="1" pivotButton="0" quotePrefix="0" xfId="1">
      <alignment horizontal="center" vertical="center" wrapText="1"/>
      <protection locked="0" hidden="0"/>
    </xf>
    <xf numFmtId="3" fontId="64" fillId="23" borderId="9" applyAlignment="1" pivotButton="0" quotePrefix="0" xfId="1">
      <alignment horizontal="center" vertical="center" wrapText="1"/>
    </xf>
    <xf numFmtId="0" fontId="64" fillId="0" borderId="0" applyAlignment="1" applyProtection="1" pivotButton="0" quotePrefix="0" xfId="1">
      <alignment vertical="center" wrapText="1"/>
      <protection locked="0" hidden="0"/>
    </xf>
    <xf numFmtId="0" fontId="49" fillId="0" borderId="18" applyAlignment="1" pivotButton="0" quotePrefix="0" xfId="0">
      <alignment horizontal="center" vertical="center"/>
    </xf>
    <xf numFmtId="3" fontId="59" fillId="3" borderId="18" applyAlignment="1" pivotButton="0" quotePrefix="0" xfId="1">
      <alignment horizontal="center" vertical="center" wrapText="1"/>
    </xf>
    <xf numFmtId="0" fontId="69" fillId="0" borderId="0" applyAlignment="1" pivotButton="0" quotePrefix="0" xfId="0">
      <alignment horizontal="left" vertical="center"/>
    </xf>
    <xf numFmtId="164" fontId="58" fillId="0" borderId="0" applyAlignment="1" pivotButton="0" quotePrefix="0" xfId="1">
      <alignment horizontal="center" vertical="center" wrapText="1"/>
    </xf>
    <xf numFmtId="164" fontId="58" fillId="0" borderId="0" applyAlignment="1" applyProtection="1" pivotButton="0" quotePrefix="0" xfId="1">
      <alignment horizontal="center" vertical="center" wrapText="1"/>
      <protection locked="0" hidden="0"/>
    </xf>
    <xf numFmtId="164" fontId="59" fillId="0" borderId="0" applyAlignment="1" pivotButton="0" quotePrefix="0" xfId="1">
      <alignment horizontal="center" vertical="center"/>
    </xf>
    <xf numFmtId="165" fontId="68" fillId="0" borderId="0" applyAlignment="1" pivotButton="0" quotePrefix="0" xfId="2">
      <alignment vertical="center" wrapText="1"/>
    </xf>
    <xf numFmtId="166" fontId="64" fillId="0" borderId="0" applyAlignment="1" applyProtection="1" pivotButton="0" quotePrefix="0" xfId="1">
      <alignment vertical="center" wrapText="1"/>
      <protection locked="0" hidden="0"/>
    </xf>
    <xf numFmtId="166" fontId="64" fillId="0" borderId="0" applyAlignment="1" pivotButton="0" quotePrefix="0" xfId="1">
      <alignment horizontal="center" vertical="center" wrapText="1"/>
    </xf>
    <xf numFmtId="166" fontId="64" fillId="0" borderId="0" applyAlignment="1" pivotButton="0" quotePrefix="0" xfId="1">
      <alignment vertical="center" wrapText="1"/>
    </xf>
    <xf numFmtId="49" fontId="64" fillId="0" borderId="0" applyAlignment="1" applyProtection="1" pivotButton="0" quotePrefix="0" xfId="1">
      <alignment vertical="center" wrapText="1"/>
      <protection locked="0" hidden="0"/>
    </xf>
    <xf numFmtId="3" fontId="47" fillId="0" borderId="0" applyAlignment="1" applyProtection="1" pivotButton="0" quotePrefix="0" xfId="1">
      <alignment horizontal="center" vertical="center"/>
      <protection locked="0" hidden="0"/>
    </xf>
    <xf numFmtId="164" fontId="67" fillId="9" borderId="9" applyAlignment="1" pivotButton="0" quotePrefix="0" xfId="1">
      <alignment horizontal="left" vertical="center" wrapText="1"/>
    </xf>
    <xf numFmtId="164" fontId="67" fillId="9" borderId="10" applyAlignment="1" applyProtection="1" pivotButton="0" quotePrefix="0" xfId="1">
      <alignment horizontal="left" vertical="center" wrapText="1"/>
      <protection locked="0" hidden="0"/>
    </xf>
    <xf numFmtId="164" fontId="67" fillId="0" borderId="0" applyAlignment="1" applyProtection="1" pivotButton="0" quotePrefix="0" xfId="1">
      <alignment horizontal="left" vertical="center" wrapText="1"/>
      <protection locked="0" hidden="0"/>
    </xf>
    <xf numFmtId="164" fontId="67" fillId="9" borderId="8" applyAlignment="1" applyProtection="1" pivotButton="0" quotePrefix="0" xfId="1">
      <alignment horizontal="left" vertical="center"/>
      <protection locked="0" hidden="0"/>
    </xf>
    <xf numFmtId="164" fontId="67" fillId="9" borderId="8" applyAlignment="1" pivotButton="0" quotePrefix="0" xfId="1">
      <alignment horizontal="left" vertical="center"/>
    </xf>
    <xf numFmtId="49" fontId="67" fillId="9" borderId="8" applyAlignment="1" applyProtection="1" pivotButton="0" quotePrefix="0" xfId="1">
      <alignment horizontal="left" vertical="center"/>
      <protection locked="0" hidden="0"/>
    </xf>
    <xf numFmtId="3" fontId="67" fillId="9" borderId="10" applyAlignment="1" pivotButton="0" quotePrefix="0" xfId="1">
      <alignment horizontal="center" vertical="center" wrapText="1"/>
    </xf>
    <xf numFmtId="0" fontId="62" fillId="0" borderId="0" applyAlignment="1" applyProtection="1" pivotButton="0" quotePrefix="0" xfId="0">
      <alignment horizontal="left" vertical="top"/>
      <protection locked="0" hidden="0"/>
    </xf>
    <xf numFmtId="0" fontId="69" fillId="0" borderId="0" applyAlignment="1" applyProtection="1" pivotButton="0" quotePrefix="0" xfId="0">
      <alignment horizontal="left" vertical="center" wrapText="1"/>
      <protection locked="0" hidden="0"/>
    </xf>
    <xf numFmtId="0" fontId="69" fillId="0" borderId="0" applyAlignment="1" applyProtection="1" pivotButton="0" quotePrefix="0" xfId="0">
      <alignment horizontal="right" vertical="center" wrapText="1"/>
      <protection locked="0" hidden="0"/>
    </xf>
    <xf numFmtId="0" fontId="69" fillId="0" borderId="0" applyAlignment="1" applyProtection="1" pivotButton="0" quotePrefix="0" xfId="0">
      <alignment horizontal="right" vertical="center"/>
      <protection locked="0" hidden="0"/>
    </xf>
    <xf numFmtId="0" fontId="69" fillId="0" borderId="0" applyAlignment="1" applyProtection="1" pivotButton="0" quotePrefix="0" xfId="0">
      <alignment horizontal="center" vertical="center"/>
      <protection locked="0" hidden="0"/>
    </xf>
    <xf numFmtId="0" fontId="69" fillId="0" borderId="0" applyAlignment="1" pivotButton="0" quotePrefix="0" xfId="0">
      <alignment horizontal="center" vertical="center"/>
    </xf>
    <xf numFmtId="3" fontId="47" fillId="0" borderId="0" applyAlignment="1" applyProtection="1" pivotButton="0" quotePrefix="0" xfId="0">
      <alignment horizontal="center" vertical="center"/>
      <protection locked="0" hidden="0"/>
    </xf>
    <xf numFmtId="3" fontId="49" fillId="0" borderId="0" applyAlignment="1" applyProtection="1" pivotButton="0" quotePrefix="0" xfId="0">
      <alignment horizontal="center" vertical="center"/>
      <protection locked="0" hidden="0"/>
    </xf>
    <xf numFmtId="0" fontId="74" fillId="22" borderId="8" applyAlignment="1" pivotButton="0" quotePrefix="0" xfId="0">
      <alignment horizontal="centerContinuous" vertical="center" wrapText="1"/>
    </xf>
    <xf numFmtId="0" fontId="75" fillId="22" borderId="9" applyAlignment="1" pivotButton="0" quotePrefix="0" xfId="0">
      <alignment horizontal="centerContinuous" vertical="center" wrapText="1"/>
    </xf>
    <xf numFmtId="0" fontId="75" fillId="22" borderId="10" applyAlignment="1" pivotButton="0" quotePrefix="0" xfId="0">
      <alignment horizontal="centerContinuous" vertical="center" wrapText="1"/>
    </xf>
    <xf numFmtId="0" fontId="47" fillId="0" borderId="0" applyAlignment="1" applyProtection="1" pivotButton="0" quotePrefix="0" xfId="0">
      <alignment horizontal="center" vertical="center"/>
      <protection locked="0" hidden="0"/>
    </xf>
    <xf numFmtId="0" fontId="49" fillId="0" borderId="0" applyAlignment="1" applyProtection="1" pivotButton="0" quotePrefix="0" xfId="0">
      <alignment horizontal="center" vertical="center"/>
      <protection locked="0" hidden="0"/>
    </xf>
    <xf numFmtId="0" fontId="46" fillId="0" borderId="8" applyAlignment="1" pivotButton="0" quotePrefix="0" xfId="0">
      <alignment horizontal="centerContinuous" vertical="center"/>
    </xf>
    <xf numFmtId="0" fontId="46" fillId="0" borderId="9" applyAlignment="1" pivotButton="0" quotePrefix="0" xfId="0">
      <alignment horizontal="centerContinuous" vertical="center"/>
    </xf>
    <xf numFmtId="0" fontId="76" fillId="0" borderId="0" applyAlignment="1" pivotButton="0" quotePrefix="0" xfId="0">
      <alignment horizontal="centerContinuous" vertical="center"/>
    </xf>
    <xf numFmtId="0" fontId="57" fillId="0" borderId="0" applyAlignment="1" applyProtection="1" pivotButton="0" quotePrefix="0" xfId="0">
      <alignment horizontal="center" vertical="center"/>
      <protection locked="0" hidden="0"/>
    </xf>
    <xf numFmtId="0" fontId="61" fillId="0" borderId="14" applyAlignment="1" pivotButton="0" quotePrefix="0" xfId="0">
      <alignment horizontal="center" vertical="center" wrapText="1"/>
    </xf>
    <xf numFmtId="0" fontId="59" fillId="13" borderId="18" applyAlignment="1" pivotButton="0" quotePrefix="0" xfId="0">
      <alignment horizontal="center" vertical="center" wrapText="1"/>
    </xf>
    <xf numFmtId="0" fontId="64" fillId="0" borderId="14" applyAlignment="1" pivotButton="0" quotePrefix="0" xfId="0">
      <alignment horizontal="center" vertical="center" wrapText="1"/>
    </xf>
    <xf numFmtId="0" fontId="73" fillId="0" borderId="0" applyAlignment="1" pivotButton="0" quotePrefix="0" xfId="0">
      <alignment vertical="center" wrapText="1"/>
    </xf>
    <xf numFmtId="0" fontId="73" fillId="0" borderId="14" applyAlignment="1" pivotButton="0" quotePrefix="0" xfId="0">
      <alignment vertical="center" wrapText="1"/>
    </xf>
    <xf numFmtId="164" fontId="47" fillId="0" borderId="0" applyAlignment="1" applyProtection="1" pivotButton="0" quotePrefix="0" xfId="1">
      <alignment horizontal="center" vertical="center"/>
      <protection locked="0" hidden="0"/>
    </xf>
    <xf numFmtId="3" fontId="65" fillId="11" borderId="18" applyAlignment="1" pivotButton="0" quotePrefix="0" xfId="1">
      <alignment horizontal="center" vertical="center"/>
    </xf>
    <xf numFmtId="3" fontId="65" fillId="29" borderId="18" applyAlignment="1" pivotButton="0" quotePrefix="0" xfId="1">
      <alignment horizontal="center" vertical="center"/>
    </xf>
    <xf numFmtId="3" fontId="79" fillId="25" borderId="18" applyAlignment="1" pivotButton="0" quotePrefix="0" xfId="1">
      <alignment horizontal="center" vertical="center"/>
    </xf>
    <xf numFmtId="3" fontId="69" fillId="0" borderId="18" applyAlignment="1" applyProtection="1" pivotButton="0" quotePrefix="0" xfId="1">
      <alignment horizontal="center" vertical="center"/>
      <protection locked="0" hidden="0"/>
    </xf>
    <xf numFmtId="3" fontId="69" fillId="34" borderId="18" applyAlignment="1" pivotButton="0" quotePrefix="0" xfId="1">
      <alignment horizontal="center" vertical="center"/>
    </xf>
    <xf numFmtId="3" fontId="70" fillId="28" borderId="18" applyAlignment="1" pivotButton="0" quotePrefix="0" xfId="1">
      <alignment horizontal="center" vertical="center"/>
    </xf>
    <xf numFmtId="3" fontId="59" fillId="19" borderId="18" applyAlignment="1" pivotButton="0" quotePrefix="0" xfId="0">
      <alignment horizontal="center" vertical="center"/>
    </xf>
    <xf numFmtId="169" fontId="47" fillId="0" borderId="18" applyAlignment="1" pivotButton="0" quotePrefix="0" xfId="0">
      <alignment horizontal="center" vertical="center"/>
    </xf>
    <xf numFmtId="2" fontId="47" fillId="0" borderId="18" applyAlignment="1" pivotButton="0" quotePrefix="0" xfId="0">
      <alignment horizontal="center" vertical="center"/>
    </xf>
    <xf numFmtId="170" fontId="47" fillId="0" borderId="18" applyAlignment="1" pivotButton="0" quotePrefix="0" xfId="0">
      <alignment horizontal="center" vertical="center"/>
    </xf>
    <xf numFmtId="1" fontId="47" fillId="0" borderId="18" applyAlignment="1" pivotButton="0" quotePrefix="0" xfId="0">
      <alignment horizontal="center" vertical="center"/>
    </xf>
    <xf numFmtId="3" fontId="64" fillId="23" borderId="9" applyAlignment="1" pivotButton="0" quotePrefix="0" xfId="1">
      <alignment vertical="center" wrapText="1"/>
    </xf>
    <xf numFmtId="3" fontId="64" fillId="23" borderId="9" applyAlignment="1" applyProtection="1" pivotButton="0" quotePrefix="0" xfId="1">
      <alignment vertical="center" wrapText="1"/>
      <protection locked="0" hidden="0"/>
    </xf>
    <xf numFmtId="3" fontId="64" fillId="23" borderId="10" applyAlignment="1" pivotButton="0" quotePrefix="0" xfId="1">
      <alignment vertical="center" wrapText="1"/>
    </xf>
    <xf numFmtId="3" fontId="49" fillId="23" borderId="9" applyAlignment="1" pivotButton="0" quotePrefix="0" xfId="1">
      <alignment horizontal="center" vertical="center"/>
    </xf>
    <xf numFmtId="3" fontId="49" fillId="0" borderId="14" applyAlignment="1" applyProtection="1" pivotButton="0" quotePrefix="0" xfId="1">
      <alignment horizontal="center" vertical="center"/>
      <protection locked="0" hidden="0"/>
    </xf>
    <xf numFmtId="3" fontId="64" fillId="0" borderId="0" applyAlignment="1" pivotButton="0" quotePrefix="0" xfId="1">
      <alignment horizontal="center" vertical="center"/>
    </xf>
    <xf numFmtId="169" fontId="47" fillId="0" borderId="0" applyAlignment="1" pivotButton="0" quotePrefix="0" xfId="0">
      <alignment horizontal="center" vertical="center"/>
    </xf>
    <xf numFmtId="170" fontId="47" fillId="0" borderId="0" applyAlignment="1" pivotButton="0" quotePrefix="0" xfId="0">
      <alignment horizontal="center" vertical="center"/>
    </xf>
    <xf numFmtId="1" fontId="47" fillId="0" borderId="0" applyAlignment="1" pivotButton="0" quotePrefix="0" xfId="0">
      <alignment horizontal="center" vertical="center"/>
    </xf>
    <xf numFmtId="0" fontId="47" fillId="0" borderId="0" applyAlignment="1" applyProtection="1" pivotButton="0" quotePrefix="0" xfId="0">
      <alignment vertical="center"/>
      <protection locked="0" hidden="0"/>
    </xf>
    <xf numFmtId="0" fontId="47" fillId="0" borderId="0" applyAlignment="1" applyProtection="1" pivotButton="0" quotePrefix="0" xfId="0">
      <alignment vertical="center" wrapText="1"/>
      <protection locked="0" hidden="0"/>
    </xf>
    <xf numFmtId="164" fontId="47" fillId="0" borderId="0" applyAlignment="1" applyProtection="1" pivotButton="0" quotePrefix="0" xfId="0">
      <alignment horizontal="center" vertical="center"/>
      <protection locked="0" hidden="0"/>
    </xf>
    <xf numFmtId="0" fontId="80" fillId="22" borderId="8" applyAlignment="1" pivotButton="0" quotePrefix="0" xfId="0">
      <alignment horizontal="centerContinuous" vertical="center" wrapText="1"/>
    </xf>
    <xf numFmtId="0" fontId="80" fillId="22" borderId="9" applyAlignment="1" pivotButton="0" quotePrefix="0" xfId="0">
      <alignment horizontal="centerContinuous" vertical="center" wrapText="1"/>
    </xf>
    <xf numFmtId="0" fontId="80" fillId="22" borderId="10" applyAlignment="1" pivotButton="0" quotePrefix="0" xfId="0">
      <alignment horizontal="centerContinuous" vertical="center" wrapText="1"/>
    </xf>
    <xf numFmtId="0" fontId="53" fillId="0" borderId="8" applyAlignment="1" pivotButton="0" quotePrefix="0" xfId="0">
      <alignment horizontal="centerContinuous" vertical="center"/>
    </xf>
    <xf numFmtId="0" fontId="56" fillId="0" borderId="9" applyAlignment="1" pivotButton="0" quotePrefix="0" xfId="0">
      <alignment horizontal="centerContinuous" vertical="center"/>
    </xf>
    <xf numFmtId="164" fontId="47" fillId="0" borderId="0" applyAlignment="1" applyProtection="1" pivotButton="0" quotePrefix="0" xfId="0">
      <alignment horizontal="centerContinuous" vertical="center"/>
      <protection locked="0" hidden="0"/>
    </xf>
    <xf numFmtId="0" fontId="81" fillId="0" borderId="0" applyAlignment="1" pivotButton="0" quotePrefix="0" xfId="0">
      <alignment vertical="center"/>
    </xf>
    <xf numFmtId="0" fontId="81" fillId="0" borderId="0" applyAlignment="1" applyProtection="1" pivotButton="0" quotePrefix="0" xfId="0">
      <alignment horizontal="center" vertical="center"/>
      <protection locked="0" hidden="0"/>
    </xf>
    <xf numFmtId="0" fontId="49" fillId="0" borderId="0" applyAlignment="1" pivotButton="0" quotePrefix="0" xfId="0">
      <alignment horizontal="center" vertical="center" wrapText="1"/>
    </xf>
    <xf numFmtId="0" fontId="61" fillId="0" borderId="14" applyAlignment="1" pivotButton="0" quotePrefix="0" xfId="0">
      <alignment vertical="center" wrapText="1"/>
    </xf>
    <xf numFmtId="0" fontId="61" fillId="0" borderId="0" applyAlignment="1" pivotButton="0" quotePrefix="0" xfId="0">
      <alignment vertical="center" wrapText="1"/>
    </xf>
    <xf numFmtId="0" fontId="64" fillId="0" borderId="14" applyAlignment="1" pivotButton="0" quotePrefix="0" xfId="0">
      <alignment vertical="center" wrapText="1"/>
    </xf>
    <xf numFmtId="0" fontId="72" fillId="20" borderId="7" applyAlignment="1" pivotButton="0" quotePrefix="0" xfId="0">
      <alignment horizontal="center" vertical="center" wrapText="1"/>
    </xf>
    <xf numFmtId="0" fontId="72" fillId="11" borderId="7" applyAlignment="1" pivotButton="0" quotePrefix="0" xfId="0">
      <alignment horizontal="center" vertical="center" wrapText="1"/>
    </xf>
    <xf numFmtId="171" fontId="64" fillId="32" borderId="52" applyAlignment="1" pivotButton="0" quotePrefix="0" xfId="2">
      <alignment horizontal="center" vertical="center" wrapText="1"/>
    </xf>
    <xf numFmtId="171" fontId="69" fillId="0" borderId="52" applyAlignment="1" pivotButton="0" quotePrefix="0" xfId="2">
      <alignment horizontal="center" vertical="center" wrapText="1"/>
    </xf>
    <xf numFmtId="171" fontId="69" fillId="11" borderId="52" applyAlignment="1" pivotButton="0" quotePrefix="0" xfId="2">
      <alignment horizontal="center" vertical="center" wrapText="1"/>
    </xf>
    <xf numFmtId="171" fontId="69" fillId="30" borderId="52" applyAlignment="1" pivotButton="0" quotePrefix="0" xfId="2">
      <alignment horizontal="center" vertical="center" wrapText="1"/>
    </xf>
    <xf numFmtId="3" fontId="59" fillId="31" borderId="18" applyAlignment="1" pivotButton="0" quotePrefix="0" xfId="0">
      <alignment horizontal="center" vertical="center"/>
    </xf>
    <xf numFmtId="171" fontId="64" fillId="23" borderId="52" applyAlignment="1" pivotButton="0" quotePrefix="0" xfId="2">
      <alignment horizontal="center" vertical="center" wrapText="1"/>
    </xf>
    <xf numFmtId="171" fontId="69" fillId="33" borderId="52" applyAlignment="1" pivotButton="0" quotePrefix="0" xfId="2">
      <alignment horizontal="center" vertical="center" wrapText="1"/>
    </xf>
    <xf numFmtId="171" fontId="69" fillId="27" borderId="52" applyAlignment="1" pivotButton="0" quotePrefix="0" xfId="2">
      <alignment horizontal="center" vertical="center" wrapText="1"/>
    </xf>
    <xf numFmtId="3" fontId="64" fillId="18" borderId="18" applyAlignment="1" pivotButton="0" quotePrefix="0" xfId="1">
      <alignment horizontal="center" vertical="center" wrapText="1"/>
    </xf>
    <xf numFmtId="3" fontId="69" fillId="0" borderId="18" applyAlignment="1" pivotButton="0" quotePrefix="0" xfId="1">
      <alignment horizontal="center" vertical="center"/>
    </xf>
    <xf numFmtId="3" fontId="59" fillId="18" borderId="8" applyAlignment="1" pivotButton="0" quotePrefix="0" xfId="1">
      <alignment horizontal="center" vertical="center"/>
    </xf>
    <xf numFmtId="3" fontId="69" fillId="0" borderId="14" applyAlignment="1" pivotButton="0" quotePrefix="0" xfId="1">
      <alignment vertical="center"/>
    </xf>
    <xf numFmtId="3" fontId="59" fillId="0" borderId="0" applyAlignment="1" pivotButton="0" quotePrefix="0" xfId="0">
      <alignment horizontal="center" vertical="center"/>
    </xf>
    <xf numFmtId="164" fontId="64" fillId="23" borderId="8" applyAlignment="1" pivotButton="0" quotePrefix="0" xfId="1">
      <alignment vertical="center" wrapText="1"/>
    </xf>
    <xf numFmtId="164" fontId="64" fillId="23" borderId="9" applyAlignment="1" pivotButton="0" quotePrefix="0" xfId="1">
      <alignment vertical="center" wrapText="1"/>
    </xf>
    <xf numFmtId="164" fontId="59" fillId="23" borderId="9" applyAlignment="1" pivotButton="0" quotePrefix="0" xfId="1">
      <alignment horizontal="center" vertical="center"/>
    </xf>
    <xf numFmtId="164" fontId="69" fillId="23" borderId="9" applyAlignment="1" pivotButton="0" quotePrefix="0" xfId="1">
      <alignment vertical="center" wrapText="1"/>
    </xf>
    <xf numFmtId="164" fontId="64" fillId="23" borderId="10" applyAlignment="1" applyProtection="1" pivotButton="0" quotePrefix="0" xfId="1">
      <alignment vertical="center" wrapText="1"/>
      <protection locked="0" hidden="0"/>
    </xf>
    <xf numFmtId="3" fontId="49" fillId="23" borderId="8" applyAlignment="1" pivotButton="0" quotePrefix="0" xfId="1">
      <alignment horizontal="center" vertical="center"/>
    </xf>
    <xf numFmtId="3" fontId="49" fillId="0" borderId="14" applyAlignment="1" pivotButton="0" quotePrefix="0" xfId="1">
      <alignment horizontal="center" vertical="center"/>
    </xf>
    <xf numFmtId="164" fontId="64" fillId="23" borderId="8" applyAlignment="1" pivotButton="0" quotePrefix="0" xfId="1">
      <alignment vertical="center" wrapText="1"/>
    </xf>
    <xf numFmtId="164" fontId="59" fillId="23" borderId="9" applyAlignment="1" applyProtection="1" pivotButton="0" quotePrefix="0" xfId="1">
      <alignment horizontal="center" vertical="center"/>
      <protection locked="0" hidden="0"/>
    </xf>
    <xf numFmtId="0" fontId="71" fillId="0" borderId="18" applyAlignment="1" pivotButton="0" quotePrefix="0" xfId="0">
      <alignment horizontal="center" vertical="center" wrapText="1"/>
    </xf>
    <xf numFmtId="0" fontId="83" fillId="0" borderId="18" applyAlignment="1" pivotButton="0" quotePrefix="0" xfId="0">
      <alignment vertical="center" wrapText="1"/>
    </xf>
    <xf numFmtId="0" fontId="83" fillId="0" borderId="18" applyAlignment="1" pivotButton="0" quotePrefix="0" xfId="0">
      <alignment horizontal="center" vertical="center" wrapText="1"/>
    </xf>
    <xf numFmtId="0" fontId="83" fillId="0" borderId="0" applyAlignment="1" pivotButton="0" quotePrefix="0" xfId="0">
      <alignment vertical="center" wrapText="1"/>
    </xf>
    <xf numFmtId="0" fontId="83" fillId="0" borderId="0" applyAlignment="1" pivotButton="0" quotePrefix="0" xfId="0">
      <alignment horizontal="center" vertical="center" wrapText="1"/>
    </xf>
    <xf numFmtId="0" fontId="47" fillId="0" borderId="0" applyAlignment="1" pivotButton="0" quotePrefix="0" xfId="0">
      <alignment horizontal="center" vertical="center" wrapText="1"/>
    </xf>
    <xf numFmtId="0" fontId="64" fillId="22" borderId="18" applyAlignment="1" pivotButton="0" quotePrefix="0" xfId="0">
      <alignment horizontal="centerContinuous" vertical="center" wrapText="1"/>
    </xf>
    <xf numFmtId="0" fontId="49" fillId="0" borderId="0" applyAlignment="1" applyProtection="1" pivotButton="0" quotePrefix="0" xfId="0">
      <alignment vertical="center"/>
      <protection locked="0" hidden="0"/>
    </xf>
    <xf numFmtId="0" fontId="47" fillId="0" borderId="5" applyAlignment="1" applyProtection="1" pivotButton="0" quotePrefix="0" xfId="0">
      <alignment vertical="center"/>
      <protection locked="0" hidden="0"/>
    </xf>
    <xf numFmtId="0" fontId="47" fillId="0" borderId="14" applyAlignment="1" applyProtection="1" pivotButton="0" quotePrefix="0" xfId="0">
      <alignment vertical="center"/>
      <protection locked="0" hidden="0"/>
    </xf>
    <xf numFmtId="171" fontId="69" fillId="0" borderId="9" applyAlignment="1" pivotButton="0" quotePrefix="0" xfId="2">
      <alignment horizontal="center" vertical="center" wrapText="1"/>
    </xf>
    <xf numFmtId="0" fontId="49" fillId="0" borderId="9" applyAlignment="1" pivotButton="0" quotePrefix="0" xfId="0">
      <alignment horizontal="center" vertical="center"/>
    </xf>
    <xf numFmtId="0" fontId="69" fillId="0" borderId="9" applyAlignment="1" pivotButton="0" quotePrefix="0" xfId="0">
      <alignment horizontal="left" vertical="center"/>
    </xf>
    <xf numFmtId="171" fontId="64" fillId="0" borderId="9" applyAlignment="1" pivotButton="0" quotePrefix="0" xfId="2">
      <alignment horizontal="center" vertical="center" wrapText="1"/>
    </xf>
    <xf numFmtId="3" fontId="59" fillId="0" borderId="9" applyAlignment="1" pivotButton="0" quotePrefix="0" xfId="0">
      <alignment horizontal="center" vertical="center"/>
    </xf>
    <xf numFmtId="3" fontId="64" fillId="0" borderId="9" applyAlignment="1" pivotButton="0" quotePrefix="0" xfId="1">
      <alignment horizontal="center" vertical="center" wrapText="1"/>
    </xf>
    <xf numFmtId="49" fontId="64" fillId="0" borderId="9" applyAlignment="1" applyProtection="1" pivotButton="0" quotePrefix="0" xfId="1">
      <alignment horizontal="center" vertical="center" wrapText="1"/>
      <protection locked="0" hidden="0"/>
    </xf>
    <xf numFmtId="166" fontId="64" fillId="0" borderId="9" applyAlignment="1" applyProtection="1" pivotButton="0" quotePrefix="0" xfId="1">
      <alignment horizontal="center" vertical="center" wrapText="1"/>
      <protection locked="0" hidden="0"/>
    </xf>
    <xf numFmtId="0" fontId="47" fillId="0" borderId="9" applyAlignment="1" pivotButton="0" quotePrefix="0" xfId="0">
      <alignment horizontal="center" vertical="center"/>
    </xf>
    <xf numFmtId="3" fontId="69" fillId="0" borderId="18" applyAlignment="1" pivotButton="0" quotePrefix="0" xfId="1">
      <alignment horizontal="center" vertical="center"/>
    </xf>
    <xf numFmtId="3" fontId="49" fillId="22" borderId="9" applyAlignment="1" pivotButton="0" quotePrefix="0" xfId="1">
      <alignment horizontal="center" vertical="center"/>
    </xf>
    <xf numFmtId="3" fontId="64" fillId="7" borderId="18" applyAlignment="1" pivotButton="0" quotePrefix="0" xfId="1">
      <alignment horizontal="center" vertical="center"/>
    </xf>
    <xf numFmtId="0" fontId="55" fillId="0" borderId="0" applyAlignment="1" pivotButton="0" quotePrefix="0" xfId="0">
      <alignment vertical="center"/>
    </xf>
    <xf numFmtId="169" fontId="55" fillId="0" borderId="0" applyAlignment="1" pivotButton="0" quotePrefix="0" xfId="0">
      <alignment horizontal="center" vertical="center"/>
    </xf>
    <xf numFmtId="170" fontId="55" fillId="0" borderId="0" applyAlignment="1" pivotButton="0" quotePrefix="0" xfId="0">
      <alignment horizontal="center" vertical="center"/>
    </xf>
    <xf numFmtId="1" fontId="55" fillId="0" borderId="0" applyAlignment="1" pivotButton="0" quotePrefix="0" xfId="0">
      <alignment horizontal="center" vertical="center"/>
    </xf>
    <xf numFmtId="0" fontId="58" fillId="25" borderId="7" applyAlignment="1" pivotButton="0" quotePrefix="0" xfId="0">
      <alignment horizontal="center" vertical="center" wrapText="1"/>
    </xf>
    <xf numFmtId="3" fontId="59" fillId="18" borderId="18" applyAlignment="1" pivotButton="0" quotePrefix="0" xfId="1">
      <alignment horizontal="center" vertical="center"/>
    </xf>
    <xf numFmtId="0" fontId="47" fillId="0" borderId="14" applyAlignment="1" pivotButton="0" quotePrefix="0" xfId="0">
      <alignment horizontal="center" vertical="center"/>
    </xf>
    <xf numFmtId="3" fontId="65" fillId="0" borderId="18" applyAlignment="1" pivotButton="0" quotePrefix="0" xfId="1">
      <alignment horizontal="center" vertical="center"/>
    </xf>
    <xf numFmtId="172" fontId="69" fillId="0" borderId="52" applyAlignment="1" pivotButton="0" quotePrefix="0" xfId="2">
      <alignment horizontal="center" vertical="center" wrapText="1"/>
    </xf>
    <xf numFmtId="166" fontId="69" fillId="18" borderId="18" applyAlignment="1" applyProtection="1" pivotButton="0" quotePrefix="0" xfId="1">
      <alignment horizontal="left" vertical="center" wrapText="1"/>
      <protection locked="0" hidden="0"/>
    </xf>
    <xf numFmtId="0" fontId="83" fillId="0" borderId="53" applyAlignment="1" pivotButton="0" quotePrefix="0" xfId="0">
      <alignment vertical="center" wrapText="1"/>
    </xf>
    <xf numFmtId="3" fontId="65" fillId="11" borderId="18" applyAlignment="1" applyProtection="1" pivotButton="0" quotePrefix="0" xfId="1">
      <alignment horizontal="center" vertical="center"/>
      <protection locked="0" hidden="0"/>
    </xf>
    <xf numFmtId="3" fontId="65" fillId="29" borderId="18" applyAlignment="1" applyProtection="1" pivotButton="0" quotePrefix="0" xfId="1">
      <alignment horizontal="center" vertical="center"/>
      <protection locked="0" hidden="0"/>
    </xf>
    <xf numFmtId="0" fontId="70" fillId="0" borderId="18" applyAlignment="1" pivotButton="0" quotePrefix="0" xfId="0">
      <alignment horizontal="center" vertical="center"/>
    </xf>
    <xf numFmtId="0" fontId="70" fillId="16" borderId="18" applyAlignment="1" pivotButton="0" quotePrefix="0" xfId="0">
      <alignment horizontal="center" vertical="center"/>
    </xf>
    <xf numFmtId="0" fontId="70" fillId="0" borderId="18" applyAlignment="1" pivotButton="0" quotePrefix="0" xfId="0">
      <alignment horizontal="center" vertical="center" wrapText="1"/>
    </xf>
    <xf numFmtId="0" fontId="70" fillId="5" borderId="18" applyAlignment="1" pivotButton="0" quotePrefix="0" xfId="0">
      <alignment horizontal="center" vertical="center"/>
    </xf>
    <xf numFmtId="0" fontId="70" fillId="17" borderId="18" applyAlignment="1" pivotButton="0" quotePrefix="0" xfId="0">
      <alignment horizontal="center" vertical="center"/>
    </xf>
    <xf numFmtId="166" fontId="85" fillId="18" borderId="18" applyAlignment="1" applyProtection="1" pivotButton="0" quotePrefix="0" xfId="1">
      <alignment horizontal="center" vertical="center" wrapText="1"/>
      <protection locked="0" hidden="0"/>
    </xf>
    <xf numFmtId="0" fontId="86" fillId="22" borderId="9" applyAlignment="1" pivotButton="0" quotePrefix="0" xfId="0">
      <alignment horizontal="centerContinuous" vertical="center" wrapText="1"/>
    </xf>
    <xf numFmtId="0" fontId="35" fillId="23" borderId="53" applyAlignment="1" pivotButton="0" quotePrefix="0" xfId="0">
      <alignment horizontal="justify" vertical="center" wrapText="1"/>
    </xf>
    <xf numFmtId="0" fontId="35" fillId="23" borderId="7" applyAlignment="1" pivotButton="0" quotePrefix="0" xfId="0">
      <alignment horizontal="justify" vertical="center" wrapText="1"/>
    </xf>
    <xf numFmtId="0" fontId="86" fillId="22" borderId="1" applyAlignment="1" pivotButton="0" quotePrefix="0" xfId="0">
      <alignment horizontal="centerContinuous" vertical="center" wrapText="1"/>
    </xf>
    <xf numFmtId="0" fontId="35" fillId="23" borderId="7" applyAlignment="1" pivotButton="0" quotePrefix="0" xfId="0">
      <alignment horizontal="left" vertical="center" wrapText="1"/>
    </xf>
    <xf numFmtId="0" fontId="86" fillId="22" borderId="65" applyAlignment="1" pivotButton="0" quotePrefix="0" xfId="0">
      <alignment horizontal="centerContinuous" vertical="center" wrapText="1"/>
    </xf>
    <xf numFmtId="0" fontId="45" fillId="23" borderId="18" applyAlignment="1" pivotButton="0" quotePrefix="0" xfId="0">
      <alignment horizontal="center" vertical="center" wrapText="1"/>
    </xf>
    <xf numFmtId="0" fontId="40" fillId="23" borderId="18" applyAlignment="1" pivotButton="0" quotePrefix="0" xfId="0">
      <alignment horizontal="left" vertical="center" wrapText="1"/>
    </xf>
    <xf numFmtId="0" fontId="45" fillId="0" borderId="18" applyAlignment="1" pivotButton="0" quotePrefix="0" xfId="0">
      <alignment horizontal="center" vertical="center" wrapText="1"/>
    </xf>
    <xf numFmtId="0" fontId="40" fillId="0" borderId="18" applyAlignment="1" pivotButton="0" quotePrefix="0" xfId="0">
      <alignment horizontal="left" vertical="center" wrapText="1"/>
    </xf>
    <xf numFmtId="0" fontId="52" fillId="0" borderId="0" applyAlignment="1" pivotButton="0" quotePrefix="0" xfId="0">
      <alignment horizontal="centerContinuous" vertical="center"/>
    </xf>
    <xf numFmtId="0" fontId="53" fillId="0" borderId="0" applyAlignment="1" pivotButton="0" quotePrefix="0" xfId="0">
      <alignment horizontal="centerContinuous" vertical="center" readingOrder="1"/>
    </xf>
    <xf numFmtId="164" fontId="61" fillId="0" borderId="18" applyAlignment="1" pivotButton="0" quotePrefix="0" xfId="1">
      <alignment vertical="center" wrapText="1"/>
    </xf>
    <xf numFmtId="0" fontId="35" fillId="0" borderId="18" applyAlignment="1" pivotButton="0" quotePrefix="0" xfId="0">
      <alignment vertical="top" wrapText="1"/>
    </xf>
    <xf numFmtId="0" fontId="35" fillId="0" borderId="16" applyAlignment="1" pivotButton="0" quotePrefix="0" xfId="0">
      <alignment horizontal="justify" vertical="center"/>
    </xf>
    <xf numFmtId="0" fontId="35" fillId="0" borderId="7" applyAlignment="1" pivotButton="0" quotePrefix="0" xfId="0">
      <alignment horizontal="justify" vertical="center" wrapText="1"/>
    </xf>
    <xf numFmtId="0" fontId="35" fillId="0" borderId="53" applyAlignment="1" pivotButton="0" quotePrefix="0" xfId="0">
      <alignment horizontal="justify" vertical="center"/>
    </xf>
    <xf numFmtId="0" fontId="35" fillId="0" borderId="7" applyAlignment="1" pivotButton="0" quotePrefix="0" xfId="0">
      <alignment horizontal="justify" vertical="center"/>
    </xf>
    <xf numFmtId="0" fontId="89" fillId="0" borderId="18" applyAlignment="1" pivotButton="0" quotePrefix="0" xfId="0">
      <alignment horizontal="justify" vertical="center" wrapText="1"/>
    </xf>
    <xf numFmtId="0" fontId="35" fillId="0" borderId="18" applyAlignment="1" pivotButton="0" quotePrefix="0" xfId="0">
      <alignment horizontal="justify" vertical="center"/>
    </xf>
    <xf numFmtId="0" fontId="58" fillId="22" borderId="7" applyAlignment="1" pivotButton="0" quotePrefix="0" xfId="0">
      <alignment horizontal="center" vertical="center" wrapText="1"/>
    </xf>
    <xf numFmtId="3" fontId="59" fillId="29" borderId="53" applyAlignment="1" pivotButton="0" quotePrefix="0" xfId="0">
      <alignment horizontal="center" vertical="center"/>
    </xf>
    <xf numFmtId="3" fontId="47" fillId="0" borderId="18" applyAlignment="1" applyProtection="1" pivotButton="0" quotePrefix="0" xfId="1">
      <alignment horizontal="center" vertical="center"/>
      <protection locked="0" hidden="0"/>
    </xf>
    <xf numFmtId="3" fontId="49" fillId="33" borderId="18" applyAlignment="1" pivotButton="0" quotePrefix="0" xfId="1">
      <alignment horizontal="center" vertical="center"/>
    </xf>
    <xf numFmtId="0" fontId="64" fillId="23" borderId="18" applyAlignment="1" pivotButton="0" quotePrefix="0" xfId="0">
      <alignment horizontal="center" vertical="center" wrapText="1"/>
    </xf>
    <xf numFmtId="3" fontId="47" fillId="0" borderId="14" applyAlignment="1" applyProtection="1" pivotButton="0" quotePrefix="0" xfId="1">
      <alignment horizontal="center" vertical="center"/>
      <protection locked="0" hidden="0"/>
    </xf>
    <xf numFmtId="3" fontId="59" fillId="8" borderId="18" applyAlignment="1" pivotButton="0" quotePrefix="0" xfId="1">
      <alignment horizontal="center" vertical="center"/>
    </xf>
    <xf numFmtId="3" fontId="49" fillId="35" borderId="18" applyAlignment="1" pivotButton="0" quotePrefix="0" xfId="1">
      <alignment horizontal="center" vertical="center"/>
    </xf>
    <xf numFmtId="0" fontId="64" fillId="24" borderId="18" applyAlignment="1" pivotButton="0" quotePrefix="0" xfId="0">
      <alignment horizontal="center" vertical="center" wrapText="1"/>
    </xf>
    <xf numFmtId="0" fontId="35" fillId="23" borderId="18" applyAlignment="1" pivotButton="0" quotePrefix="0" xfId="0">
      <alignment horizontal="justify" vertical="top" wrapText="1"/>
    </xf>
    <xf numFmtId="0" fontId="93" fillId="23" borderId="18" applyAlignment="1" pivotButton="0" quotePrefix="0" xfId="0">
      <alignment horizontal="center" vertical="top" wrapText="1"/>
    </xf>
    <xf numFmtId="0" fontId="32" fillId="0" borderId="18" applyAlignment="1" pivotButton="0" quotePrefix="0" xfId="0">
      <alignment vertical="top" wrapText="1"/>
    </xf>
    <xf numFmtId="0" fontId="92" fillId="0" borderId="18" applyAlignment="1" pivotButton="0" quotePrefix="0" xfId="0">
      <alignment vertical="top" wrapText="1"/>
    </xf>
    <xf numFmtId="0" fontId="92" fillId="0" borderId="18" applyAlignment="1" pivotButton="0" quotePrefix="0" xfId="0">
      <alignment vertical="center"/>
    </xf>
    <xf numFmtId="0" fontId="32" fillId="0" borderId="18" applyAlignment="1" pivotButton="0" quotePrefix="0" xfId="0">
      <alignment vertical="center"/>
    </xf>
    <xf numFmtId="0" fontId="94" fillId="23" borderId="7" applyAlignment="1" pivotButton="0" quotePrefix="0" xfId="0">
      <alignment horizontal="justify" vertical="center"/>
    </xf>
    <xf numFmtId="0" fontId="94" fillId="0" borderId="7" applyAlignment="1" pivotButton="0" quotePrefix="0" xfId="0">
      <alignment horizontal="justify" vertical="center"/>
    </xf>
    <xf numFmtId="0" fontId="35" fillId="23" borderId="18" applyAlignment="1" pivotButton="0" quotePrefix="0" xfId="0">
      <alignment horizontal="left" vertical="center" wrapText="1"/>
    </xf>
    <xf numFmtId="0" fontId="53" fillId="0" borderId="0" applyAlignment="1" pivotButton="0" quotePrefix="0" xfId="0">
      <alignment horizontal="right" vertical="center" readingOrder="1"/>
    </xf>
    <xf numFmtId="0" fontId="83" fillId="0" borderId="53" applyAlignment="1" applyProtection="1" pivotButton="0" quotePrefix="0" xfId="0">
      <alignment horizontal="center" vertical="center" wrapText="1"/>
      <protection locked="0" hidden="0"/>
    </xf>
    <xf numFmtId="0" fontId="83" fillId="0" borderId="18" applyAlignment="1" applyProtection="1" pivotButton="0" quotePrefix="0" xfId="0">
      <alignment horizontal="center" vertical="center" wrapText="1"/>
      <protection locked="0" hidden="0"/>
    </xf>
    <xf numFmtId="171" fontId="63" fillId="0" borderId="18" applyAlignment="1" pivotButton="0" quotePrefix="0" xfId="2">
      <alignment horizontal="center" vertical="center" wrapText="1"/>
    </xf>
    <xf numFmtId="171" fontId="77" fillId="0" borderId="18" applyAlignment="1" pivotButton="0" quotePrefix="0" xfId="2">
      <alignment horizontal="center" vertical="center" wrapText="1"/>
    </xf>
    <xf numFmtId="0" fontId="61" fillId="0" borderId="0" applyAlignment="1" applyProtection="1" pivotButton="0" quotePrefix="0" xfId="0">
      <alignment vertical="center" wrapText="1"/>
      <protection locked="0" hidden="0"/>
    </xf>
    <xf numFmtId="0" fontId="64" fillId="0" borderId="0" applyAlignment="1" pivotButton="0" quotePrefix="0" xfId="0">
      <alignment horizontal="center" vertical="center" wrapText="1"/>
    </xf>
    <xf numFmtId="0" fontId="96" fillId="0" borderId="0" applyAlignment="1" pivotButton="0" quotePrefix="0" xfId="0">
      <alignment vertical="center" wrapText="1"/>
    </xf>
    <xf numFmtId="3" fontId="47" fillId="0" borderId="0" applyAlignment="1" applyProtection="1" pivotButton="0" quotePrefix="0" xfId="1">
      <alignment vertical="center"/>
      <protection locked="0" hidden="0"/>
    </xf>
    <xf numFmtId="3" fontId="49" fillId="0" borderId="0" applyAlignment="1" pivotButton="0" quotePrefix="0" xfId="0">
      <alignment vertical="center"/>
    </xf>
    <xf numFmtId="3" fontId="65" fillId="0" borderId="0" applyAlignment="1" applyProtection="1" pivotButton="0" quotePrefix="0" xfId="1">
      <alignment horizontal="center" vertical="center" wrapText="1"/>
      <protection locked="0" hidden="0"/>
    </xf>
    <xf numFmtId="3" fontId="67" fillId="0" borderId="0" applyAlignment="1" applyProtection="1" pivotButton="0" quotePrefix="0" xfId="1">
      <alignment horizontal="center" vertical="center" wrapText="1"/>
      <protection locked="0" hidden="0"/>
    </xf>
    <xf numFmtId="3" fontId="49" fillId="0" borderId="0" applyAlignment="1" pivotButton="0" quotePrefix="0" xfId="0">
      <alignment horizontal="center" vertical="center"/>
    </xf>
    <xf numFmtId="3" fontId="69" fillId="3" borderId="18" applyAlignment="1" applyProtection="1" pivotButton="0" quotePrefix="0" xfId="1">
      <alignment horizontal="center" vertical="center" wrapText="1"/>
      <protection locked="0" hidden="0"/>
    </xf>
    <xf numFmtId="49" fontId="69" fillId="3" borderId="18" applyAlignment="1" applyProtection="1" pivotButton="0" quotePrefix="0" xfId="1">
      <alignment horizontal="center" vertical="center" wrapText="1"/>
      <protection locked="0" hidden="0"/>
    </xf>
    <xf numFmtId="166" fontId="69" fillId="3" borderId="18" applyAlignment="1" applyProtection="1" pivotButton="0" quotePrefix="0" xfId="1">
      <alignment horizontal="center" vertical="center" wrapText="1"/>
      <protection locked="0" hidden="0"/>
    </xf>
    <xf numFmtId="49" fontId="69" fillId="18" borderId="18" applyAlignment="1" applyProtection="1" pivotButton="0" quotePrefix="0" xfId="1">
      <alignment horizontal="center" vertical="center" wrapText="1"/>
      <protection locked="0" hidden="0"/>
    </xf>
    <xf numFmtId="166" fontId="69" fillId="18" borderId="18" applyAlignment="1" applyProtection="1" pivotButton="0" quotePrefix="0" xfId="1">
      <alignment horizontal="center" vertical="center" wrapText="1"/>
      <protection locked="0" hidden="0"/>
    </xf>
    <xf numFmtId="3" fontId="64" fillId="9" borderId="18" applyAlignment="1" pivotButton="0" quotePrefix="0" xfId="1">
      <alignment horizontal="center" vertical="center" wrapText="1"/>
    </xf>
    <xf numFmtId="49" fontId="67" fillId="9" borderId="9" applyAlignment="1" pivotButton="0" quotePrefix="0" xfId="1">
      <alignment vertical="center" wrapText="1"/>
    </xf>
    <xf numFmtId="164" fontId="67" fillId="9" borderId="10" applyAlignment="1" pivotButton="0" quotePrefix="0" xfId="1">
      <alignment vertical="center" wrapText="1"/>
    </xf>
    <xf numFmtId="49" fontId="67" fillId="9" borderId="18" applyAlignment="1" pivotButton="0" quotePrefix="0" xfId="1">
      <alignment vertical="center"/>
    </xf>
    <xf numFmtId="3" fontId="70" fillId="3" borderId="18" applyAlignment="1" applyProtection="1" pivotButton="0" quotePrefix="0" xfId="1">
      <alignment horizontal="center" vertical="center" wrapText="1"/>
      <protection locked="0" hidden="0"/>
    </xf>
    <xf numFmtId="3" fontId="70" fillId="3" borderId="18" applyAlignment="1" pivotButton="0" quotePrefix="0" xfId="1">
      <alignment horizontal="center" vertical="center" wrapText="1"/>
    </xf>
    <xf numFmtId="0" fontId="61" fillId="0" borderId="53" applyAlignment="1" pivotButton="0" quotePrefix="0" xfId="0">
      <alignment horizontal="center" vertical="center" wrapText="1"/>
    </xf>
    <xf numFmtId="3" fontId="67" fillId="9" borderId="8" applyAlignment="1" pivotButton="0" quotePrefix="0" xfId="1">
      <alignment horizontal="center" vertical="center" wrapText="1"/>
    </xf>
    <xf numFmtId="3" fontId="69" fillId="9" borderId="9" applyAlignment="1" pivotButton="0" quotePrefix="0" xfId="1">
      <alignment horizontal="center" vertical="center" wrapText="1"/>
    </xf>
    <xf numFmtId="3" fontId="58" fillId="22" borderId="8" applyAlignment="1" pivotButton="0" quotePrefix="0" xfId="1">
      <alignment horizontal="center" vertical="center" wrapText="1"/>
    </xf>
    <xf numFmtId="3" fontId="58" fillId="22" borderId="9" applyAlignment="1" pivotButton="0" quotePrefix="0" xfId="1">
      <alignment horizontal="center" vertical="center" wrapText="1"/>
    </xf>
    <xf numFmtId="3" fontId="47" fillId="22" borderId="9" applyAlignment="1" pivotButton="0" quotePrefix="0" xfId="1">
      <alignment horizontal="center" vertical="center"/>
    </xf>
    <xf numFmtId="3" fontId="70" fillId="22" borderId="9" applyAlignment="1" pivotButton="0" quotePrefix="0" xfId="1">
      <alignment horizontal="center" vertical="center"/>
    </xf>
    <xf numFmtId="3" fontId="58" fillId="23" borderId="9" applyAlignment="1" pivotButton="0" quotePrefix="0" xfId="1">
      <alignment horizontal="center" vertical="center" wrapText="1"/>
    </xf>
    <xf numFmtId="3" fontId="47" fillId="23" borderId="9" applyAlignment="1" pivotButton="0" quotePrefix="0" xfId="1">
      <alignment horizontal="center" vertical="center"/>
    </xf>
    <xf numFmtId="3" fontId="70" fillId="23" borderId="9" applyAlignment="1" pivotButton="0" quotePrefix="0" xfId="1">
      <alignment horizontal="center" vertical="center"/>
    </xf>
    <xf numFmtId="49" fontId="67" fillId="9" borderId="9" applyAlignment="1" pivotButton="0" quotePrefix="0" xfId="1">
      <alignment horizontal="left" vertical="center" wrapText="1"/>
    </xf>
    <xf numFmtId="164" fontId="67" fillId="9" borderId="10" applyAlignment="1" pivotButton="0" quotePrefix="0" xfId="1">
      <alignment horizontal="left" vertical="center" wrapText="1"/>
    </xf>
    <xf numFmtId="167" fontId="64" fillId="22" borderId="8" applyAlignment="1" pivotButton="0" quotePrefix="0" xfId="1">
      <alignment vertical="center" wrapText="1"/>
    </xf>
    <xf numFmtId="49" fontId="64" fillId="22" borderId="9" applyAlignment="1" pivotButton="0" quotePrefix="0" xfId="1">
      <alignment vertical="center" wrapText="1"/>
    </xf>
    <xf numFmtId="167" fontId="64" fillId="22" borderId="10" applyAlignment="1" pivotButton="0" quotePrefix="0" xfId="1">
      <alignment vertical="center" wrapText="1"/>
    </xf>
    <xf numFmtId="167" fontId="64" fillId="0" borderId="0" applyAlignment="1" pivotButton="0" quotePrefix="0" xfId="1">
      <alignment vertical="center" wrapText="1"/>
    </xf>
    <xf numFmtId="3" fontId="47" fillId="0" borderId="14" applyAlignment="1" pivotButton="0" quotePrefix="0" xfId="1">
      <alignment horizontal="center" vertical="center"/>
    </xf>
    <xf numFmtId="164" fontId="64" fillId="0" borderId="0" applyAlignment="1" pivotButton="0" quotePrefix="0" xfId="1">
      <alignment vertical="center" wrapText="1"/>
    </xf>
    <xf numFmtId="3" fontId="69" fillId="9" borderId="10" applyAlignment="1" pivotButton="0" quotePrefix="0" xfId="1">
      <alignment horizontal="center" vertical="center" wrapText="1"/>
    </xf>
    <xf numFmtId="171" fontId="47" fillId="0" borderId="0" applyAlignment="1" pivotButton="0" quotePrefix="0" xfId="0">
      <alignment horizontal="center" vertical="center"/>
    </xf>
    <xf numFmtId="3" fontId="49" fillId="18" borderId="18" applyAlignment="1" pivotButton="0" quotePrefix="0" xfId="0">
      <alignment horizontal="center" vertical="center"/>
    </xf>
    <xf numFmtId="0" fontId="80" fillId="22" borderId="18" applyAlignment="1" pivotButton="0" quotePrefix="0" xfId="0">
      <alignment horizontal="centerContinuous" vertical="center" wrapText="1"/>
    </xf>
    <xf numFmtId="0" fontId="49" fillId="22" borderId="18" applyAlignment="1" pivotButton="0" quotePrefix="0" xfId="0">
      <alignment vertical="center"/>
    </xf>
    <xf numFmtId="164" fontId="58" fillId="0" borderId="0" applyAlignment="1" pivotButton="0" quotePrefix="0" xfId="0">
      <alignment vertical="center" wrapText="1"/>
    </xf>
    <xf numFmtId="49" fontId="97" fillId="3" borderId="18" applyAlignment="1" applyProtection="1" pivotButton="0" quotePrefix="0" xfId="1">
      <alignment horizontal="center" vertical="center" wrapText="1"/>
      <protection locked="0" hidden="0"/>
    </xf>
    <xf numFmtId="166" fontId="97" fillId="3" borderId="18" applyAlignment="1" applyProtection="1" pivotButton="0" quotePrefix="0" xfId="1">
      <alignment horizontal="center" vertical="center" wrapText="1"/>
      <protection locked="0" hidden="0"/>
    </xf>
    <xf numFmtId="0" fontId="47" fillId="0" borderId="8" applyAlignment="1" applyProtection="1" pivotButton="0" quotePrefix="0" xfId="0">
      <alignment horizontal="left" vertical="center"/>
      <protection locked="0" hidden="0"/>
    </xf>
    <xf numFmtId="0" fontId="47" fillId="0" borderId="9" applyAlignment="1" applyProtection="1" pivotButton="0" quotePrefix="0" xfId="0">
      <alignment horizontal="left" vertical="center"/>
      <protection locked="0" hidden="0"/>
    </xf>
    <xf numFmtId="0" fontId="47" fillId="0" borderId="10" applyAlignment="1" applyProtection="1" pivotButton="0" quotePrefix="0" xfId="0">
      <alignment horizontal="left" vertical="center"/>
      <protection locked="0" hidden="0"/>
    </xf>
    <xf numFmtId="0" fontId="71" fillId="24" borderId="18" applyAlignment="1" pivotButton="0" quotePrefix="0" xfId="0">
      <alignment horizontal="center" vertical="center" wrapText="1"/>
    </xf>
    <xf numFmtId="0" fontId="62" fillId="7" borderId="8" applyAlignment="1" pivotButton="0" quotePrefix="0" xfId="0">
      <alignment horizontal="left" vertical="center" wrapText="1"/>
    </xf>
    <xf numFmtId="0" fontId="62" fillId="7" borderId="10" applyAlignment="1" pivotButton="0" quotePrefix="0" xfId="0">
      <alignment horizontal="left" vertical="center" wrapText="1"/>
    </xf>
    <xf numFmtId="0" fontId="49" fillId="0" borderId="8" applyAlignment="1" pivotButton="0" quotePrefix="0" xfId="0">
      <alignment horizontal="center" vertical="center"/>
    </xf>
    <xf numFmtId="0" fontId="49" fillId="0" borderId="9" applyAlignment="1" pivotButton="0" quotePrefix="0" xfId="0">
      <alignment horizontal="center" vertical="center"/>
    </xf>
    <xf numFmtId="0" fontId="49" fillId="0" borderId="10" applyAlignment="1" pivotButton="0" quotePrefix="0" xfId="0">
      <alignment horizontal="center" vertical="center"/>
    </xf>
    <xf numFmtId="0" fontId="61" fillId="18" borderId="18" applyAlignment="1" pivotButton="0" quotePrefix="0" xfId="0">
      <alignment horizontal="center" vertical="center" wrapText="1"/>
    </xf>
    <xf numFmtId="0" fontId="64" fillId="23" borderId="18" applyAlignment="1" pivotButton="0" quotePrefix="0" xfId="0">
      <alignment horizontal="center" vertical="center" wrapText="1"/>
    </xf>
    <xf numFmtId="0" fontId="61" fillId="0" borderId="18" applyAlignment="1" pivotButton="0" quotePrefix="0" xfId="0">
      <alignment horizontal="center" vertical="center" wrapText="1"/>
    </xf>
    <xf numFmtId="0" fontId="61" fillId="23" borderId="7" applyAlignment="1" pivotButton="0" quotePrefix="0" xfId="0">
      <alignment horizontal="center" vertical="center" wrapText="1"/>
    </xf>
    <xf numFmtId="0" fontId="61" fillId="23" borderId="53" applyAlignment="1" pivotButton="0" quotePrefix="0" xfId="0">
      <alignment horizontal="center" vertical="center" wrapText="1"/>
    </xf>
    <xf numFmtId="0" fontId="61" fillId="24" borderId="18" applyAlignment="1" pivotButton="0" quotePrefix="0" xfId="0">
      <alignment horizontal="center" vertical="center" wrapText="1"/>
    </xf>
    <xf numFmtId="164" fontId="58" fillId="22" borderId="7" applyAlignment="1" pivotButton="0" quotePrefix="0" xfId="0">
      <alignment horizontal="center" vertical="center" wrapText="1"/>
    </xf>
    <xf numFmtId="164" fontId="58" fillId="22" borderId="16" applyAlignment="1" pivotButton="0" quotePrefix="0" xfId="0">
      <alignment horizontal="center" vertical="center" wrapText="1"/>
    </xf>
    <xf numFmtId="164" fontId="58" fillId="22" borderId="53" applyAlignment="1" pivotButton="0" quotePrefix="0" xfId="0">
      <alignment horizontal="center" vertical="center" wrapText="1"/>
    </xf>
    <xf numFmtId="0" fontId="58" fillId="2" borderId="7" applyAlignment="1" pivotButton="0" quotePrefix="0" xfId="0">
      <alignment horizontal="center" vertical="center" wrapText="1"/>
    </xf>
    <xf numFmtId="0" fontId="58" fillId="2" borderId="16" applyAlignment="1" pivotButton="0" quotePrefix="0" xfId="0">
      <alignment horizontal="center" vertical="center" wrapText="1"/>
    </xf>
    <xf numFmtId="0" fontId="58" fillId="2" borderId="53" applyAlignment="1" pivotButton="0" quotePrefix="0" xfId="0">
      <alignment horizontal="center" vertical="center" wrapText="1"/>
    </xf>
    <xf numFmtId="0" fontId="82" fillId="16" borderId="18" applyAlignment="1" pivotButton="0" quotePrefix="0" xfId="0">
      <alignment horizontal="center" vertical="center" wrapText="1"/>
    </xf>
    <xf numFmtId="0" fontId="59" fillId="10" borderId="18" applyAlignment="1" pivotButton="0" quotePrefix="0" xfId="0">
      <alignment horizontal="center" vertical="center"/>
    </xf>
    <xf numFmtId="0" fontId="58" fillId="22" borderId="7" applyAlignment="1" pivotButton="0" quotePrefix="0" xfId="0">
      <alignment horizontal="center" vertical="center" wrapText="1"/>
    </xf>
    <xf numFmtId="0" fontId="58" fillId="22" borderId="16" applyAlignment="1" pivotButton="0" quotePrefix="0" xfId="0">
      <alignment horizontal="center" vertical="center" wrapText="1"/>
    </xf>
    <xf numFmtId="0" fontId="58" fillId="22" borderId="53" applyAlignment="1" pivotButton="0" quotePrefix="0" xfId="0">
      <alignment horizontal="center" vertical="center" wrapText="1"/>
    </xf>
    <xf numFmtId="0" fontId="58" fillId="23" borderId="7" applyAlignment="1" pivotButton="0" quotePrefix="0" xfId="0">
      <alignment horizontal="center" vertical="center" wrapText="1"/>
    </xf>
    <xf numFmtId="0" fontId="58" fillId="23" borderId="16" applyAlignment="1" pivotButton="0" quotePrefix="0" xfId="0">
      <alignment horizontal="center" vertical="center" wrapText="1"/>
    </xf>
    <xf numFmtId="0" fontId="58" fillId="23" borderId="53" applyAlignment="1" pivotButton="0" quotePrefix="0" xfId="0">
      <alignment horizontal="center" vertical="center" wrapText="1"/>
    </xf>
    <xf numFmtId="0" fontId="58" fillId="10" borderId="18" applyAlignment="1" pivotButton="0" quotePrefix="0" xfId="0">
      <alignment horizontal="center" vertical="center" wrapText="1"/>
    </xf>
    <xf numFmtId="0" fontId="61" fillId="24" borderId="7" applyAlignment="1" pivotButton="0" quotePrefix="0" xfId="0">
      <alignment horizontal="center" vertical="center" wrapText="1"/>
    </xf>
    <xf numFmtId="0" fontId="61" fillId="24" borderId="53" applyAlignment="1" pivotButton="0" quotePrefix="0" xfId="0">
      <alignment horizontal="center" vertical="center" wrapText="1"/>
    </xf>
    <xf numFmtId="0" fontId="61" fillId="22" borderId="8" applyAlignment="1" pivotButton="0" quotePrefix="0" xfId="0">
      <alignment horizontal="center" vertical="center" wrapText="1"/>
    </xf>
    <xf numFmtId="0" fontId="61" fillId="22" borderId="9" applyAlignment="1" pivotButton="0" quotePrefix="0" xfId="0">
      <alignment horizontal="center" vertical="center" wrapText="1"/>
    </xf>
    <xf numFmtId="0" fontId="61" fillId="22" borderId="10" applyAlignment="1" pivotButton="0" quotePrefix="0" xfId="0">
      <alignment horizontal="center" vertical="center" wrapText="1"/>
    </xf>
    <xf numFmtId="0" fontId="82" fillId="16" borderId="7" applyAlignment="1" pivotButton="0" quotePrefix="0" xfId="0">
      <alignment horizontal="center" vertical="center" wrapText="1"/>
    </xf>
    <xf numFmtId="0" fontId="82" fillId="16" borderId="16" applyAlignment="1" pivotButton="0" quotePrefix="0" xfId="0">
      <alignment horizontal="center" vertical="center" wrapText="1"/>
    </xf>
    <xf numFmtId="0" fontId="82" fillId="16" borderId="53" applyAlignment="1" pivotButton="0" quotePrefix="0" xfId="0">
      <alignment horizontal="center" vertical="center" wrapText="1"/>
    </xf>
    <xf numFmtId="0" fontId="58" fillId="0" borderId="0" applyAlignment="1" pivotButton="0" quotePrefix="0" xfId="0">
      <alignment horizontal="center" vertical="center" wrapText="1"/>
    </xf>
    <xf numFmtId="164" fontId="58" fillId="0" borderId="0" applyAlignment="1" pivotButton="0" quotePrefix="0" xfId="0">
      <alignment horizontal="center" vertical="center" wrapText="1"/>
    </xf>
    <xf numFmtId="0" fontId="58" fillId="10" borderId="7" applyAlignment="1" pivotButton="0" quotePrefix="0" xfId="0">
      <alignment horizontal="center" vertical="center" wrapText="1"/>
    </xf>
    <xf numFmtId="0" fontId="58" fillId="10" borderId="16" applyAlignment="1" pivotButton="0" quotePrefix="0" xfId="0">
      <alignment horizontal="center" vertical="center" wrapText="1"/>
    </xf>
    <xf numFmtId="0" fontId="58" fillId="10" borderId="53" applyAlignment="1" pivotButton="0" quotePrefix="0" xfId="0">
      <alignment horizontal="center" vertical="center" wrapText="1"/>
    </xf>
    <xf numFmtId="0" fontId="64" fillId="24" borderId="18" applyAlignment="1" pivotButton="0" quotePrefix="0" xfId="0">
      <alignment horizontal="center" vertical="center" wrapText="1"/>
    </xf>
    <xf numFmtId="0" fontId="59" fillId="13" borderId="7" applyAlignment="1" pivotButton="0" quotePrefix="0" xfId="0">
      <alignment horizontal="center" vertical="center" wrapText="1"/>
    </xf>
    <xf numFmtId="0" fontId="59" fillId="13" borderId="53" applyAlignment="1" pivotButton="0" quotePrefix="0" xfId="0">
      <alignment horizontal="center" vertical="center" wrapText="1"/>
    </xf>
    <xf numFmtId="0" fontId="59" fillId="22" borderId="18" applyAlignment="1" pivotButton="0" quotePrefix="0" xfId="0">
      <alignment horizontal="center" vertical="center" wrapText="1"/>
    </xf>
    <xf numFmtId="3" fontId="47" fillId="0" borderId="7" applyAlignment="1" applyProtection="1" pivotButton="0" quotePrefix="0" xfId="1">
      <alignment horizontal="center" vertical="center"/>
      <protection locked="0" hidden="0"/>
    </xf>
    <xf numFmtId="3" fontId="47" fillId="0" borderId="16" applyAlignment="1" applyProtection="1" pivotButton="0" quotePrefix="0" xfId="1">
      <alignment horizontal="center" vertical="center"/>
      <protection locked="0" hidden="0"/>
    </xf>
    <xf numFmtId="3" fontId="47" fillId="0" borderId="53" applyAlignment="1" applyProtection="1" pivotButton="0" quotePrefix="0" xfId="1">
      <alignment horizontal="center" vertical="center"/>
      <protection locked="0" hidden="0"/>
    </xf>
    <xf numFmtId="3" fontId="49" fillId="18" borderId="18" applyAlignment="1" pivotButton="0" quotePrefix="0" xfId="0">
      <alignment horizontal="center" vertical="center"/>
    </xf>
    <xf numFmtId="3" fontId="59" fillId="29" borderId="7" applyAlignment="1" pivotButton="0" quotePrefix="0" xfId="0">
      <alignment horizontal="center" vertical="center"/>
    </xf>
    <xf numFmtId="3" fontId="59" fillId="29" borderId="16" applyAlignment="1" pivotButton="0" quotePrefix="0" xfId="0">
      <alignment horizontal="center" vertical="center"/>
    </xf>
    <xf numFmtId="3" fontId="59" fillId="29" borderId="53" applyAlignment="1" pivotButton="0" quotePrefix="0" xfId="0">
      <alignment horizontal="center" vertical="center"/>
    </xf>
    <xf numFmtId="3" fontId="70" fillId="28" borderId="7" applyAlignment="1" pivotButton="0" quotePrefix="0" xfId="1">
      <alignment horizontal="center" vertical="center"/>
    </xf>
    <xf numFmtId="3" fontId="70" fillId="28" borderId="16" applyAlignment="1" pivotButton="0" quotePrefix="0" xfId="1">
      <alignment horizontal="center" vertical="center"/>
    </xf>
    <xf numFmtId="3" fontId="70" fillId="28" borderId="53" applyAlignment="1" pivotButton="0" quotePrefix="0" xfId="1">
      <alignment horizontal="center" vertical="center"/>
    </xf>
    <xf numFmtId="3" fontId="59" fillId="19" borderId="7" applyAlignment="1" pivotButton="0" quotePrefix="0" xfId="0">
      <alignment horizontal="center" vertical="center"/>
    </xf>
    <xf numFmtId="3" fontId="59" fillId="19" borderId="16" applyAlignment="1" pivotButton="0" quotePrefix="0" xfId="0">
      <alignment horizontal="center" vertical="center"/>
    </xf>
    <xf numFmtId="3" fontId="59" fillId="19" borderId="53" applyAlignment="1" pivotButton="0" quotePrefix="0" xfId="0">
      <alignment horizontal="center" vertical="center"/>
    </xf>
    <xf numFmtId="171" fontId="77" fillId="0" borderId="53" applyAlignment="1" pivotButton="0" quotePrefix="0" xfId="2">
      <alignment horizontal="center" vertical="center" wrapText="1"/>
    </xf>
    <xf numFmtId="171" fontId="77" fillId="0" borderId="18" applyAlignment="1" pivotButton="0" quotePrefix="0" xfId="2">
      <alignment horizontal="center" vertical="center" wrapText="1"/>
    </xf>
    <xf numFmtId="0" fontId="49" fillId="0" borderId="18" applyAlignment="1" pivotButton="0" quotePrefix="0" xfId="0">
      <alignment horizontal="center" vertical="center"/>
    </xf>
    <xf numFmtId="0" fontId="64" fillId="33" borderId="5" applyAlignment="1" pivotButton="0" quotePrefix="0" xfId="0">
      <alignment horizontal="left" vertical="center" wrapText="1"/>
    </xf>
    <xf numFmtId="0" fontId="64" fillId="33" borderId="6" applyAlignment="1" pivotButton="0" quotePrefix="0" xfId="0">
      <alignment horizontal="left" vertical="center" wrapText="1"/>
    </xf>
    <xf numFmtId="0" fontId="64" fillId="33" borderId="14" applyAlignment="1" pivotButton="0" quotePrefix="0" xfId="0">
      <alignment horizontal="left" vertical="center" wrapText="1"/>
    </xf>
    <xf numFmtId="0" fontId="64" fillId="33" borderId="15" applyAlignment="1" pivotButton="0" quotePrefix="0" xfId="0">
      <alignment horizontal="left" vertical="center" wrapText="1"/>
    </xf>
    <xf numFmtId="0" fontId="64" fillId="33" borderId="52" applyAlignment="1" pivotButton="0" quotePrefix="0" xfId="0">
      <alignment horizontal="left" vertical="center" wrapText="1"/>
    </xf>
    <xf numFmtId="0" fontId="64" fillId="33" borderId="56" applyAlignment="1" pivotButton="0" quotePrefix="0" xfId="0">
      <alignment horizontal="left" vertical="center" wrapText="1"/>
    </xf>
    <xf numFmtId="3" fontId="70" fillId="3" borderId="7" applyAlignment="1" pivotButton="0" quotePrefix="0" xfId="1">
      <alignment horizontal="center" vertical="center" wrapText="1"/>
    </xf>
    <xf numFmtId="3" fontId="70" fillId="3" borderId="16" applyAlignment="1" pivotButton="0" quotePrefix="0" xfId="1">
      <alignment horizontal="center" vertical="center" wrapText="1"/>
    </xf>
    <xf numFmtId="3" fontId="70" fillId="3" borderId="53" applyAlignment="1" pivotButton="0" quotePrefix="0" xfId="1">
      <alignment horizontal="center" vertical="center" wrapText="1"/>
    </xf>
    <xf numFmtId="3" fontId="69" fillId="34" borderId="7" applyAlignment="1" pivotButton="0" quotePrefix="0" xfId="1">
      <alignment horizontal="center" vertical="center"/>
    </xf>
    <xf numFmtId="3" fontId="69" fillId="34" borderId="16" applyAlignment="1" pivotButton="0" quotePrefix="0" xfId="1">
      <alignment horizontal="center" vertical="center"/>
    </xf>
    <xf numFmtId="3" fontId="69" fillId="34" borderId="53" applyAlignment="1" pivotButton="0" quotePrefix="0" xfId="1">
      <alignment horizontal="center" vertical="center"/>
    </xf>
    <xf numFmtId="0" fontId="64" fillId="18" borderId="7" applyAlignment="1" pivotButton="0" quotePrefix="0" xfId="0">
      <alignment horizontal="center" vertical="center" wrapText="1"/>
    </xf>
    <xf numFmtId="0" fontId="64" fillId="18" borderId="16" applyAlignment="1" pivotButton="0" quotePrefix="0" xfId="0">
      <alignment horizontal="center" vertical="center" wrapText="1"/>
    </xf>
    <xf numFmtId="0" fontId="64" fillId="18" borderId="53" applyAlignment="1" pivotButton="0" quotePrefix="0" xfId="0">
      <alignment horizontal="center" vertical="center" wrapText="1"/>
    </xf>
    <xf numFmtId="3" fontId="70" fillId="3" borderId="7" applyAlignment="1" applyProtection="1" pivotButton="0" quotePrefix="0" xfId="1">
      <alignment horizontal="center" vertical="center" wrapText="1"/>
      <protection locked="0" hidden="0"/>
    </xf>
    <xf numFmtId="3" fontId="70" fillId="3" borderId="16" applyAlignment="1" applyProtection="1" pivotButton="0" quotePrefix="0" xfId="1">
      <alignment horizontal="center" vertical="center" wrapText="1"/>
      <protection locked="0" hidden="0"/>
    </xf>
    <xf numFmtId="3" fontId="70" fillId="3" borderId="53" applyAlignment="1" applyProtection="1" pivotButton="0" quotePrefix="0" xfId="1">
      <alignment horizontal="center" vertical="center" wrapText="1"/>
      <protection locked="0" hidden="0"/>
    </xf>
    <xf numFmtId="169" fontId="47" fillId="0" borderId="7" applyAlignment="1" pivotButton="0" quotePrefix="0" xfId="0">
      <alignment horizontal="center" vertical="center"/>
    </xf>
    <xf numFmtId="169" fontId="47" fillId="0" borderId="16" applyAlignment="1" pivotButton="0" quotePrefix="0" xfId="0">
      <alignment horizontal="center" vertical="center"/>
    </xf>
    <xf numFmtId="169" fontId="47" fillId="0" borderId="53" applyAlignment="1" pivotButton="0" quotePrefix="0" xfId="0">
      <alignment horizontal="center" vertical="center"/>
    </xf>
    <xf numFmtId="1" fontId="47" fillId="0" borderId="7" applyAlignment="1" pivotButton="0" quotePrefix="0" xfId="0">
      <alignment horizontal="center" vertical="center"/>
    </xf>
    <xf numFmtId="1" fontId="47" fillId="0" borderId="16" applyAlignment="1" pivotButton="0" quotePrefix="0" xfId="0">
      <alignment horizontal="center" vertical="center"/>
    </xf>
    <xf numFmtId="1" fontId="47" fillId="0" borderId="53" applyAlignment="1" pivotButton="0" quotePrefix="0" xfId="0">
      <alignment horizontal="center" vertical="center"/>
    </xf>
    <xf numFmtId="169" fontId="47" fillId="36" borderId="8" applyAlignment="1" pivotButton="0" quotePrefix="0" xfId="0">
      <alignment horizontal="center" vertical="center"/>
    </xf>
    <xf numFmtId="169" fontId="47" fillId="36" borderId="9" applyAlignment="1" pivotButton="0" quotePrefix="0" xfId="0">
      <alignment horizontal="center" vertical="center"/>
    </xf>
    <xf numFmtId="169" fontId="47" fillId="36" borderId="10" applyAlignment="1" pivotButton="0" quotePrefix="0" xfId="0">
      <alignment horizontal="center" vertical="center"/>
    </xf>
    <xf numFmtId="0" fontId="60" fillId="16" borderId="18" applyAlignment="1" pivotButton="0" quotePrefix="0" xfId="0">
      <alignment horizontal="center" vertical="center" wrapText="1"/>
    </xf>
    <xf numFmtId="0" fontId="59" fillId="22" borderId="7" applyAlignment="1" pivotButton="0" quotePrefix="0" xfId="0">
      <alignment horizontal="center" vertical="center" wrapText="1"/>
    </xf>
    <xf numFmtId="0" fontId="59" fillId="22" borderId="16" applyAlignment="1" pivotButton="0" quotePrefix="0" xfId="0">
      <alignment horizontal="center" vertical="center" wrapText="1"/>
    </xf>
    <xf numFmtId="0" fontId="59" fillId="22" borderId="53" applyAlignment="1" pivotButton="0" quotePrefix="0" xfId="0">
      <alignment horizontal="center" vertical="center" wrapText="1"/>
    </xf>
    <xf numFmtId="0" fontId="59" fillId="22" borderId="5" applyAlignment="1" pivotButton="0" quotePrefix="0" xfId="0">
      <alignment horizontal="center" vertical="center" wrapText="1"/>
    </xf>
    <xf numFmtId="0" fontId="59" fillId="22" borderId="6" applyAlignment="1" pivotButton="0" quotePrefix="0" xfId="0">
      <alignment horizontal="center" vertical="center" wrapText="1"/>
    </xf>
    <xf numFmtId="0" fontId="59" fillId="22" borderId="14" applyAlignment="1" pivotButton="0" quotePrefix="0" xfId="0">
      <alignment horizontal="center" vertical="center" wrapText="1"/>
    </xf>
    <xf numFmtId="0" fontId="59" fillId="22" borderId="15" applyAlignment="1" pivotButton="0" quotePrefix="0" xfId="0">
      <alignment horizontal="center" vertical="center" wrapText="1"/>
    </xf>
    <xf numFmtId="0" fontId="59" fillId="22" borderId="52" applyAlignment="1" pivotButton="0" quotePrefix="0" xfId="0">
      <alignment horizontal="center" vertical="center" wrapText="1"/>
    </xf>
    <xf numFmtId="0" fontId="59" fillId="22" borderId="56" applyAlignment="1" pivotButton="0" quotePrefix="0" xfId="0">
      <alignment horizontal="center" vertical="center" wrapText="1"/>
    </xf>
    <xf numFmtId="0" fontId="58" fillId="21" borderId="18" applyAlignment="1" pivotButton="0" quotePrefix="0" xfId="0">
      <alignment horizontal="center" vertical="center" wrapText="1"/>
    </xf>
    <xf numFmtId="0" fontId="58" fillId="21" borderId="7" applyAlignment="1" pivotButton="0" quotePrefix="0" xfId="0">
      <alignment horizontal="center" vertical="center" wrapText="1"/>
    </xf>
    <xf numFmtId="0" fontId="58" fillId="21" borderId="16" applyAlignment="1" pivotButton="0" quotePrefix="0" xfId="0">
      <alignment horizontal="center" vertical="center" wrapText="1"/>
    </xf>
    <xf numFmtId="0" fontId="58" fillId="21" borderId="53" applyAlignment="1" pivotButton="0" quotePrefix="0" xfId="0">
      <alignment horizontal="center" vertical="center" wrapText="1"/>
    </xf>
    <xf numFmtId="0" fontId="58" fillId="2" borderId="8" applyAlignment="1" pivotButton="0" quotePrefix="0" xfId="0">
      <alignment horizontal="center" vertical="center" wrapText="1"/>
    </xf>
    <xf numFmtId="0" fontId="58" fillId="2" borderId="10" applyAlignment="1" pivotButton="0" quotePrefix="0" xfId="0">
      <alignment horizontal="center" vertical="center" wrapText="1"/>
    </xf>
    <xf numFmtId="0" fontId="64" fillId="33" borderId="18" applyAlignment="1" pivotButton="0" quotePrefix="0" xfId="0">
      <alignment horizontal="left" vertical="center"/>
    </xf>
    <xf numFmtId="3" fontId="59" fillId="18" borderId="7" applyAlignment="1" pivotButton="0" quotePrefix="0" xfId="1">
      <alignment horizontal="center" vertical="center"/>
    </xf>
    <xf numFmtId="3" fontId="59" fillId="18" borderId="16" applyAlignment="1" pivotButton="0" quotePrefix="0" xfId="1">
      <alignment horizontal="center" vertical="center"/>
    </xf>
    <xf numFmtId="3" fontId="59" fillId="18" borderId="53" applyAlignment="1" pivotButton="0" quotePrefix="0" xfId="1">
      <alignment horizontal="center" vertical="center"/>
    </xf>
    <xf numFmtId="171" fontId="77" fillId="0" borderId="7" applyAlignment="1" pivotButton="0" quotePrefix="0" xfId="2">
      <alignment horizontal="center" vertical="center" wrapText="1"/>
    </xf>
    <xf numFmtId="169" fontId="78" fillId="0" borderId="7" applyAlignment="1" pivotButton="0" quotePrefix="0" xfId="1">
      <alignment horizontal="center" vertical="center"/>
    </xf>
    <xf numFmtId="169" fontId="78" fillId="0" borderId="16" applyAlignment="1" pivotButton="0" quotePrefix="0" xfId="1">
      <alignment horizontal="center" vertical="center"/>
    </xf>
    <xf numFmtId="169" fontId="78" fillId="0" borderId="53" applyAlignment="1" pivotButton="0" quotePrefix="0" xfId="1">
      <alignment horizontal="center" vertical="center"/>
    </xf>
    <xf numFmtId="3" fontId="49" fillId="33" borderId="7" applyAlignment="1" pivotButton="0" quotePrefix="0" xfId="1">
      <alignment horizontal="center" vertical="center"/>
    </xf>
    <xf numFmtId="3" fontId="49" fillId="33" borderId="16" applyAlignment="1" pivotButton="0" quotePrefix="0" xfId="1">
      <alignment horizontal="center" vertical="center"/>
    </xf>
    <xf numFmtId="3" fontId="49" fillId="33" borderId="53" applyAlignment="1" pivotButton="0" quotePrefix="0" xfId="1">
      <alignment horizontal="center" vertical="center"/>
    </xf>
    <xf numFmtId="0" fontId="62" fillId="33" borderId="18" applyAlignment="1" pivotButton="0" quotePrefix="0" xfId="0">
      <alignment horizontal="left" vertical="center" wrapText="1"/>
    </xf>
    <xf numFmtId="3" fontId="69" fillId="0" borderId="7" applyAlignment="1" pivotButton="0" quotePrefix="0" xfId="1">
      <alignment horizontal="center" vertical="center"/>
    </xf>
    <xf numFmtId="3" fontId="69" fillId="0" borderId="16" applyAlignment="1" pivotButton="0" quotePrefix="0" xfId="1">
      <alignment horizontal="center" vertical="center"/>
    </xf>
    <xf numFmtId="3" fontId="69" fillId="0" borderId="53" applyAlignment="1" pivotButton="0" quotePrefix="0" xfId="1">
      <alignment horizontal="center" vertical="center"/>
    </xf>
    <xf numFmtId="3" fontId="69" fillId="0" borderId="7" applyAlignment="1" applyProtection="1" pivotButton="0" quotePrefix="0" xfId="1">
      <alignment horizontal="center" vertical="center"/>
      <protection locked="0" hidden="0"/>
    </xf>
    <xf numFmtId="3" fontId="69" fillId="0" borderId="16" applyAlignment="1" applyProtection="1" pivotButton="0" quotePrefix="0" xfId="1">
      <alignment horizontal="center" vertical="center"/>
      <protection locked="0" hidden="0"/>
    </xf>
    <xf numFmtId="3" fontId="69" fillId="0" borderId="53" applyAlignment="1" applyProtection="1" pivotButton="0" quotePrefix="0" xfId="1">
      <alignment horizontal="center" vertical="center"/>
      <protection locked="0" hidden="0"/>
    </xf>
    <xf numFmtId="0" fontId="62" fillId="23" borderId="18" applyAlignment="1" pivotButton="0" quotePrefix="0" xfId="0">
      <alignment horizontal="center" vertical="center" wrapText="1"/>
    </xf>
    <xf numFmtId="3" fontId="47" fillId="0" borderId="18" applyAlignment="1" applyProtection="1" pivotButton="0" quotePrefix="0" xfId="1">
      <alignment horizontal="center" vertical="center"/>
      <protection locked="0" hidden="0"/>
    </xf>
    <xf numFmtId="3" fontId="49" fillId="33" borderId="18" applyAlignment="1" pivotButton="0" quotePrefix="0" xfId="1">
      <alignment horizontal="center" vertical="center"/>
    </xf>
    <xf numFmtId="2" fontId="47" fillId="0" borderId="7" applyAlignment="1" pivotButton="0" quotePrefix="0" xfId="0">
      <alignment horizontal="center" vertical="center"/>
    </xf>
    <xf numFmtId="2" fontId="47" fillId="0" borderId="16" applyAlignment="1" pivotButton="0" quotePrefix="0" xfId="0">
      <alignment horizontal="center" vertical="center"/>
    </xf>
    <xf numFmtId="2" fontId="47" fillId="0" borderId="53" applyAlignment="1" pivotButton="0" quotePrefix="0" xfId="0">
      <alignment horizontal="center" vertical="center"/>
    </xf>
    <xf numFmtId="170" fontId="47" fillId="0" borderId="7" applyAlignment="1" pivotButton="0" quotePrefix="0" xfId="0">
      <alignment horizontal="center" vertical="center"/>
    </xf>
    <xf numFmtId="170" fontId="47" fillId="0" borderId="16" applyAlignment="1" pivotButton="0" quotePrefix="0" xfId="0">
      <alignment horizontal="center" vertical="center"/>
    </xf>
    <xf numFmtId="170" fontId="47" fillId="0" borderId="53" applyAlignment="1" pivotButton="0" quotePrefix="0" xfId="0">
      <alignment horizontal="center" vertical="center"/>
    </xf>
    <xf numFmtId="164" fontId="47" fillId="0" borderId="7" applyAlignment="1" applyProtection="1" pivotButton="0" quotePrefix="0" xfId="1">
      <alignment horizontal="center" vertical="center"/>
      <protection locked="0" hidden="0"/>
    </xf>
    <xf numFmtId="164" fontId="47" fillId="0" borderId="16" applyAlignment="1" applyProtection="1" pivotButton="0" quotePrefix="0" xfId="1">
      <alignment horizontal="center" vertical="center"/>
      <protection locked="0" hidden="0"/>
    </xf>
    <xf numFmtId="164" fontId="47" fillId="0" borderId="53" applyAlignment="1" applyProtection="1" pivotButton="0" quotePrefix="0" xfId="1">
      <alignment horizontal="center" vertical="center"/>
      <protection locked="0" hidden="0"/>
    </xf>
    <xf numFmtId="3" fontId="47" fillId="0" borderId="7" applyAlignment="1" pivotButton="0" quotePrefix="0" xfId="0">
      <alignment horizontal="center" vertical="center"/>
    </xf>
    <xf numFmtId="0" fontId="47" fillId="0" borderId="16" applyAlignment="1" pivotButton="0" quotePrefix="0" xfId="0">
      <alignment horizontal="center" vertical="center"/>
    </xf>
    <xf numFmtId="0" fontId="47" fillId="0" borderId="53" applyAlignment="1" pivotButton="0" quotePrefix="0" xfId="0">
      <alignment horizontal="center" vertical="center"/>
    </xf>
    <xf numFmtId="0" fontId="62" fillId="23" borderId="8" applyAlignment="1" pivotButton="0" quotePrefix="0" xfId="0">
      <alignment horizontal="center" vertical="center" wrapText="1"/>
    </xf>
    <xf numFmtId="0" fontId="62" fillId="23" borderId="9" applyAlignment="1" pivotButton="0" quotePrefix="0" xfId="0">
      <alignment horizontal="center" vertical="center" wrapText="1"/>
    </xf>
    <xf numFmtId="0" fontId="62" fillId="23" borderId="10" applyAlignment="1" pivotButton="0" quotePrefix="0" xfId="0">
      <alignment horizontal="center" vertical="center" wrapText="1"/>
    </xf>
    <xf numFmtId="0" fontId="49" fillId="0" borderId="7" applyAlignment="1" pivotButton="0" quotePrefix="0" xfId="0">
      <alignment horizontal="center" vertical="center"/>
    </xf>
    <xf numFmtId="0" fontId="49" fillId="0" borderId="16" applyAlignment="1" pivotButton="0" quotePrefix="0" xfId="0">
      <alignment horizontal="center" vertical="center"/>
    </xf>
    <xf numFmtId="0" fontId="49" fillId="0" borderId="53" applyAlignment="1" pivotButton="0" quotePrefix="0" xfId="0">
      <alignment horizontal="center" vertical="center"/>
    </xf>
    <xf numFmtId="0" fontId="62" fillId="33" borderId="5" applyAlignment="1" pivotButton="0" quotePrefix="0" xfId="0">
      <alignment horizontal="left" vertical="center" wrapText="1"/>
    </xf>
    <xf numFmtId="0" fontId="62" fillId="33" borderId="6" applyAlignment="1" pivotButton="0" quotePrefix="0" xfId="0">
      <alignment horizontal="left" vertical="center" wrapText="1"/>
    </xf>
    <xf numFmtId="0" fontId="62" fillId="33" borderId="14" applyAlignment="1" pivotButton="0" quotePrefix="0" xfId="0">
      <alignment horizontal="left" vertical="center" wrapText="1"/>
    </xf>
    <xf numFmtId="0" fontId="62" fillId="33" borderId="15" applyAlignment="1" pivotButton="0" quotePrefix="0" xfId="0">
      <alignment horizontal="left" vertical="center" wrapText="1"/>
    </xf>
    <xf numFmtId="0" fontId="62" fillId="33" borderId="52" applyAlignment="1" pivotButton="0" quotePrefix="0" xfId="0">
      <alignment horizontal="left" vertical="center" wrapText="1"/>
    </xf>
    <xf numFmtId="0" fontId="62" fillId="33" borderId="56" applyAlignment="1" pivotButton="0" quotePrefix="0" xfId="0">
      <alignment horizontal="left" vertical="center" wrapText="1"/>
    </xf>
    <xf numFmtId="171" fontId="77" fillId="0" borderId="16" applyAlignment="1" pivotButton="0" quotePrefix="0" xfId="2">
      <alignment horizontal="center" vertical="center" wrapText="1"/>
    </xf>
    <xf numFmtId="0" fontId="67" fillId="29" borderId="7" applyAlignment="1" pivotButton="0" quotePrefix="0" xfId="0">
      <alignment horizontal="left" vertical="center" wrapText="1"/>
    </xf>
    <xf numFmtId="0" fontId="67" fillId="11" borderId="7" applyAlignment="1" pivotButton="0" quotePrefix="0" xfId="0">
      <alignment horizontal="left" vertical="center" wrapText="1"/>
    </xf>
    <xf numFmtId="0" fontId="68" fillId="25" borderId="18" applyAlignment="1" pivotButton="0" quotePrefix="0" xfId="0">
      <alignment horizontal="center" vertical="center" wrapText="1"/>
    </xf>
    <xf numFmtId="0" fontId="68" fillId="0" borderId="18" applyAlignment="1" pivotButton="0" quotePrefix="0" xfId="0">
      <alignment horizontal="left" vertical="center" wrapText="1"/>
    </xf>
    <xf numFmtId="3" fontId="69" fillId="0" borderId="7" applyAlignment="1" pivotButton="0" quotePrefix="0" xfId="1">
      <alignment horizontal="center" vertical="center" wrapText="1"/>
    </xf>
    <xf numFmtId="3" fontId="69" fillId="0" borderId="16" applyAlignment="1" pivotButton="0" quotePrefix="0" xfId="1">
      <alignment horizontal="center" vertical="center" wrapText="1"/>
    </xf>
    <xf numFmtId="3" fontId="69" fillId="0" borderId="53" applyAlignment="1" pivotButton="0" quotePrefix="0" xfId="1">
      <alignment horizontal="center" vertical="center" wrapText="1"/>
    </xf>
    <xf numFmtId="3" fontId="69" fillId="34" borderId="7" applyAlignment="1" pivotButton="0" quotePrefix="0" xfId="1">
      <alignment horizontal="center" vertical="center" wrapText="1"/>
    </xf>
    <xf numFmtId="3" fontId="69" fillId="34" borderId="16" applyAlignment="1" pivotButton="0" quotePrefix="0" xfId="1">
      <alignment horizontal="center" vertical="center" wrapText="1"/>
    </xf>
    <xf numFmtId="3" fontId="69" fillId="34" borderId="53" applyAlignment="1" pivotButton="0" quotePrefix="0" xfId="1">
      <alignment horizontal="center" vertical="center" wrapText="1"/>
    </xf>
    <xf numFmtId="0" fontId="67" fillId="11" borderId="18" applyAlignment="1" pivotButton="0" quotePrefix="0" xfId="0">
      <alignment horizontal="left" vertical="center" wrapText="1"/>
    </xf>
    <xf numFmtId="0" fontId="64" fillId="24" borderId="7" applyAlignment="1" pivotButton="0" quotePrefix="0" xfId="0">
      <alignment horizontal="center" vertical="center" wrapText="1"/>
    </xf>
    <xf numFmtId="0" fontId="64" fillId="24" borderId="53" applyAlignment="1" pivotButton="0" quotePrefix="0" xfId="0">
      <alignment horizontal="center" vertical="center" wrapText="1"/>
    </xf>
    <xf numFmtId="0" fontId="71" fillId="22" borderId="8" applyAlignment="1" pivotButton="0" quotePrefix="0" xfId="0">
      <alignment horizontal="center" vertical="center" wrapText="1"/>
    </xf>
    <xf numFmtId="0" fontId="71" fillId="22" borderId="10" applyAlignment="1" pivotButton="0" quotePrefix="0" xfId="0">
      <alignment horizontal="center" vertical="center" wrapText="1"/>
    </xf>
    <xf numFmtId="0" fontId="58" fillId="33" borderId="7" applyAlignment="1" pivotButton="0" quotePrefix="0" xfId="0">
      <alignment horizontal="center" vertical="center" wrapText="1"/>
    </xf>
    <xf numFmtId="0" fontId="58" fillId="33" borderId="16" applyAlignment="1" pivotButton="0" quotePrefix="0" xfId="0">
      <alignment horizontal="center" vertical="center" wrapText="1"/>
    </xf>
    <xf numFmtId="0" fontId="58" fillId="33" borderId="53" applyAlignment="1" pivotButton="0" quotePrefix="0" xfId="0">
      <alignment horizontal="center" vertical="center" wrapText="1"/>
    </xf>
    <xf numFmtId="3" fontId="47" fillId="0" borderId="0" applyAlignment="1" applyProtection="1" pivotButton="0" quotePrefix="0" xfId="1">
      <alignment horizontal="center" vertical="center"/>
      <protection locked="0" hidden="0"/>
    </xf>
    <xf numFmtId="0" fontId="49" fillId="22" borderId="7" applyAlignment="1" pivotButton="0" quotePrefix="0" xfId="0">
      <alignment horizontal="center" vertical="center" wrapText="1"/>
    </xf>
    <xf numFmtId="0" fontId="49" fillId="22" borderId="16" applyAlignment="1" pivotButton="0" quotePrefix="0" xfId="0">
      <alignment horizontal="center" vertical="center" wrapText="1"/>
    </xf>
    <xf numFmtId="0" fontId="49" fillId="22" borderId="53" applyAlignment="1" pivotButton="0" quotePrefix="0" xfId="0">
      <alignment horizontal="center" vertical="center" wrapText="1"/>
    </xf>
    <xf numFmtId="0" fontId="49" fillId="22" borderId="5" applyAlignment="1" pivotButton="0" quotePrefix="0" xfId="0">
      <alignment horizontal="center" vertical="center" wrapText="1"/>
    </xf>
    <xf numFmtId="0" fontId="49" fillId="22" borderId="6" applyAlignment="1" pivotButton="0" quotePrefix="0" xfId="0">
      <alignment horizontal="center" vertical="center" wrapText="1"/>
    </xf>
    <xf numFmtId="0" fontId="49" fillId="22" borderId="14" applyAlignment="1" pivotButton="0" quotePrefix="0" xfId="0">
      <alignment horizontal="center" vertical="center" wrapText="1"/>
    </xf>
    <xf numFmtId="0" fontId="49" fillId="22" borderId="15" applyAlignment="1" pivotButton="0" quotePrefix="0" xfId="0">
      <alignment horizontal="center" vertical="center" wrapText="1"/>
    </xf>
    <xf numFmtId="0" fontId="49" fillId="22" borderId="52" applyAlignment="1" pivotButton="0" quotePrefix="0" xfId="0">
      <alignment horizontal="center" vertical="center" wrapText="1"/>
    </xf>
    <xf numFmtId="0" fontId="49" fillId="22" borderId="56" applyAlignment="1" pivotButton="0" quotePrefix="0" xfId="0">
      <alignment horizontal="center" vertical="center" wrapText="1"/>
    </xf>
    <xf numFmtId="3" fontId="59" fillId="8" borderId="7" applyAlignment="1" pivotButton="0" quotePrefix="0" xfId="1">
      <alignment horizontal="center" vertical="center"/>
    </xf>
    <xf numFmtId="3" fontId="59" fillId="8" borderId="16" applyAlignment="1" pivotButton="0" quotePrefix="0" xfId="1">
      <alignment horizontal="center" vertical="center"/>
    </xf>
    <xf numFmtId="3" fontId="59" fillId="8" borderId="53" applyAlignment="1" pivotButton="0" quotePrefix="0" xfId="1">
      <alignment horizontal="center" vertical="center"/>
    </xf>
    <xf numFmtId="171" fontId="63" fillId="0" borderId="18" applyAlignment="1" pivotButton="0" quotePrefix="0" xfId="2">
      <alignment horizontal="center" vertical="center" wrapText="1"/>
    </xf>
    <xf numFmtId="0" fontId="64" fillId="35" borderId="18" applyAlignment="1" pivotButton="0" quotePrefix="0" xfId="0">
      <alignment horizontal="left" vertical="center" wrapText="1"/>
    </xf>
    <xf numFmtId="3" fontId="59" fillId="3" borderId="7" applyAlignment="1" pivotButton="0" quotePrefix="0" xfId="1">
      <alignment horizontal="center" vertical="center" wrapText="1"/>
    </xf>
    <xf numFmtId="3" fontId="59" fillId="3" borderId="16" applyAlignment="1" pivotButton="0" quotePrefix="0" xfId="1">
      <alignment horizontal="center" vertical="center" wrapText="1"/>
    </xf>
    <xf numFmtId="3" fontId="59" fillId="3" borderId="53" applyAlignment="1" pivotButton="0" quotePrefix="0" xfId="1">
      <alignment horizontal="center" vertical="center" wrapText="1"/>
    </xf>
    <xf numFmtId="0" fontId="72" fillId="13" borderId="18" applyAlignment="1" pivotButton="0" quotePrefix="0" xfId="0">
      <alignment horizontal="center" vertical="center" wrapText="1"/>
    </xf>
    <xf numFmtId="0" fontId="49" fillId="21" borderId="5" applyAlignment="1" pivotButton="0" quotePrefix="0" xfId="0">
      <alignment horizontal="center" vertical="center"/>
    </xf>
    <xf numFmtId="0" fontId="49" fillId="21" borderId="64" applyAlignment="1" pivotButton="0" quotePrefix="0" xfId="0">
      <alignment horizontal="center" vertical="center"/>
    </xf>
    <xf numFmtId="0" fontId="49" fillId="21" borderId="6" applyAlignment="1" pivotButton="0" quotePrefix="0" xfId="0">
      <alignment horizontal="center" vertical="center"/>
    </xf>
    <xf numFmtId="0" fontId="49" fillId="13" borderId="18" applyAlignment="1" pivotButton="0" quotePrefix="0" xfId="0">
      <alignment horizontal="center" vertical="center"/>
    </xf>
    <xf numFmtId="0" fontId="58" fillId="13" borderId="18" applyAlignment="1" pivotButton="0" quotePrefix="0" xfId="0">
      <alignment horizontal="center" vertical="center" wrapText="1"/>
    </xf>
    <xf numFmtId="0" fontId="62" fillId="35" borderId="18" applyAlignment="1" pivotButton="0" quotePrefix="0" xfId="0">
      <alignment horizontal="left" vertical="center"/>
    </xf>
    <xf numFmtId="0" fontId="49" fillId="35" borderId="18" applyAlignment="1" pivotButton="0" quotePrefix="0" xfId="0">
      <alignment horizontal="left" vertical="center"/>
    </xf>
    <xf numFmtId="0" fontId="71" fillId="21" borderId="18" applyAlignment="1" pivotButton="0" quotePrefix="0" xfId="0">
      <alignment horizontal="center" vertical="center" wrapText="1"/>
    </xf>
    <xf numFmtId="0" fontId="58" fillId="13" borderId="7" applyAlignment="1" pivotButton="0" quotePrefix="0" xfId="0">
      <alignment horizontal="center" vertical="center" wrapText="1"/>
    </xf>
    <xf numFmtId="0" fontId="58" fillId="13" borderId="16" applyAlignment="1" pivotButton="0" quotePrefix="0" xfId="0">
      <alignment horizontal="center" vertical="center" wrapText="1"/>
    </xf>
    <xf numFmtId="0" fontId="58" fillId="13" borderId="53" applyAlignment="1" pivotButton="0" quotePrefix="0" xfId="0">
      <alignment horizontal="center" vertical="center" wrapText="1"/>
    </xf>
    <xf numFmtId="3" fontId="59" fillId="18" borderId="7" applyAlignment="1" applyProtection="1" pivotButton="0" quotePrefix="0" xfId="1">
      <alignment horizontal="center" vertical="center"/>
      <protection locked="0" hidden="0"/>
    </xf>
    <xf numFmtId="3" fontId="59" fillId="18" borderId="16" applyAlignment="1" applyProtection="1" pivotButton="0" quotePrefix="0" xfId="1">
      <alignment horizontal="center" vertical="center"/>
      <protection locked="0" hidden="0"/>
    </xf>
    <xf numFmtId="3" fontId="59" fillId="18" borderId="53" applyAlignment="1" applyProtection="1" pivotButton="0" quotePrefix="0" xfId="1">
      <alignment horizontal="center" vertical="center"/>
      <protection locked="0" hidden="0"/>
    </xf>
    <xf numFmtId="3" fontId="47" fillId="0" borderId="14" applyAlignment="1" applyProtection="1" pivotButton="0" quotePrefix="0" xfId="1">
      <alignment horizontal="center" vertical="center"/>
      <protection locked="0" hidden="0"/>
    </xf>
    <xf numFmtId="3" fontId="49" fillId="35" borderId="7" applyAlignment="1" pivotButton="0" quotePrefix="0" xfId="1">
      <alignment horizontal="center" vertical="center"/>
    </xf>
    <xf numFmtId="3" fontId="49" fillId="35" borderId="16" applyAlignment="1" pivotButton="0" quotePrefix="0" xfId="1">
      <alignment horizontal="center" vertical="center"/>
    </xf>
    <xf numFmtId="3" fontId="49" fillId="35" borderId="53" applyAlignment="1" pivotButton="0" quotePrefix="0" xfId="1">
      <alignment horizontal="center" vertical="center"/>
    </xf>
    <xf numFmtId="3" fontId="59" fillId="3" borderId="18" applyAlignment="1" pivotButton="0" quotePrefix="0" xfId="1">
      <alignment horizontal="center" vertical="center" wrapText="1"/>
    </xf>
    <xf numFmtId="3" fontId="70" fillId="3" borderId="18" applyAlignment="1" applyProtection="1" pivotButton="0" quotePrefix="0" xfId="1">
      <alignment horizontal="center" vertical="center" wrapText="1"/>
      <protection locked="0" hidden="0"/>
    </xf>
    <xf numFmtId="3" fontId="59" fillId="8" borderId="18" applyAlignment="1" pivotButton="0" quotePrefix="0" xfId="1">
      <alignment horizontal="center" vertical="center"/>
    </xf>
    <xf numFmtId="0" fontId="62" fillId="35" borderId="18" applyAlignment="1" pivotButton="0" quotePrefix="0" xfId="0">
      <alignment horizontal="left" vertical="center" wrapText="1"/>
    </xf>
    <xf numFmtId="3" fontId="59" fillId="18" borderId="5" applyAlignment="1" applyProtection="1" pivotButton="0" quotePrefix="0" xfId="1">
      <alignment horizontal="center" vertical="center"/>
      <protection locked="0" hidden="0"/>
    </xf>
    <xf numFmtId="3" fontId="59" fillId="18" borderId="14" applyAlignment="1" applyProtection="1" pivotButton="0" quotePrefix="0" xfId="1">
      <alignment horizontal="center" vertical="center"/>
      <protection locked="0" hidden="0"/>
    </xf>
    <xf numFmtId="3" fontId="59" fillId="18" borderId="52" applyAlignment="1" applyProtection="1" pivotButton="0" quotePrefix="0" xfId="1">
      <alignment horizontal="center" vertical="center"/>
      <protection locked="0" hidden="0"/>
    </xf>
    <xf numFmtId="3" fontId="49" fillId="35" borderId="18" applyAlignment="1" pivotButton="0" quotePrefix="0" xfId="1">
      <alignment horizontal="center" vertical="center"/>
    </xf>
    <xf numFmtId="171" fontId="63" fillId="0" borderId="53" applyAlignment="1" pivotButton="0" quotePrefix="0" xfId="2">
      <alignment horizontal="center" vertical="center" wrapText="1"/>
    </xf>
    <xf numFmtId="171" fontId="63" fillId="0" borderId="7" applyAlignment="1" pivotButton="0" quotePrefix="0" xfId="2">
      <alignment horizontal="center" vertical="center" wrapText="1"/>
    </xf>
    <xf numFmtId="0" fontId="62" fillId="22" borderId="18" applyAlignment="1" pivotButton="0" quotePrefix="0" xfId="0">
      <alignment horizontal="center" vertical="center" wrapText="1"/>
    </xf>
    <xf numFmtId="3" fontId="49" fillId="3" borderId="18" applyAlignment="1" pivotButton="0" quotePrefix="0" xfId="1">
      <alignment horizontal="center" vertical="center" wrapText="1"/>
    </xf>
    <xf numFmtId="0" fontId="62" fillId="35" borderId="7" applyAlignment="1" pivotButton="0" quotePrefix="0" xfId="0">
      <alignment horizontal="left" vertical="center" wrapText="1"/>
    </xf>
    <xf numFmtId="0" fontId="62" fillId="35" borderId="5" applyAlignment="1" pivotButton="0" quotePrefix="0" xfId="0">
      <alignment horizontal="left" vertical="center" wrapText="1"/>
    </xf>
    <xf numFmtId="0" fontId="62" fillId="35" borderId="6" applyAlignment="1" pivotButton="0" quotePrefix="0" xfId="0">
      <alignment horizontal="left" vertical="center" wrapText="1"/>
    </xf>
    <xf numFmtId="0" fontId="62" fillId="35" borderId="14" applyAlignment="1" pivotButton="0" quotePrefix="0" xfId="0">
      <alignment horizontal="left" vertical="center" wrapText="1"/>
    </xf>
    <xf numFmtId="0" fontId="62" fillId="35" borderId="15" applyAlignment="1" pivotButton="0" quotePrefix="0" xfId="0">
      <alignment horizontal="left" vertical="center" wrapText="1"/>
    </xf>
    <xf numFmtId="171" fontId="63" fillId="0" borderId="16" applyAlignment="1" pivotButton="0" quotePrefix="0" xfId="2">
      <alignment horizontal="center" vertical="center" wrapText="1"/>
    </xf>
    <xf numFmtId="0" fontId="59" fillId="21" borderId="18" applyAlignment="1" pivotButton="0" quotePrefix="0" xfId="0">
      <alignment horizontal="center" vertical="center" wrapText="1"/>
    </xf>
    <xf numFmtId="3" fontId="49" fillId="3" borderId="7" applyAlignment="1" pivotButton="0" quotePrefix="0" xfId="1">
      <alignment horizontal="center" vertical="center" wrapText="1"/>
    </xf>
    <xf numFmtId="3" fontId="49" fillId="3" borderId="16" applyAlignment="1" pivotButton="0" quotePrefix="0" xfId="1">
      <alignment horizontal="center" vertical="center" wrapText="1"/>
    </xf>
    <xf numFmtId="3" fontId="49" fillId="3" borderId="53" applyAlignment="1" pivotButton="0" quotePrefix="0" xfId="1">
      <alignment horizontal="center" vertical="center" wrapText="1"/>
    </xf>
    <xf numFmtId="0" fontId="62" fillId="35" borderId="53" applyAlignment="1" pivotButton="0" quotePrefix="0" xfId="0">
      <alignment horizontal="left" vertical="center" wrapText="1"/>
    </xf>
    <xf numFmtId="0" fontId="10" fillId="6" borderId="13" applyAlignment="1" pivotButton="0" quotePrefix="0" xfId="0">
      <alignment horizontal="center" vertical="center" wrapText="1"/>
    </xf>
    <xf numFmtId="0" fontId="10" fillId="6" borderId="19" applyAlignment="1" pivotButton="0" quotePrefix="0" xfId="0">
      <alignment horizontal="center" vertical="center" wrapText="1"/>
    </xf>
    <xf numFmtId="0" fontId="10" fillId="6" borderId="22" applyAlignment="1" pivotButton="0" quotePrefix="0" xfId="0">
      <alignment horizontal="center" vertical="center" wrapText="1"/>
    </xf>
    <xf numFmtId="0" fontId="2" fillId="10" borderId="0" applyAlignment="1" pivotButton="0" quotePrefix="0" xfId="0">
      <alignment horizontal="center" vertical="center" wrapText="1"/>
    </xf>
    <xf numFmtId="0" fontId="9" fillId="2" borderId="7" applyAlignment="1" pivotButton="0" quotePrefix="0" xfId="0">
      <alignment horizontal="center" vertical="center" wrapText="1"/>
    </xf>
    <xf numFmtId="0" fontId="9" fillId="2" borderId="16" applyAlignment="1" pivotButton="0" quotePrefix="0" xfId="0">
      <alignment horizontal="center" vertical="center" wrapText="1"/>
    </xf>
    <xf numFmtId="0" fontId="3" fillId="4" borderId="2" applyAlignment="1" applyProtection="1" pivotButton="0" quotePrefix="0" xfId="0">
      <alignment horizontal="center" vertical="center" wrapText="1"/>
      <protection locked="0" hidden="0"/>
    </xf>
    <xf numFmtId="0" fontId="3" fillId="4" borderId="3" applyAlignment="1" applyProtection="1" pivotButton="0" quotePrefix="0" xfId="0">
      <alignment horizontal="center" vertical="center" wrapText="1"/>
      <protection locked="0" hidden="0"/>
    </xf>
    <xf numFmtId="0" fontId="8" fillId="0" borderId="4" applyAlignment="1" pivotButton="0" quotePrefix="0" xfId="0">
      <alignment horizontal="left" vertical="center"/>
    </xf>
    <xf numFmtId="0" fontId="8" fillId="0" borderId="0" applyAlignment="1" pivotButton="0" quotePrefix="0" xfId="0">
      <alignment horizontal="left" vertical="center"/>
    </xf>
    <xf numFmtId="0" fontId="3" fillId="2" borderId="5" applyAlignment="1" pivotButton="0" quotePrefix="0" xfId="0">
      <alignment horizontal="center" vertical="center" wrapText="1"/>
    </xf>
    <xf numFmtId="0" fontId="3" fillId="2" borderId="6" applyAlignment="1" pivotButton="0" quotePrefix="0" xfId="0">
      <alignment horizontal="center" vertical="center" wrapText="1"/>
    </xf>
    <xf numFmtId="0" fontId="3" fillId="2" borderId="14" applyAlignment="1" pivotButton="0" quotePrefix="0" xfId="0">
      <alignment horizontal="center" vertical="center" wrapText="1"/>
    </xf>
    <xf numFmtId="0" fontId="3" fillId="2" borderId="15" applyAlignment="1" pivotButton="0" quotePrefix="0" xfId="0">
      <alignment horizontal="center" vertical="center" wrapText="1"/>
    </xf>
    <xf numFmtId="0" fontId="4" fillId="2" borderId="8" applyAlignment="1" pivotButton="0" quotePrefix="0" xfId="0">
      <alignment horizontal="center" vertical="center"/>
    </xf>
    <xf numFmtId="0" fontId="4" fillId="2" borderId="10" applyAlignment="1" pivotButton="0" quotePrefix="0" xfId="0">
      <alignment horizontal="center" vertical="center"/>
    </xf>
    <xf numFmtId="0" fontId="4" fillId="2" borderId="9" applyAlignment="1" pivotButton="0" quotePrefix="0" xfId="0">
      <alignment horizontal="center" vertical="center"/>
    </xf>
    <xf numFmtId="0" fontId="9" fillId="5" borderId="7" applyAlignment="1" pivotButton="0" quotePrefix="0" xfId="0">
      <alignment horizontal="center" vertical="center" wrapText="1"/>
    </xf>
    <xf numFmtId="0" fontId="9" fillId="5" borderId="16" applyAlignment="1" pivotButton="0" quotePrefix="0" xfId="0">
      <alignment horizontal="center" vertical="center" wrapText="1"/>
    </xf>
    <xf numFmtId="0" fontId="9" fillId="5" borderId="5" applyAlignment="1" pivotButton="0" quotePrefix="0" xfId="0">
      <alignment horizontal="center" vertical="center" wrapText="1"/>
    </xf>
    <xf numFmtId="0" fontId="9" fillId="5" borderId="14" applyAlignment="1" pivotButton="0" quotePrefix="0" xfId="0">
      <alignment horizontal="center" vertical="center" wrapText="1"/>
    </xf>
    <xf numFmtId="0" fontId="12" fillId="7" borderId="2" applyAlignment="1" pivotButton="0" quotePrefix="0" xfId="0">
      <alignment horizontal="center" vertical="center" wrapText="1"/>
    </xf>
    <xf numFmtId="0" fontId="12" fillId="7" borderId="23" applyAlignment="1" pivotButton="0" quotePrefix="0" xfId="0">
      <alignment horizontal="center" vertical="center" wrapText="1"/>
    </xf>
    <xf numFmtId="0" fontId="12" fillId="0" borderId="27" applyAlignment="1" pivotButton="0" quotePrefix="0" xfId="0">
      <alignment horizontal="center" vertical="center" wrapText="1"/>
    </xf>
    <xf numFmtId="0" fontId="12" fillId="0" borderId="28" applyAlignment="1" pivotButton="0" quotePrefix="0" xfId="0">
      <alignment horizontal="center" vertical="center" wrapText="1"/>
    </xf>
    <xf numFmtId="0" fontId="12" fillId="0" borderId="30" applyAlignment="1" pivotButton="0" quotePrefix="0" xfId="0">
      <alignment horizontal="center" vertical="center" wrapText="1"/>
    </xf>
    <xf numFmtId="0" fontId="12" fillId="0" borderId="15" applyAlignment="1" pivotButton="0" quotePrefix="0" xfId="0">
      <alignment horizontal="center" vertical="center" wrapText="1"/>
    </xf>
    <xf numFmtId="0" fontId="12" fillId="0" borderId="24" applyAlignment="1" pivotButton="0" quotePrefix="0" xfId="0">
      <alignment horizontal="center" vertical="center" wrapText="1"/>
    </xf>
    <xf numFmtId="0" fontId="12" fillId="0" borderId="33" applyAlignment="1" pivotButton="0" quotePrefix="0" xfId="0">
      <alignment horizontal="center" vertical="center" wrapText="1"/>
    </xf>
    <xf numFmtId="164" fontId="9" fillId="3" borderId="12" applyAlignment="1" pivotButton="0" quotePrefix="0" xfId="1">
      <alignment horizontal="center" vertical="center" wrapText="1"/>
    </xf>
    <xf numFmtId="164" fontId="9" fillId="3" borderId="18" applyAlignment="1" pivotButton="0" quotePrefix="0" xfId="1">
      <alignment horizontal="center" vertical="center" wrapText="1"/>
    </xf>
    <xf numFmtId="164" fontId="9" fillId="3" borderId="21" applyAlignment="1" pivotButton="0" quotePrefix="0" xfId="1">
      <alignment horizontal="center" vertical="center" wrapText="1"/>
    </xf>
    <xf numFmtId="164" fontId="9" fillId="3" borderId="12" applyAlignment="1" applyProtection="1" pivotButton="0" quotePrefix="0" xfId="1">
      <alignment horizontal="center" vertical="center" wrapText="1"/>
      <protection locked="0" hidden="0"/>
    </xf>
    <xf numFmtId="164" fontId="9" fillId="3" borderId="18" applyAlignment="1" applyProtection="1" pivotButton="0" quotePrefix="0" xfId="1">
      <alignment horizontal="center" vertical="center" wrapText="1"/>
      <protection locked="0" hidden="0"/>
    </xf>
    <xf numFmtId="164" fontId="9" fillId="3" borderId="21" applyAlignment="1" applyProtection="1" pivotButton="0" quotePrefix="0" xfId="1">
      <alignment horizontal="center" vertical="center" wrapText="1"/>
      <protection locked="0" hidden="0"/>
    </xf>
    <xf numFmtId="0" fontId="10" fillId="6" borderId="18" applyAlignment="1" pivotButton="0" quotePrefix="0" xfId="0">
      <alignment horizontal="center" vertical="center" wrapText="1"/>
    </xf>
    <xf numFmtId="0" fontId="10" fillId="6" borderId="21" applyAlignment="1" pivotButton="0" quotePrefix="0" xfId="0">
      <alignment horizontal="center" vertical="center" wrapText="1"/>
    </xf>
    <xf numFmtId="0" fontId="11" fillId="6" borderId="17" applyAlignment="1" pivotButton="0" quotePrefix="0" xfId="0">
      <alignment horizontal="center" vertical="center" wrapText="1"/>
    </xf>
    <xf numFmtId="0" fontId="11" fillId="6" borderId="20" applyAlignment="1" pivotButton="0" quotePrefix="0" xfId="0">
      <alignment horizontal="center" vertical="center" wrapText="1"/>
    </xf>
    <xf numFmtId="0" fontId="11" fillId="6" borderId="18" applyAlignment="1" pivotButton="0" quotePrefix="0" xfId="0">
      <alignment horizontal="center" vertical="center" wrapText="1"/>
    </xf>
    <xf numFmtId="0" fontId="11" fillId="6" borderId="21" applyAlignment="1" pivotButton="0" quotePrefix="0" xfId="0">
      <alignment horizontal="center" vertical="center" wrapText="1"/>
    </xf>
    <xf numFmtId="0" fontId="10" fillId="6" borderId="17" applyAlignment="1" pivotButton="0" quotePrefix="0" xfId="0">
      <alignment horizontal="center" vertical="center" wrapText="1"/>
    </xf>
    <xf numFmtId="0" fontId="9" fillId="5" borderId="18" applyAlignment="1" pivotButton="0" quotePrefix="0" xfId="0">
      <alignment horizontal="center" vertical="center" wrapText="1"/>
    </xf>
    <xf numFmtId="0" fontId="9" fillId="15" borderId="18" applyAlignment="1" pivotButton="0" quotePrefix="0" xfId="0">
      <alignment horizontal="center" vertical="center" wrapText="1"/>
    </xf>
    <xf numFmtId="0" fontId="10" fillId="6" borderId="11" applyAlignment="1" pivotButton="0" quotePrefix="0" xfId="0">
      <alignment horizontal="center" vertical="center" wrapText="1"/>
    </xf>
    <xf numFmtId="0" fontId="10" fillId="6" borderId="12" applyAlignment="1" pivotButton="0" quotePrefix="0" xfId="0">
      <alignment horizontal="center" vertical="center" wrapText="1"/>
    </xf>
    <xf numFmtId="164" fontId="2" fillId="0" borderId="12" applyAlignment="1" applyProtection="1" pivotButton="0" quotePrefix="0" xfId="1">
      <alignment horizontal="center" vertical="center"/>
      <protection locked="0" hidden="0"/>
    </xf>
    <xf numFmtId="164" fontId="2" fillId="0" borderId="18" applyAlignment="1" applyProtection="1" pivotButton="0" quotePrefix="0" xfId="1">
      <alignment horizontal="center" vertical="center"/>
      <protection locked="0" hidden="0"/>
    </xf>
    <xf numFmtId="164" fontId="2" fillId="0" borderId="21" applyAlignment="1" applyProtection="1" pivotButton="0" quotePrefix="0" xfId="1">
      <alignment horizontal="center" vertical="center"/>
      <protection locked="0" hidden="0"/>
    </xf>
    <xf numFmtId="164" fontId="4" fillId="6" borderId="29" applyAlignment="1" pivotButton="0" quotePrefix="0" xfId="0">
      <alignment horizontal="center" vertical="center"/>
    </xf>
    <xf numFmtId="0" fontId="4" fillId="6" borderId="31" applyAlignment="1" pivotButton="0" quotePrefix="0" xfId="0">
      <alignment horizontal="center" vertical="center"/>
    </xf>
    <xf numFmtId="0" fontId="4" fillId="6" borderId="32" applyAlignment="1" pivotButton="0" quotePrefix="0" xfId="0">
      <alignment horizontal="center" vertical="center"/>
    </xf>
    <xf numFmtId="9" fontId="2" fillId="0" borderId="0" applyAlignment="1" pivotButton="0" quotePrefix="0" xfId="4">
      <alignment horizontal="center" vertical="center"/>
    </xf>
    <xf numFmtId="164" fontId="13" fillId="8" borderId="36" applyAlignment="1" pivotButton="0" quotePrefix="0" xfId="1">
      <alignment horizontal="center" vertical="center"/>
    </xf>
    <xf numFmtId="164" fontId="13" fillId="8" borderId="16" applyAlignment="1" pivotButton="0" quotePrefix="0" xfId="1">
      <alignment horizontal="center" vertical="center"/>
    </xf>
    <xf numFmtId="164" fontId="13" fillId="8" borderId="37" applyAlignment="1" pivotButton="0" quotePrefix="0" xfId="1">
      <alignment horizontal="center" vertical="center"/>
    </xf>
    <xf numFmtId="165" fontId="15" fillId="9" borderId="12" applyAlignment="1" pivotButton="0" quotePrefix="0" xfId="2">
      <alignment horizontal="center" vertical="center" wrapText="1"/>
    </xf>
    <xf numFmtId="165" fontId="15" fillId="9" borderId="18" applyAlignment="1" pivotButton="0" quotePrefix="0" xfId="2">
      <alignment horizontal="center" vertical="center" wrapText="1"/>
    </xf>
    <xf numFmtId="165" fontId="15" fillId="9" borderId="21" applyAlignment="1" pivotButton="0" quotePrefix="0" xfId="2">
      <alignment horizontal="center" vertical="center" wrapText="1"/>
    </xf>
    <xf numFmtId="164" fontId="2" fillId="0" borderId="11" applyAlignment="1" applyProtection="1" pivotButton="0" quotePrefix="0" xfId="1">
      <alignment horizontal="center" vertical="center"/>
      <protection locked="0" hidden="0"/>
    </xf>
    <xf numFmtId="164" fontId="2" fillId="0" borderId="17" applyAlignment="1" applyProtection="1" pivotButton="0" quotePrefix="0" xfId="1">
      <alignment horizontal="center" vertical="center"/>
      <protection locked="0" hidden="0"/>
    </xf>
    <xf numFmtId="164" fontId="2" fillId="0" borderId="20" applyAlignment="1" applyProtection="1" pivotButton="0" quotePrefix="0" xfId="1">
      <alignment horizontal="center" vertical="center"/>
      <protection locked="0" hidden="0"/>
    </xf>
    <xf numFmtId="164" fontId="9" fillId="3" borderId="36" applyAlignment="1" applyProtection="1" pivotButton="0" quotePrefix="0" xfId="1">
      <alignment horizontal="center" vertical="center" wrapText="1"/>
      <protection locked="0" hidden="0"/>
    </xf>
    <xf numFmtId="164" fontId="9" fillId="3" borderId="16" applyAlignment="1" applyProtection="1" pivotButton="0" quotePrefix="0" xfId="1">
      <alignment horizontal="center" vertical="center" wrapText="1"/>
      <protection locked="0" hidden="0"/>
    </xf>
    <xf numFmtId="164" fontId="9" fillId="3" borderId="37" applyAlignment="1" applyProtection="1" pivotButton="0" quotePrefix="0" xfId="1">
      <alignment horizontal="center" vertical="center" wrapText="1"/>
      <protection locked="0" hidden="0"/>
    </xf>
    <xf numFmtId="165" fontId="15" fillId="9" borderId="36" applyAlignment="1" pivotButton="0" quotePrefix="0" xfId="2">
      <alignment horizontal="center" vertical="center" wrapText="1"/>
    </xf>
    <xf numFmtId="165" fontId="15" fillId="9" borderId="16" applyAlignment="1" pivotButton="0" quotePrefix="0" xfId="2">
      <alignment horizontal="center" vertical="center" wrapText="1"/>
    </xf>
    <xf numFmtId="165" fontId="15" fillId="9" borderId="37" applyAlignment="1" pivotButton="0" quotePrefix="0" xfId="2">
      <alignment horizontal="center" vertical="center" wrapText="1"/>
    </xf>
    <xf numFmtId="164" fontId="9" fillId="3" borderId="36" applyAlignment="1" pivotButton="0" quotePrefix="0" xfId="1">
      <alignment horizontal="center" vertical="center" wrapText="1"/>
    </xf>
    <xf numFmtId="164" fontId="9" fillId="3" borderId="16" applyAlignment="1" pivotButton="0" quotePrefix="0" xfId="1">
      <alignment horizontal="center" vertical="center" wrapText="1"/>
    </xf>
    <xf numFmtId="164" fontId="9" fillId="3" borderId="37" applyAlignment="1" pivotButton="0" quotePrefix="0" xfId="1">
      <alignment horizontal="center" vertical="center" wrapText="1"/>
    </xf>
    <xf numFmtId="164" fontId="13" fillId="8" borderId="12" applyAlignment="1" pivotButton="0" quotePrefix="0" xfId="1">
      <alignment horizontal="center" vertical="center"/>
    </xf>
    <xf numFmtId="164" fontId="13" fillId="8" borderId="18" applyAlignment="1" pivotButton="0" quotePrefix="0" xfId="1">
      <alignment horizontal="center" vertical="center"/>
    </xf>
    <xf numFmtId="164" fontId="13" fillId="8" borderId="7" applyAlignment="1" pivotButton="0" quotePrefix="0" xfId="1">
      <alignment horizontal="center" vertical="center"/>
    </xf>
    <xf numFmtId="0" fontId="12" fillId="10" borderId="2" applyAlignment="1" pivotButton="0" quotePrefix="0" xfId="0">
      <alignment horizontal="center" vertical="center" wrapText="1"/>
    </xf>
    <xf numFmtId="0" fontId="12" fillId="10" borderId="23" applyAlignment="1" pivotButton="0" quotePrefix="0" xfId="0">
      <alignment horizontal="center" vertical="center" wrapText="1"/>
    </xf>
    <xf numFmtId="164" fontId="2" fillId="0" borderId="7" applyAlignment="1" applyProtection="1" pivotButton="0" quotePrefix="0" xfId="1">
      <alignment horizontal="center" vertical="center"/>
      <protection locked="0" hidden="0"/>
    </xf>
    <xf numFmtId="164" fontId="2" fillId="0" borderId="41" applyAlignment="1" applyProtection="1" pivotButton="0" quotePrefix="0" xfId="1">
      <alignment horizontal="center" vertical="center"/>
      <protection locked="0" hidden="0"/>
    </xf>
    <xf numFmtId="164" fontId="2" fillId="0" borderId="36" applyAlignment="1" applyProtection="1" pivotButton="0" quotePrefix="0" xfId="1">
      <alignment horizontal="center" vertical="center"/>
      <protection locked="0" hidden="0"/>
    </xf>
    <xf numFmtId="164" fontId="2" fillId="0" borderId="16" applyAlignment="1" applyProtection="1" pivotButton="0" quotePrefix="0" xfId="1">
      <alignment horizontal="center" vertical="center"/>
      <protection locked="0" hidden="0"/>
    </xf>
    <xf numFmtId="164" fontId="2" fillId="0" borderId="37" applyAlignment="1" applyProtection="1" pivotButton="0" quotePrefix="0" xfId="1">
      <alignment horizontal="center" vertical="center"/>
      <protection locked="0" hidden="0"/>
    </xf>
    <xf numFmtId="0" fontId="12" fillId="11" borderId="2" applyAlignment="1" pivotButton="0" quotePrefix="0" xfId="0">
      <alignment horizontal="center" vertical="center" wrapText="1"/>
    </xf>
    <xf numFmtId="0" fontId="12" fillId="11" borderId="23" applyAlignment="1" pivotButton="0" quotePrefix="0" xfId="0">
      <alignment horizontal="center" vertical="center" wrapText="1"/>
    </xf>
    <xf numFmtId="164" fontId="2" fillId="0" borderId="43" applyAlignment="1" applyProtection="1" pivotButton="0" quotePrefix="0" xfId="1">
      <alignment horizontal="center" vertical="center"/>
      <protection locked="0" hidden="0"/>
    </xf>
    <xf numFmtId="164" fontId="2" fillId="0" borderId="44" applyAlignment="1" applyProtection="1" pivotButton="0" quotePrefix="0" xfId="1">
      <alignment horizontal="center" vertical="center"/>
      <protection locked="0" hidden="0"/>
    </xf>
    <xf numFmtId="164" fontId="2" fillId="0" borderId="45" applyAlignment="1" applyProtection="1" pivotButton="0" quotePrefix="0" xfId="1">
      <alignment horizontal="center" vertical="center"/>
      <protection locked="0" hidden="0"/>
    </xf>
    <xf numFmtId="0" fontId="12" fillId="0" borderId="40" applyAlignment="1" pivotButton="0" quotePrefix="0" xfId="0">
      <alignment horizontal="center" vertical="center" wrapText="1"/>
    </xf>
    <xf numFmtId="0" fontId="12" fillId="0" borderId="46" applyAlignment="1" pivotButton="0" quotePrefix="0" xfId="0">
      <alignment horizontal="center" vertical="center" wrapText="1"/>
    </xf>
    <xf numFmtId="0" fontId="12" fillId="0" borderId="26" applyAlignment="1" pivotButton="0" quotePrefix="0" xfId="0">
      <alignment horizontal="center" vertical="center" wrapText="1"/>
    </xf>
    <xf numFmtId="164" fontId="4" fillId="6" borderId="13" applyAlignment="1" pivotButton="0" quotePrefix="0" xfId="0">
      <alignment horizontal="center" vertical="center"/>
    </xf>
    <xf numFmtId="164" fontId="4" fillId="6" borderId="19" applyAlignment="1" pivotButton="0" quotePrefix="0" xfId="0">
      <alignment horizontal="center" vertical="center"/>
    </xf>
    <xf numFmtId="164" fontId="4" fillId="6" borderId="22" applyAlignment="1" pivotButton="0" quotePrefix="0" xfId="0">
      <alignment horizontal="center" vertical="center"/>
    </xf>
    <xf numFmtId="0" fontId="12" fillId="0" borderId="39" applyAlignment="1" pivotButton="0" quotePrefix="0" xfId="0">
      <alignment horizontal="center" vertical="center" wrapText="1"/>
    </xf>
    <xf numFmtId="0" fontId="12" fillId="0" borderId="0" applyAlignment="1" pivotButton="0" quotePrefix="0" xfId="0">
      <alignment horizontal="center" vertical="center" wrapText="1"/>
    </xf>
    <xf numFmtId="0" fontId="16" fillId="0" borderId="11" applyAlignment="1" pivotButton="0" quotePrefix="0" xfId="0">
      <alignment horizontal="left" vertical="center"/>
    </xf>
    <xf numFmtId="0" fontId="16" fillId="0" borderId="13" applyAlignment="1" pivotButton="0" quotePrefix="0" xfId="0">
      <alignment horizontal="left" vertical="center"/>
    </xf>
    <xf numFmtId="0" fontId="16" fillId="0" borderId="17" applyAlignment="1" pivotButton="0" quotePrefix="0" xfId="0">
      <alignment horizontal="left" vertical="center"/>
    </xf>
    <xf numFmtId="0" fontId="16" fillId="0" borderId="19" applyAlignment="1" pivotButton="0" quotePrefix="0" xfId="0">
      <alignment horizontal="left" vertical="center"/>
    </xf>
    <xf numFmtId="0" fontId="12" fillId="12" borderId="27" applyAlignment="1" pivotButton="0" quotePrefix="0" xfId="0">
      <alignment horizontal="center" vertical="center" wrapText="1"/>
    </xf>
    <xf numFmtId="0" fontId="12" fillId="12" borderId="28" applyAlignment="1" pivotButton="0" quotePrefix="0" xfId="0">
      <alignment horizontal="center" vertical="center" wrapText="1"/>
    </xf>
    <xf numFmtId="0" fontId="12" fillId="12" borderId="30" applyAlignment="1" pivotButton="0" quotePrefix="0" xfId="0">
      <alignment horizontal="center" vertical="center" wrapText="1"/>
    </xf>
    <xf numFmtId="0" fontId="12" fillId="12" borderId="15" applyAlignment="1" pivotButton="0" quotePrefix="0" xfId="0">
      <alignment horizontal="center" vertical="center" wrapText="1"/>
    </xf>
    <xf numFmtId="0" fontId="4" fillId="2" borderId="59" applyAlignment="1" pivotButton="0" quotePrefix="0" xfId="0">
      <alignment horizontal="center" vertical="center"/>
    </xf>
    <xf numFmtId="0" fontId="4" fillId="2" borderId="58" applyAlignment="1" pivotButton="0" quotePrefix="0" xfId="0">
      <alignment horizontal="center" vertical="center"/>
    </xf>
    <xf numFmtId="0" fontId="4" fillId="2" borderId="60" applyAlignment="1" pivotButton="0" quotePrefix="0" xfId="0">
      <alignment horizontal="center" vertical="center"/>
    </xf>
    <xf numFmtId="0" fontId="10" fillId="6" borderId="48" applyAlignment="1" pivotButton="0" quotePrefix="0" xfId="0">
      <alignment horizontal="center" vertical="center" wrapText="1"/>
    </xf>
    <xf numFmtId="0" fontId="2" fillId="10" borderId="18" applyAlignment="1" pivotButton="0" quotePrefix="0" xfId="0">
      <alignment horizontal="center" vertical="center" wrapText="1"/>
    </xf>
    <xf numFmtId="0" fontId="9" fillId="2" borderId="37" applyAlignment="1" pivotButton="0" quotePrefix="0" xfId="0">
      <alignment horizontal="center" vertical="center" wrapText="1"/>
    </xf>
    <xf numFmtId="0" fontId="9" fillId="2" borderId="53" applyAlignment="1" pivotButton="0" quotePrefix="0" xfId="0">
      <alignment horizontal="center" vertical="center" wrapText="1"/>
    </xf>
    <xf numFmtId="0" fontId="9" fillId="2" borderId="18" applyAlignment="1" pivotButton="0" quotePrefix="0" xfId="0">
      <alignment horizontal="center" vertical="center" wrapText="1"/>
    </xf>
    <xf numFmtId="0" fontId="16" fillId="0" borderId="20" applyAlignment="1" pivotButton="0" quotePrefix="0" xfId="0">
      <alignment horizontal="left" vertical="center"/>
    </xf>
    <xf numFmtId="0" fontId="16" fillId="0" borderId="22" applyAlignment="1" pivotButton="0" quotePrefix="0" xfId="0">
      <alignment horizontal="left" vertical="center"/>
    </xf>
    <xf numFmtId="0" fontId="17" fillId="13" borderId="27" applyAlignment="1" applyProtection="1" pivotButton="0" quotePrefix="0" xfId="0">
      <alignment horizontal="center" vertical="center" wrapText="1"/>
      <protection locked="0" hidden="0"/>
    </xf>
    <xf numFmtId="0" fontId="17" fillId="13" borderId="39" applyAlignment="1" applyProtection="1" pivotButton="0" quotePrefix="0" xfId="0">
      <alignment horizontal="center" vertical="center" wrapText="1"/>
      <protection locked="0" hidden="0"/>
    </xf>
    <xf numFmtId="0" fontId="17" fillId="13" borderId="40" applyAlignment="1" applyProtection="1" pivotButton="0" quotePrefix="0" xfId="0">
      <alignment horizontal="center" vertical="center" wrapText="1"/>
      <protection locked="0" hidden="0"/>
    </xf>
    <xf numFmtId="0" fontId="17" fillId="13" borderId="30" applyAlignment="1" applyProtection="1" pivotButton="0" quotePrefix="0" xfId="0">
      <alignment horizontal="center" vertical="center" wrapText="1"/>
      <protection locked="0" hidden="0"/>
    </xf>
    <xf numFmtId="0" fontId="17" fillId="13" borderId="0" applyAlignment="1" applyProtection="1" pivotButton="0" quotePrefix="0" xfId="0">
      <alignment horizontal="center" vertical="center" wrapText="1"/>
      <protection locked="0" hidden="0"/>
    </xf>
    <xf numFmtId="0" fontId="17" fillId="13" borderId="46" applyAlignment="1" applyProtection="1" pivotButton="0" quotePrefix="0" xfId="0">
      <alignment horizontal="center" vertical="center" wrapText="1"/>
      <protection locked="0" hidden="0"/>
    </xf>
    <xf numFmtId="0" fontId="17" fillId="13" borderId="24" applyAlignment="1" applyProtection="1" pivotButton="0" quotePrefix="0" xfId="0">
      <alignment horizontal="center" vertical="center" wrapText="1"/>
      <protection locked="0" hidden="0"/>
    </xf>
    <xf numFmtId="0" fontId="17" fillId="13" borderId="25" applyAlignment="1" applyProtection="1" pivotButton="0" quotePrefix="0" xfId="0">
      <alignment horizontal="center" vertical="center" wrapText="1"/>
      <protection locked="0" hidden="0"/>
    </xf>
    <xf numFmtId="0" fontId="17" fillId="13" borderId="26" applyAlignment="1" applyProtection="1" pivotButton="0" quotePrefix="0" xfId="0">
      <alignment horizontal="center" vertical="center" wrapText="1"/>
      <protection locked="0" hidden="0"/>
    </xf>
    <xf numFmtId="0" fontId="8" fillId="0" borderId="27" applyAlignment="1" pivotButton="0" quotePrefix="0" xfId="0">
      <alignment horizontal="center" vertical="center"/>
    </xf>
    <xf numFmtId="0" fontId="8" fillId="0" borderId="39" applyAlignment="1" pivotButton="0" quotePrefix="0" xfId="0">
      <alignment horizontal="center" vertical="center"/>
    </xf>
    <xf numFmtId="0" fontId="3" fillId="2" borderId="27" applyAlignment="1" pivotButton="0" quotePrefix="0" xfId="0">
      <alignment horizontal="center" vertical="center" wrapText="1"/>
    </xf>
    <xf numFmtId="0" fontId="3" fillId="2" borderId="28" applyAlignment="1" pivotButton="0" quotePrefix="0" xfId="0">
      <alignment horizontal="center" vertical="center" wrapText="1"/>
    </xf>
    <xf numFmtId="0" fontId="3" fillId="2" borderId="30" applyAlignment="1" pivotButton="0" quotePrefix="0" xfId="0">
      <alignment horizontal="center" vertical="center" wrapText="1"/>
    </xf>
    <xf numFmtId="0" fontId="3" fillId="2" borderId="24" applyAlignment="1" pivotButton="0" quotePrefix="0" xfId="0">
      <alignment horizontal="center" vertical="center" wrapText="1"/>
    </xf>
    <xf numFmtId="0" fontId="3" fillId="2" borderId="33" applyAlignment="1" pivotButton="0" quotePrefix="0" xfId="0">
      <alignment horizontal="center" vertical="center" wrapText="1"/>
    </xf>
    <xf numFmtId="0" fontId="9" fillId="2" borderId="36" applyAlignment="1" pivotButton="0" quotePrefix="0" xfId="0">
      <alignment horizontal="center" vertical="center" wrapText="1"/>
    </xf>
    <xf numFmtId="0" fontId="4" fillId="2" borderId="8" applyAlignment="1" pivotButton="0" quotePrefix="0" xfId="0">
      <alignment horizontal="center" vertical="center" wrapText="1"/>
    </xf>
    <xf numFmtId="0" fontId="16" fillId="0" borderId="17" applyAlignment="1" pivotButton="0" quotePrefix="0" xfId="0">
      <alignment horizontal="left" vertical="center" wrapText="1"/>
    </xf>
    <xf numFmtId="0" fontId="16" fillId="0" borderId="8" applyAlignment="1" pivotButton="0" quotePrefix="0" xfId="0">
      <alignment horizontal="left" vertical="center" wrapText="1"/>
    </xf>
    <xf numFmtId="0" fontId="16" fillId="0" borderId="54" applyAlignment="1" pivotButton="0" quotePrefix="0" xfId="0">
      <alignment horizontal="left" vertical="center" wrapText="1"/>
    </xf>
    <xf numFmtId="0" fontId="16" fillId="0" borderId="62" applyAlignment="1" pivotButton="0" quotePrefix="0" xfId="0">
      <alignment horizontal="left" vertical="center" wrapText="1"/>
    </xf>
    <xf numFmtId="0" fontId="10" fillId="6" borderId="42" applyAlignment="1" pivotButton="0" quotePrefix="0" xfId="0">
      <alignment horizontal="center" vertical="center" wrapText="1"/>
    </xf>
    <xf numFmtId="0" fontId="10" fillId="6" borderId="31" applyAlignment="1" pivotButton="0" quotePrefix="0" xfId="0">
      <alignment horizontal="center" vertical="center" wrapText="1"/>
    </xf>
    <xf numFmtId="0" fontId="11" fillId="6" borderId="41" applyAlignment="1" pivotButton="0" quotePrefix="0" xfId="0">
      <alignment horizontal="center" vertical="center" wrapText="1"/>
    </xf>
    <xf numFmtId="0" fontId="11" fillId="6" borderId="7" applyAlignment="1" pivotButton="0" quotePrefix="0" xfId="0">
      <alignment horizontal="center" vertical="center" wrapText="1"/>
    </xf>
    <xf numFmtId="0" fontId="16" fillId="0" borderId="51" applyAlignment="1" pivotButton="0" quotePrefix="0" xfId="0">
      <alignment horizontal="left" vertical="center" wrapText="1"/>
    </xf>
    <xf numFmtId="0" fontId="16" fillId="0" borderId="52" applyAlignment="1" pivotButton="0" quotePrefix="0" xfId="0">
      <alignment horizontal="left" vertical="center" wrapText="1"/>
    </xf>
    <xf numFmtId="0" fontId="16" fillId="0" borderId="9" applyAlignment="1" pivotButton="0" quotePrefix="0" xfId="0">
      <alignment horizontal="left" vertical="center" wrapText="1"/>
    </xf>
    <xf numFmtId="0" fontId="16" fillId="0" borderId="18" applyAlignment="1" pivotButton="0" quotePrefix="0" xfId="0">
      <alignment horizontal="left" vertical="center" wrapText="1"/>
    </xf>
    <xf numFmtId="0" fontId="16" fillId="0" borderId="20" applyAlignment="1" pivotButton="0" quotePrefix="0" xfId="0">
      <alignment horizontal="left" vertical="center" wrapText="1"/>
    </xf>
    <xf numFmtId="0" fontId="16" fillId="0" borderId="21" applyAlignment="1" pivotButton="0" quotePrefix="0" xfId="0">
      <alignment horizontal="left" vertical="center" wrapText="1"/>
    </xf>
    <xf numFmtId="0" fontId="12" fillId="11" borderId="43" applyAlignment="1" pivotButton="0" quotePrefix="0" xfId="0">
      <alignment horizontal="left" vertical="center" wrapText="1"/>
    </xf>
    <xf numFmtId="0" fontId="12" fillId="11" borderId="47" applyAlignment="1" pivotButton="0" quotePrefix="0" xfId="0">
      <alignment horizontal="left" vertical="center" wrapText="1"/>
    </xf>
    <xf numFmtId="0" fontId="16" fillId="0" borderId="11" applyAlignment="1" pivotButton="0" quotePrefix="0" xfId="0">
      <alignment horizontal="left" vertical="center" wrapText="1"/>
    </xf>
    <xf numFmtId="0" fontId="16" fillId="0" borderId="48" applyAlignment="1" pivotButton="0" quotePrefix="0" xfId="0">
      <alignment horizontal="left" vertical="center" wrapText="1"/>
    </xf>
    <xf numFmtId="0" fontId="12" fillId="10" borderId="45" applyAlignment="1" pivotButton="0" quotePrefix="0" xfId="0">
      <alignment horizontal="left" vertical="center" wrapText="1"/>
    </xf>
    <xf numFmtId="0" fontId="12" fillId="10" borderId="34" applyAlignment="1" pivotButton="0" quotePrefix="0" xfId="0">
      <alignment horizontal="left" vertical="center" wrapText="1"/>
    </xf>
    <xf numFmtId="0" fontId="16" fillId="0" borderId="53" applyAlignment="1" pivotButton="0" quotePrefix="0" xfId="0">
      <alignment horizontal="left" vertical="center" wrapText="1"/>
    </xf>
    <xf numFmtId="0" fontId="4" fillId="10" borderId="2" applyAlignment="1" pivotButton="0" quotePrefix="0" xfId="0">
      <alignment horizontal="center" vertical="center"/>
    </xf>
    <xf numFmtId="0" fontId="4" fillId="10" borderId="3" applyAlignment="1" pivotButton="0" quotePrefix="0" xfId="0">
      <alignment horizontal="center" vertical="center"/>
    </xf>
    <xf numFmtId="0" fontId="4" fillId="10" borderId="39" applyAlignment="1" pivotButton="0" quotePrefix="0" xfId="0">
      <alignment horizontal="center" vertical="center"/>
    </xf>
    <xf numFmtId="0" fontId="4" fillId="10" borderId="40" applyAlignment="1" pivotButton="0" quotePrefix="0" xfId="0">
      <alignment horizontal="center" vertical="center"/>
    </xf>
    <xf numFmtId="0" fontId="9" fillId="10" borderId="61" applyAlignment="1" pivotButton="0" quotePrefix="0" xfId="0">
      <alignment horizontal="center" vertical="center" wrapText="1"/>
    </xf>
    <xf numFmtId="0" fontId="9" fillId="10" borderId="62" applyAlignment="1" pivotButton="0" quotePrefix="0" xfId="0">
      <alignment horizontal="center" vertical="center" wrapText="1"/>
    </xf>
    <xf numFmtId="0" fontId="9" fillId="10" borderId="63" applyAlignment="1" pivotButton="0" quotePrefix="0" xfId="0">
      <alignment horizontal="center" vertical="center" wrapText="1"/>
    </xf>
    <xf numFmtId="0" fontId="10" fillId="6" borderId="2" applyAlignment="1" pivotButton="0" quotePrefix="0" xfId="0">
      <alignment horizontal="center" vertical="center" wrapText="1"/>
    </xf>
    <xf numFmtId="0" fontId="10" fillId="6" borderId="23" applyAlignment="1" pivotButton="0" quotePrefix="0" xfId="0">
      <alignment horizontal="center" vertical="center" wrapText="1"/>
    </xf>
    <xf numFmtId="0" fontId="10" fillId="6" borderId="3" applyAlignment="1" pivotButton="0" quotePrefix="0" xfId="0">
      <alignment horizontal="center" vertical="center" wrapText="1"/>
    </xf>
    <xf numFmtId="0" fontId="9" fillId="10" borderId="7" applyAlignment="1" pivotButton="0" quotePrefix="0" xfId="0">
      <alignment horizontal="center" vertical="center" wrapText="1"/>
    </xf>
    <xf numFmtId="0" fontId="9" fillId="10" borderId="16" applyAlignment="1" pivotButton="0" quotePrefix="0" xfId="0">
      <alignment horizontal="center" vertical="center" wrapText="1"/>
    </xf>
    <xf numFmtId="0" fontId="9" fillId="10" borderId="37" applyAlignment="1" pivotButton="0" quotePrefix="0" xfId="0">
      <alignment horizontal="center" vertical="center" wrapText="1"/>
    </xf>
    <xf numFmtId="0" fontId="16" fillId="0" borderId="18" applyAlignment="1" pivotButton="0" quotePrefix="0" xfId="0">
      <alignment horizontal="left" vertical="center"/>
    </xf>
    <xf numFmtId="0" fontId="16" fillId="0" borderId="21" applyAlignment="1" pivotButton="0" quotePrefix="0" xfId="0">
      <alignment horizontal="left" vertical="center"/>
    </xf>
    <xf numFmtId="0" fontId="3" fillId="10" borderId="27" applyAlignment="1" pivotButton="0" quotePrefix="0" xfId="0">
      <alignment horizontal="center" vertical="center" wrapText="1"/>
    </xf>
    <xf numFmtId="0" fontId="3" fillId="10" borderId="28" applyAlignment="1" pivotButton="0" quotePrefix="0" xfId="0">
      <alignment horizontal="center" vertical="center" wrapText="1"/>
    </xf>
    <xf numFmtId="0" fontId="3" fillId="10" borderId="30" applyAlignment="1" pivotButton="0" quotePrefix="0" xfId="0">
      <alignment horizontal="center" vertical="center" wrapText="1"/>
    </xf>
    <xf numFmtId="0" fontId="3" fillId="10" borderId="15" applyAlignment="1" pivotButton="0" quotePrefix="0" xfId="0">
      <alignment horizontal="center" vertical="center" wrapText="1"/>
    </xf>
    <xf numFmtId="0" fontId="3" fillId="10" borderId="24" applyAlignment="1" pivotButton="0" quotePrefix="0" xfId="0">
      <alignment horizontal="center" vertical="center" wrapText="1"/>
    </xf>
    <xf numFmtId="0" fontId="3" fillId="10" borderId="33" applyAlignment="1" pivotButton="0" quotePrefix="0" xfId="0">
      <alignment horizontal="center" vertical="center" wrapText="1"/>
    </xf>
    <xf numFmtId="0" fontId="9" fillId="10" borderId="36" applyAlignment="1" pivotButton="0" quotePrefix="0" xfId="0">
      <alignment horizontal="center" vertical="center" wrapText="1"/>
    </xf>
    <xf numFmtId="0" fontId="4" fillId="10" borderId="48" applyAlignment="1" pivotButton="0" quotePrefix="0" xfId="0">
      <alignment horizontal="center" vertical="center"/>
    </xf>
    <xf numFmtId="0" fontId="4" fillId="10" borderId="50" applyAlignment="1" pivotButton="0" quotePrefix="0" xfId="0">
      <alignment horizontal="center" vertical="center"/>
    </xf>
    <xf numFmtId="0" fontId="16" fillId="12" borderId="17" applyAlignment="1" pivotButton="0" quotePrefix="0" xfId="0">
      <alignment horizontal="left" vertical="center" wrapText="1"/>
    </xf>
    <xf numFmtId="0" fontId="16" fillId="12" borderId="18" applyAlignment="1" pivotButton="0" quotePrefix="0" xfId="0">
      <alignment horizontal="left" vertical="center" wrapText="1"/>
    </xf>
    <xf numFmtId="0" fontId="11" fillId="6" borderId="44" applyAlignment="1" pivotButton="0" quotePrefix="0" xfId="0">
      <alignment horizontal="center" vertical="center" wrapText="1"/>
    </xf>
    <xf numFmtId="0" fontId="11" fillId="6" borderId="16" applyAlignment="1" pivotButton="0" quotePrefix="0" xfId="0">
      <alignment horizontal="center" vertical="center" wrapText="1"/>
    </xf>
    <xf numFmtId="0" fontId="16" fillId="0" borderId="12" applyAlignment="1" pivotButton="0" quotePrefix="0" xfId="0">
      <alignment horizontal="left" vertical="center" wrapText="1"/>
    </xf>
    <xf numFmtId="0" fontId="9" fillId="10" borderId="5" applyAlignment="1" pivotButton="0" quotePrefix="0" xfId="0">
      <alignment horizontal="center" vertical="center" wrapText="1"/>
    </xf>
    <xf numFmtId="0" fontId="9" fillId="10" borderId="14" applyAlignment="1" pivotButton="0" quotePrefix="0" xfId="0">
      <alignment horizontal="center" vertical="center" wrapText="1"/>
    </xf>
    <xf numFmtId="0" fontId="9" fillId="10" borderId="34" applyAlignment="1" pivotButton="0" quotePrefix="0" xfId="0">
      <alignment horizontal="center" vertical="center" wrapText="1"/>
    </xf>
    <xf numFmtId="0" fontId="9" fillId="10" borderId="53" applyAlignment="1" pivotButton="0" quotePrefix="0" xfId="0">
      <alignment horizontal="center" vertical="center" wrapText="1"/>
    </xf>
    <xf numFmtId="0" fontId="10" fillId="6" borderId="55" applyAlignment="1" pivotButton="0" quotePrefix="0" xfId="0">
      <alignment horizontal="center" vertical="center" wrapText="1"/>
    </xf>
    <xf numFmtId="0" fontId="10" fillId="6" borderId="56" applyAlignment="1" pivotButton="0" quotePrefix="0" xfId="0">
      <alignment horizontal="center" vertical="center" wrapText="1"/>
    </xf>
    <xf numFmtId="0" fontId="12" fillId="10" borderId="57" applyAlignment="1" pivotButton="0" quotePrefix="0" xfId="0">
      <alignment horizontal="left" vertical="center" wrapText="1"/>
    </xf>
    <xf numFmtId="0" fontId="12" fillId="10" borderId="38" applyAlignment="1" pivotButton="0" quotePrefix="0" xfId="0">
      <alignment horizontal="left" vertical="center" wrapText="1"/>
    </xf>
    <xf numFmtId="0" fontId="16" fillId="0" borderId="41" applyAlignment="1" pivotButton="0" quotePrefix="0" xfId="0">
      <alignment horizontal="left" vertical="center" wrapText="1"/>
    </xf>
    <xf numFmtId="0" fontId="16" fillId="0" borderId="7" applyAlignment="1" pivotButton="0" quotePrefix="0" xfId="0">
      <alignment horizontal="left" vertical="center" wrapText="1"/>
    </xf>
    <xf numFmtId="0" fontId="12" fillId="11" borderId="57" applyAlignment="1" pivotButton="0" quotePrefix="0" xfId="0">
      <alignment horizontal="left" vertical="center" wrapText="1"/>
    </xf>
    <xf numFmtId="0" fontId="12" fillId="11" borderId="38" applyAlignment="1" pivotButton="0" quotePrefix="0" xfId="0">
      <alignment horizontal="left" vertical="center" wrapText="1"/>
    </xf>
    <xf numFmtId="0" fontId="39" fillId="0" borderId="0" applyAlignment="1" applyProtection="1" pivotButton="0" quotePrefix="0" xfId="0">
      <alignment horizontal="center" vertical="center" wrapText="1"/>
      <protection locked="0" hidden="0"/>
    </xf>
    <xf numFmtId="0" fontId="39" fillId="0" borderId="0" applyAlignment="1" pivotButton="0" quotePrefix="0" xfId="0">
      <alignment horizontal="center" vertical="center"/>
    </xf>
    <xf numFmtId="0" fontId="45" fillId="0" borderId="18" applyAlignment="1" pivotButton="0" quotePrefix="0" xfId="0">
      <alignment horizontal="center" vertical="center" wrapText="1"/>
    </xf>
    <xf numFmtId="0" fontId="40" fillId="0" borderId="18" applyAlignment="1" pivotButton="0" quotePrefix="0" xfId="0">
      <alignment horizontal="left" vertical="center" wrapText="1"/>
    </xf>
    <xf numFmtId="0" fontId="45" fillId="23" borderId="18" applyAlignment="1" pivotButton="0" quotePrefix="0" xfId="0">
      <alignment horizontal="center" vertical="center" wrapText="1"/>
    </xf>
    <xf numFmtId="0" fontId="40" fillId="23" borderId="18" applyAlignment="1" pivotButton="0" quotePrefix="0" xfId="0">
      <alignment horizontal="left" vertical="center" wrapText="1"/>
    </xf>
    <xf numFmtId="0" fontId="45" fillId="0" borderId="7" applyAlignment="1" pivotButton="0" quotePrefix="0" xfId="0">
      <alignment horizontal="center" vertical="center" wrapText="1"/>
    </xf>
    <xf numFmtId="0" fontId="45" fillId="0" borderId="53" applyAlignment="1" pivotButton="0" quotePrefix="0" xfId="0">
      <alignment horizontal="center" vertical="center" wrapText="1"/>
    </xf>
    <xf numFmtId="3" fontId="69" fillId="0" borderId="7" applyAlignment="1" applyProtection="1" pivotButton="0" quotePrefix="0" xfId="1">
      <alignment horizontal="center" vertical="center" wrapText="1"/>
      <protection locked="0" hidden="0"/>
    </xf>
    <xf numFmtId="3" fontId="69" fillId="0" borderId="16" applyAlignment="1" applyProtection="1" pivotButton="0" quotePrefix="0" xfId="1">
      <alignment horizontal="center" vertical="center" wrapText="1"/>
      <protection locked="0" hidden="0"/>
    </xf>
    <xf numFmtId="3" fontId="69" fillId="0" borderId="53" applyAlignment="1" applyProtection="1" pivotButton="0" quotePrefix="0" xfId="1">
      <alignment horizontal="center" vertical="center" wrapText="1"/>
      <protection locked="0" hidden="0"/>
    </xf>
    <xf numFmtId="0" fontId="48" fillId="22" borderId="18" applyAlignment="1" pivotButton="0" quotePrefix="0" xfId="0">
      <alignment horizontal="center" vertical="center" wrapText="1"/>
    </xf>
    <xf numFmtId="0" fontId="62" fillId="23" borderId="18" applyAlignment="1" pivotButton="0" quotePrefix="0" xfId="0">
      <alignment horizontal="left" vertical="center" wrapText="1"/>
    </xf>
    <xf numFmtId="0" fontId="64" fillId="23" borderId="8" applyAlignment="1" pivotButton="0" quotePrefix="0" xfId="0">
      <alignment horizontal="center" vertical="center" wrapText="1"/>
    </xf>
    <xf numFmtId="0" fontId="64" fillId="23" borderId="9" applyAlignment="1" pivotButton="0" quotePrefix="0" xfId="0">
      <alignment horizontal="center" vertical="center" wrapText="1"/>
    </xf>
    <xf numFmtId="0" fontId="64" fillId="23" borderId="10" applyAlignment="1" pivotButton="0" quotePrefix="0" xfId="0">
      <alignment horizontal="center" vertical="center" wrapText="1"/>
    </xf>
    <xf numFmtId="0" fontId="58" fillId="22" borderId="18" applyAlignment="1" pivotButton="0" quotePrefix="0" xfId="0">
      <alignment horizontal="center" vertical="center" wrapText="1"/>
    </xf>
    <xf numFmtId="0" fontId="0" fillId="0" borderId="3" applyProtection="1" pivotButton="0" quotePrefix="0" xfId="0">
      <protection locked="0" hidden="0"/>
    </xf>
    <xf numFmtId="0" fontId="0" fillId="0" borderId="4" pivotButton="0" quotePrefix="0" xfId="0"/>
    <xf numFmtId="0" fontId="3" fillId="2" borderId="7" applyAlignment="1" pivotButton="0" quotePrefix="0" xfId="0">
      <alignment horizontal="center" vertical="center" wrapText="1"/>
    </xf>
    <xf numFmtId="0" fontId="0" fillId="0" borderId="6" pivotButton="0" quotePrefix="0" xfId="0"/>
    <xf numFmtId="0" fontId="4" fillId="2" borderId="18" applyAlignment="1" pivotButton="0" quotePrefix="0" xfId="0">
      <alignment horizontal="center" vertical="center"/>
    </xf>
    <xf numFmtId="0" fontId="0" fillId="0" borderId="10" pivotButton="0" quotePrefix="0" xfId="0"/>
    <xf numFmtId="0" fontId="0" fillId="0" borderId="9" pivotButton="0" quotePrefix="0" xfId="0"/>
    <xf numFmtId="0" fontId="0" fillId="0" borderId="81" pivotButton="0" quotePrefix="0" xfId="0"/>
    <xf numFmtId="0" fontId="0" fillId="0" borderId="70" pivotButton="0" quotePrefix="0" xfId="0"/>
    <xf numFmtId="0" fontId="0" fillId="0" borderId="14" pivotButton="0" quotePrefix="0" xfId="0"/>
    <xf numFmtId="0" fontId="0" fillId="0" borderId="15" pivotButton="0" quotePrefix="0" xfId="0"/>
    <xf numFmtId="0" fontId="0" fillId="0" borderId="16" pivotButton="0" quotePrefix="0" xfId="0"/>
    <xf numFmtId="0" fontId="0" fillId="0" borderId="31" pivotButton="0" quotePrefix="0" xfId="0"/>
    <xf numFmtId="0" fontId="0" fillId="0" borderId="53" pivotButton="0" quotePrefix="0" xfId="0"/>
    <xf numFmtId="0" fontId="0" fillId="0" borderId="51" pivotButton="0" quotePrefix="0" xfId="0"/>
    <xf numFmtId="0" fontId="0" fillId="0" borderId="83" pivotButton="0" quotePrefix="0" xfId="0"/>
    <xf numFmtId="0" fontId="0" fillId="0" borderId="23" pivotButton="0" quotePrefix="0" xfId="0"/>
    <xf numFmtId="0" fontId="12" fillId="0" borderId="74" applyAlignment="1" pivotButton="0" quotePrefix="0" xfId="0">
      <alignment horizontal="center" vertical="center" wrapText="1"/>
    </xf>
    <xf numFmtId="0" fontId="0" fillId="0" borderId="28" pivotButton="0" quotePrefix="0" xfId="0"/>
    <xf numFmtId="164" fontId="9" fillId="3" borderId="12" applyAlignment="1" pivotButton="0" quotePrefix="0" xfId="1">
      <alignment horizontal="center" vertical="center" wrapText="1"/>
    </xf>
    <xf numFmtId="164" fontId="9" fillId="3" borderId="12" applyAlignment="1" applyProtection="1" pivotButton="0" quotePrefix="0" xfId="1">
      <alignment horizontal="center" vertical="center" wrapText="1"/>
      <protection locked="0" hidden="0"/>
    </xf>
    <xf numFmtId="164" fontId="13" fillId="8" borderId="75" applyAlignment="1" pivotButton="0" quotePrefix="0" xfId="1">
      <alignment horizontal="center" vertical="center"/>
    </xf>
    <xf numFmtId="165" fontId="15" fillId="9" borderId="12" applyAlignment="1" pivotButton="0" quotePrefix="0" xfId="2">
      <alignment horizontal="center" vertical="center" wrapText="1"/>
    </xf>
    <xf numFmtId="164" fontId="12" fillId="3" borderId="12" applyAlignment="1" applyProtection="1" pivotButton="0" quotePrefix="0" xfId="1">
      <alignment vertical="center" wrapText="1"/>
      <protection locked="0" hidden="0"/>
    </xf>
    <xf numFmtId="164" fontId="12" fillId="3" borderId="48" applyAlignment="1" applyProtection="1" pivotButton="0" quotePrefix="0" xfId="1">
      <alignment vertical="center" wrapText="1"/>
      <protection locked="0" hidden="0"/>
    </xf>
    <xf numFmtId="166" fontId="12" fillId="3" borderId="18" applyAlignment="1" applyProtection="1" pivotButton="0" quotePrefix="0" xfId="1">
      <alignment vertical="center" wrapText="1"/>
      <protection locked="0" hidden="0"/>
    </xf>
    <xf numFmtId="166" fontId="12" fillId="3" borderId="18" applyAlignment="1" pivotButton="0" quotePrefix="0" xfId="1">
      <alignment horizontal="center" vertical="center" wrapText="1"/>
    </xf>
    <xf numFmtId="166" fontId="12" fillId="3" borderId="0" applyAlignment="1" pivotButton="0" quotePrefix="0" xfId="1">
      <alignment vertical="center" wrapText="1"/>
    </xf>
    <xf numFmtId="164" fontId="2" fillId="0" borderId="11" applyAlignment="1" applyProtection="1" pivotButton="0" quotePrefix="0" xfId="1">
      <alignment horizontal="center" vertical="center"/>
      <protection locked="0" hidden="0"/>
    </xf>
    <xf numFmtId="164" fontId="2" fillId="0" borderId="12" applyAlignment="1" applyProtection="1" pivotButton="0" quotePrefix="0" xfId="1">
      <alignment horizontal="center" vertical="center"/>
      <protection locked="0" hidden="0"/>
    </xf>
    <xf numFmtId="164" fontId="4" fillId="6" borderId="82" applyAlignment="1" pivotButton="0" quotePrefix="0" xfId="0">
      <alignment horizontal="center" vertical="center"/>
    </xf>
    <xf numFmtId="0" fontId="0" fillId="0" borderId="30" pivotButton="0" quotePrefix="0" xfId="0"/>
    <xf numFmtId="0" fontId="0" fillId="0" borderId="16" applyProtection="1" pivotButton="0" quotePrefix="0" xfId="0">
      <protection locked="0" hidden="0"/>
    </xf>
    <xf numFmtId="164" fontId="12" fillId="3" borderId="18" applyAlignment="1" applyProtection="1" pivotButton="0" quotePrefix="0" xfId="1">
      <alignment vertical="center" wrapText="1"/>
      <protection locked="0" hidden="0"/>
    </xf>
    <xf numFmtId="164" fontId="12" fillId="3" borderId="8" applyAlignment="1" applyProtection="1" pivotButton="0" quotePrefix="0" xfId="1">
      <alignment vertical="center" wrapText="1"/>
      <protection locked="0" hidden="0"/>
    </xf>
    <xf numFmtId="0" fontId="0" fillId="0" borderId="44" applyProtection="1" pivotButton="0" quotePrefix="0" xfId="0">
      <protection locked="0" hidden="0"/>
    </xf>
    <xf numFmtId="0" fontId="0" fillId="0" borderId="53" applyProtection="1" pivotButton="0" quotePrefix="0" xfId="0">
      <protection locked="0" hidden="0"/>
    </xf>
    <xf numFmtId="0" fontId="0" fillId="0" borderId="37" pivotButton="0" quotePrefix="0" xfId="0"/>
    <xf numFmtId="164" fontId="12" fillId="3" borderId="21" applyAlignment="1" applyProtection="1" pivotButton="0" quotePrefix="0" xfId="1">
      <alignment vertical="center" wrapText="1"/>
      <protection locked="0" hidden="0"/>
    </xf>
    <xf numFmtId="164" fontId="12" fillId="3" borderId="49" applyAlignment="1" applyProtection="1" pivotButton="0" quotePrefix="0" xfId="1">
      <alignment vertical="center" wrapText="1"/>
      <protection locked="0" hidden="0"/>
    </xf>
    <xf numFmtId="0" fontId="0" fillId="0" borderId="51" applyProtection="1" pivotButton="0" quotePrefix="0" xfId="0">
      <protection locked="0" hidden="0"/>
    </xf>
    <xf numFmtId="0" fontId="0" fillId="0" borderId="32" pivotButton="0" quotePrefix="0" xfId="0"/>
    <xf numFmtId="0" fontId="0" fillId="0" borderId="24" pivotButton="0" quotePrefix="0" xfId="0"/>
    <xf numFmtId="0" fontId="0" fillId="0" borderId="33" pivotButton="0" quotePrefix="0" xfId="0"/>
    <xf numFmtId="164" fontId="9" fillId="8" borderId="34" applyAlignment="1" pivotButton="0" quotePrefix="0" xfId="1">
      <alignment vertical="center" wrapText="1"/>
    </xf>
    <xf numFmtId="164" fontId="9" fillId="8" borderId="25" applyAlignment="1" pivotButton="0" quotePrefix="0" xfId="1">
      <alignment vertical="center" wrapText="1"/>
    </xf>
    <xf numFmtId="164" fontId="9" fillId="8" borderId="25" applyAlignment="1" pivotButton="0" quotePrefix="0" xfId="1">
      <alignment horizontal="center" vertical="center" wrapText="1"/>
    </xf>
    <xf numFmtId="164" fontId="13" fillId="8" borderId="33" applyAlignment="1" pivotButton="0" quotePrefix="0" xfId="1">
      <alignment vertical="center"/>
    </xf>
    <xf numFmtId="164" fontId="12" fillId="9" borderId="35" applyAlignment="1" pivotButton="0" quotePrefix="0" xfId="1">
      <alignment vertical="center" wrapText="1"/>
    </xf>
    <xf numFmtId="164" fontId="12" fillId="9" borderId="34" applyAlignment="1" pivotButton="0" quotePrefix="0" xfId="1">
      <alignment vertical="center" wrapText="1"/>
    </xf>
    <xf numFmtId="164" fontId="9" fillId="8" borderId="24" applyAlignment="1" pivotButton="0" quotePrefix="0" xfId="1">
      <alignment vertical="center" wrapText="1"/>
    </xf>
    <xf numFmtId="167" fontId="9" fillId="8" borderId="18" applyAlignment="1" pivotButton="0" quotePrefix="0" xfId="1">
      <alignment vertical="center" wrapText="1"/>
    </xf>
    <xf numFmtId="167" fontId="9" fillId="8" borderId="18" applyAlignment="1" pivotButton="0" quotePrefix="0" xfId="1">
      <alignment horizontal="center" vertical="center" wrapText="1"/>
    </xf>
    <xf numFmtId="164" fontId="9" fillId="8" borderId="2" applyAlignment="1" pivotButton="0" quotePrefix="0" xfId="1">
      <alignment vertical="center" wrapText="1"/>
    </xf>
    <xf numFmtId="164" fontId="2" fillId="8" borderId="23" applyAlignment="1" pivotButton="0" quotePrefix="0" xfId="1">
      <alignment vertical="center"/>
    </xf>
    <xf numFmtId="164" fontId="9" fillId="3" borderId="75" applyAlignment="1" pivotButton="0" quotePrefix="0" xfId="1">
      <alignment horizontal="center" vertical="center" wrapText="1"/>
    </xf>
    <xf numFmtId="164" fontId="9" fillId="3" borderId="75" applyAlignment="1" applyProtection="1" pivotButton="0" quotePrefix="0" xfId="1">
      <alignment horizontal="center" vertical="center" wrapText="1"/>
      <protection locked="0" hidden="0"/>
    </xf>
    <xf numFmtId="165" fontId="15" fillId="9" borderId="75" applyAlignment="1" pivotButton="0" quotePrefix="0" xfId="2">
      <alignment horizontal="center" vertical="center" wrapText="1"/>
    </xf>
    <xf numFmtId="0" fontId="0" fillId="0" borderId="37" applyProtection="1" pivotButton="0" quotePrefix="0" xfId="0">
      <protection locked="0" hidden="0"/>
    </xf>
    <xf numFmtId="164" fontId="9" fillId="8" borderId="38" applyAlignment="1" pivotButton="0" quotePrefix="0" xfId="1">
      <alignment vertical="center" wrapText="1"/>
    </xf>
    <xf numFmtId="164" fontId="9" fillId="8" borderId="23" applyAlignment="1" pivotButton="0" quotePrefix="0" xfId="1">
      <alignment vertical="center" wrapText="1"/>
    </xf>
    <xf numFmtId="164" fontId="9" fillId="8" borderId="23" applyAlignment="1" pivotButton="0" quotePrefix="0" xfId="1">
      <alignment horizontal="center" vertical="center" wrapText="1"/>
    </xf>
    <xf numFmtId="164" fontId="13" fillId="8" borderId="35" applyAlignment="1" pivotButton="0" quotePrefix="0" xfId="1">
      <alignment vertical="center"/>
    </xf>
    <xf numFmtId="164" fontId="12" fillId="9" borderId="38" applyAlignment="1" pivotButton="0" quotePrefix="0" xfId="1">
      <alignment vertical="center" wrapText="1"/>
    </xf>
    <xf numFmtId="164" fontId="13" fillId="8" borderId="12" applyAlignment="1" pivotButton="0" quotePrefix="0" xfId="1">
      <alignment horizontal="center" vertical="center"/>
    </xf>
    <xf numFmtId="164" fontId="12" fillId="10" borderId="23" applyAlignment="1" pivotButton="0" quotePrefix="0" xfId="1">
      <alignment vertical="center" wrapText="1"/>
    </xf>
    <xf numFmtId="164" fontId="12" fillId="10" borderId="23" applyAlignment="1" pivotButton="0" quotePrefix="0" xfId="1">
      <alignment horizontal="center" vertical="center" wrapText="1"/>
    </xf>
    <xf numFmtId="167" fontId="12" fillId="10" borderId="18" applyAlignment="1" pivotButton="0" quotePrefix="0" xfId="1">
      <alignment horizontal="center" vertical="center" wrapText="1"/>
    </xf>
    <xf numFmtId="164" fontId="9" fillId="8" borderId="27" applyAlignment="1" pivotButton="0" quotePrefix="0" xfId="1">
      <alignment vertical="center" wrapText="1"/>
    </xf>
    <xf numFmtId="164" fontId="2" fillId="8" borderId="39" applyAlignment="1" pivotButton="0" quotePrefix="0" xfId="1">
      <alignment vertical="center"/>
    </xf>
    <xf numFmtId="164" fontId="2" fillId="0" borderId="74" applyAlignment="1" applyProtection="1" pivotButton="0" quotePrefix="0" xfId="1">
      <alignment horizontal="center" vertical="center"/>
      <protection locked="0" hidden="0"/>
    </xf>
    <xf numFmtId="164" fontId="2" fillId="0" borderId="75" applyAlignment="1" applyProtection="1" pivotButton="0" quotePrefix="0" xfId="1">
      <alignment horizontal="center" vertical="center"/>
      <protection locked="0" hidden="0"/>
    </xf>
    <xf numFmtId="0" fontId="0" fillId="0" borderId="45" applyProtection="1" pivotButton="0" quotePrefix="0" xfId="0">
      <protection locked="0" hidden="0"/>
    </xf>
    <xf numFmtId="167" fontId="9" fillId="8" borderId="8" applyAlignment="1" pivotButton="0" quotePrefix="0" xfId="1">
      <alignment vertical="center" wrapText="1"/>
    </xf>
    <xf numFmtId="164" fontId="12" fillId="11" borderId="23" applyAlignment="1" pivotButton="0" quotePrefix="0" xfId="1">
      <alignment vertical="center" wrapText="1"/>
    </xf>
    <xf numFmtId="164" fontId="12" fillId="11" borderId="23" applyAlignment="1" pivotButton="0" quotePrefix="0" xfId="1">
      <alignment horizontal="center" vertical="center" wrapText="1"/>
    </xf>
    <xf numFmtId="167" fontId="12" fillId="11" borderId="25" applyAlignment="1" pivotButton="0" quotePrefix="0" xfId="1">
      <alignment horizontal="center" vertical="center" wrapText="1"/>
    </xf>
    <xf numFmtId="167" fontId="12" fillId="11" borderId="18" applyAlignment="1" pivotButton="0" quotePrefix="0" xfId="1">
      <alignment horizontal="center" vertical="center" wrapText="1"/>
    </xf>
    <xf numFmtId="167" fontId="12" fillId="11" borderId="0" applyAlignment="1" pivotButton="0" quotePrefix="0" xfId="1">
      <alignment horizontal="center" vertical="center" wrapText="1"/>
    </xf>
    <xf numFmtId="166" fontId="12" fillId="3" borderId="48" applyAlignment="1" applyProtection="1" pivotButton="0" quotePrefix="0" xfId="1">
      <alignment vertical="center" wrapText="1"/>
      <protection locked="0" hidden="0"/>
    </xf>
    <xf numFmtId="166" fontId="12" fillId="3" borderId="0" applyAlignment="1" applyProtection="1" pivotButton="0" quotePrefix="0" xfId="1">
      <alignment vertical="center" wrapText="1"/>
      <protection locked="0" hidden="0"/>
    </xf>
    <xf numFmtId="166" fontId="12" fillId="3" borderId="8" applyAlignment="1" applyProtection="1" pivotButton="0" quotePrefix="0" xfId="1">
      <alignment vertical="center" wrapText="1"/>
      <protection locked="0" hidden="0"/>
    </xf>
    <xf numFmtId="166" fontId="12" fillId="3" borderId="49" applyAlignment="1" applyProtection="1" pivotButton="0" quotePrefix="0" xfId="1">
      <alignment vertical="center" wrapText="1"/>
      <protection locked="0" hidden="0"/>
    </xf>
    <xf numFmtId="167" fontId="9" fillId="8" borderId="23" applyAlignment="1" pivotButton="0" quotePrefix="0" xfId="1">
      <alignment vertical="center" wrapText="1"/>
    </xf>
    <xf numFmtId="167" fontId="9" fillId="8" borderId="0" applyAlignment="1" pivotButton="0" quotePrefix="0" xfId="1">
      <alignment vertical="center" wrapText="1"/>
    </xf>
    <xf numFmtId="164" fontId="9" fillId="8" borderId="30" applyAlignment="1" pivotButton="0" quotePrefix="0" xfId="1">
      <alignment vertical="center" wrapText="1"/>
    </xf>
    <xf numFmtId="164" fontId="2" fillId="8" borderId="0" applyAlignment="1" pivotButton="0" quotePrefix="0" xfId="1">
      <alignment vertical="center"/>
    </xf>
    <xf numFmtId="0" fontId="12" fillId="0" borderId="1" applyAlignment="1" pivotButton="0" quotePrefix="0" xfId="0">
      <alignment horizontal="center" vertical="center" wrapText="1"/>
    </xf>
    <xf numFmtId="0" fontId="0" fillId="0" borderId="40" pivotButton="0" quotePrefix="0" xfId="0"/>
    <xf numFmtId="164" fontId="4" fillId="6" borderId="13" applyAlignment="1" pivotButton="0" quotePrefix="0" xfId="0">
      <alignment horizontal="center" vertical="center"/>
    </xf>
    <xf numFmtId="0" fontId="0" fillId="0" borderId="46" pivotButton="0" quotePrefix="0" xfId="0"/>
    <xf numFmtId="0" fontId="0" fillId="0" borderId="26" pivotButton="0" quotePrefix="0" xfId="0"/>
    <xf numFmtId="0" fontId="12" fillId="12" borderId="43" applyAlignment="1" pivotButton="0" quotePrefix="0" xfId="0">
      <alignment horizontal="center" vertical="center" wrapText="1"/>
    </xf>
    <xf numFmtId="164" fontId="9" fillId="8" borderId="47" applyAlignment="1" pivotButton="0" quotePrefix="0" xfId="1">
      <alignment vertical="center" wrapText="1"/>
    </xf>
    <xf numFmtId="164" fontId="9" fillId="8" borderId="39" applyAlignment="1" pivotButton="0" quotePrefix="0" xfId="1">
      <alignment vertical="center" wrapText="1"/>
    </xf>
    <xf numFmtId="164" fontId="9" fillId="8" borderId="39" applyAlignment="1" pivotButton="0" quotePrefix="0" xfId="1">
      <alignment horizontal="center" vertical="center" wrapText="1"/>
    </xf>
    <xf numFmtId="164" fontId="13" fillId="8" borderId="28" applyAlignment="1" pivotButton="0" quotePrefix="0" xfId="1">
      <alignment vertical="center"/>
    </xf>
    <xf numFmtId="164" fontId="12" fillId="9" borderId="28" applyAlignment="1" pivotButton="0" quotePrefix="0" xfId="1">
      <alignment vertical="center" wrapText="1"/>
    </xf>
    <xf numFmtId="164" fontId="12" fillId="9" borderId="47" applyAlignment="1" pivotButton="0" quotePrefix="0" xfId="1">
      <alignment vertical="center" wrapText="1"/>
    </xf>
    <xf numFmtId="167" fontId="9" fillId="8" borderId="39" applyAlignment="1" pivotButton="0" quotePrefix="0" xfId="1">
      <alignment vertical="center" wrapText="1"/>
    </xf>
    <xf numFmtId="164" fontId="2" fillId="8" borderId="25" applyAlignment="1" pivotButton="0" quotePrefix="0" xfId="1">
      <alignment vertical="center"/>
    </xf>
    <xf numFmtId="164" fontId="9" fillId="3" borderId="11" applyAlignment="1" pivotButton="0" quotePrefix="0" xfId="1">
      <alignment horizontal="center" vertical="center" wrapText="1"/>
    </xf>
    <xf numFmtId="164" fontId="13" fillId="8" borderId="36" applyAlignment="1" pivotButton="0" quotePrefix="0" xfId="1">
      <alignment horizontal="center" vertical="center"/>
    </xf>
    <xf numFmtId="164" fontId="2" fillId="0" borderId="48" applyAlignment="1" applyProtection="1" pivotButton="0" quotePrefix="0" xfId="1">
      <alignment horizontal="center" vertical="center"/>
      <protection locked="0" hidden="0"/>
    </xf>
    <xf numFmtId="164" fontId="9" fillId="3" borderId="17" applyAlignment="1" pivotButton="0" quotePrefix="0" xfId="1">
      <alignment horizontal="center" vertical="center" wrapText="1"/>
    </xf>
    <xf numFmtId="164" fontId="9" fillId="3" borderId="18" applyAlignment="1" applyProtection="1" pivotButton="0" quotePrefix="0" xfId="1">
      <alignment horizontal="center" vertical="center" wrapText="1"/>
      <protection locked="0" hidden="0"/>
    </xf>
    <xf numFmtId="164" fontId="13" fillId="8" borderId="7" applyAlignment="1" pivotButton="0" quotePrefix="0" xfId="1">
      <alignment horizontal="center" vertical="center"/>
    </xf>
    <xf numFmtId="165" fontId="15" fillId="9" borderId="18" applyAlignment="1" pivotButton="0" quotePrefix="0" xfId="2">
      <alignment horizontal="center" vertical="center" wrapText="1"/>
    </xf>
    <xf numFmtId="164" fontId="2" fillId="0" borderId="17" applyAlignment="1" applyProtection="1" pivotButton="0" quotePrefix="0" xfId="1">
      <alignment horizontal="center" vertical="center"/>
      <protection locked="0" hidden="0"/>
    </xf>
    <xf numFmtId="164" fontId="2" fillId="0" borderId="18" applyAlignment="1" applyProtection="1" pivotButton="0" quotePrefix="0" xfId="1">
      <alignment horizontal="center" vertical="center"/>
      <protection locked="0" hidden="0"/>
    </xf>
    <xf numFmtId="164" fontId="2" fillId="0" borderId="8" applyAlignment="1" applyProtection="1" pivotButton="0" quotePrefix="0" xfId="1">
      <alignment horizontal="center" vertical="center"/>
      <protection locked="0" hidden="0"/>
    </xf>
    <xf numFmtId="164" fontId="12" fillId="3" borderId="7" applyAlignment="1" applyProtection="1" pivotButton="0" quotePrefix="0" xfId="1">
      <alignment vertical="center" wrapText="1"/>
      <protection locked="0" hidden="0"/>
    </xf>
    <xf numFmtId="166" fontId="12" fillId="3" borderId="5" applyAlignment="1" applyProtection="1" pivotButton="0" quotePrefix="0" xfId="1">
      <alignment vertical="center" wrapText="1"/>
      <protection locked="0" hidden="0"/>
    </xf>
    <xf numFmtId="164" fontId="9" fillId="3" borderId="8" applyAlignment="1" applyProtection="1" pivotButton="0" quotePrefix="0" xfId="1">
      <alignment horizontal="center" vertical="center" wrapText="1"/>
      <protection locked="0" hidden="0"/>
    </xf>
    <xf numFmtId="0" fontId="0" fillId="0" borderId="66" pivotButton="0" quotePrefix="0" xfId="0"/>
    <xf numFmtId="164" fontId="9" fillId="3" borderId="20" applyAlignment="1" pivotButton="0" quotePrefix="0" xfId="1">
      <alignment horizontal="center" vertical="center" wrapText="1"/>
    </xf>
    <xf numFmtId="164" fontId="9" fillId="3" borderId="21" applyAlignment="1" applyProtection="1" pivotButton="0" quotePrefix="0" xfId="1">
      <alignment horizontal="center" vertical="center" wrapText="1"/>
      <protection locked="0" hidden="0"/>
    </xf>
    <xf numFmtId="164" fontId="9" fillId="3" borderId="49" applyAlignment="1" applyProtection="1" pivotButton="0" quotePrefix="0" xfId="1">
      <alignment horizontal="center" vertical="center" wrapText="1"/>
      <protection locked="0" hidden="0"/>
    </xf>
    <xf numFmtId="164" fontId="13" fillId="8" borderId="21" applyAlignment="1" pivotButton="0" quotePrefix="0" xfId="1">
      <alignment horizontal="center" vertical="center"/>
    </xf>
    <xf numFmtId="165" fontId="15" fillId="9" borderId="21" applyAlignment="1" pivotButton="0" quotePrefix="0" xfId="2">
      <alignment horizontal="center" vertical="center" wrapText="1"/>
    </xf>
    <xf numFmtId="164" fontId="2" fillId="0" borderId="20" applyAlignment="1" applyProtection="1" pivotButton="0" quotePrefix="0" xfId="1">
      <alignment horizontal="center" vertical="center"/>
      <protection locked="0" hidden="0"/>
    </xf>
    <xf numFmtId="164" fontId="2" fillId="0" borderId="21" applyAlignment="1" applyProtection="1" pivotButton="0" quotePrefix="0" xfId="1">
      <alignment horizontal="center" vertical="center"/>
      <protection locked="0" hidden="0"/>
    </xf>
    <xf numFmtId="164" fontId="2" fillId="0" borderId="49" applyAlignment="1" applyProtection="1" pivotButton="0" quotePrefix="0" xfId="1">
      <alignment horizontal="center" vertical="center"/>
      <protection locked="0" hidden="0"/>
    </xf>
    <xf numFmtId="0" fontId="17" fillId="13" borderId="1" applyAlignment="1" applyProtection="1" pivotButton="0" quotePrefix="0" xfId="0">
      <alignment horizontal="center" vertical="center" wrapText="1"/>
      <protection locked="0" hidden="0"/>
    </xf>
    <xf numFmtId="0" fontId="0" fillId="0" borderId="39" applyProtection="1" pivotButton="0" quotePrefix="0" xfId="0">
      <protection locked="0" hidden="0"/>
    </xf>
    <xf numFmtId="0" fontId="0" fillId="0" borderId="40" applyProtection="1" pivotButton="0" quotePrefix="0" xfId="0">
      <protection locked="0" hidden="0"/>
    </xf>
    <xf numFmtId="0" fontId="0" fillId="0" borderId="30" applyProtection="1" pivotButton="0" quotePrefix="0" xfId="0">
      <protection locked="0" hidden="0"/>
    </xf>
    <xf numFmtId="0" fontId="0" fillId="0" borderId="0" applyProtection="1" pivotButton="0" quotePrefix="0" xfId="0">
      <protection locked="0" hidden="0"/>
    </xf>
    <xf numFmtId="0" fontId="0" fillId="0" borderId="46" applyProtection="1" pivotButton="0" quotePrefix="0" xfId="0">
      <protection locked="0" hidden="0"/>
    </xf>
    <xf numFmtId="0" fontId="0" fillId="0" borderId="24" applyProtection="1" pivotButton="0" quotePrefix="0" xfId="0">
      <protection locked="0" hidden="0"/>
    </xf>
    <xf numFmtId="0" fontId="0" fillId="0" borderId="25" applyProtection="1" pivotButton="0" quotePrefix="0" xfId="0">
      <protection locked="0" hidden="0"/>
    </xf>
    <xf numFmtId="0" fontId="0" fillId="0" borderId="26" applyProtection="1" pivotButton="0" quotePrefix="0" xfId="0">
      <protection locked="0" hidden="0"/>
    </xf>
    <xf numFmtId="0" fontId="0" fillId="0" borderId="39" pivotButton="0" quotePrefix="0" xfId="0"/>
    <xf numFmtId="0" fontId="3" fillId="2" borderId="74" applyAlignment="1" pivotButton="0" quotePrefix="0" xfId="0">
      <alignment horizontal="center" vertical="center" wrapText="1"/>
    </xf>
    <xf numFmtId="0" fontId="9" fillId="2" borderId="75" applyAlignment="1" pivotButton="0" quotePrefix="0" xfId="0">
      <alignment horizontal="center" vertical="center" wrapText="1"/>
    </xf>
    <xf numFmtId="0" fontId="4" fillId="2" borderId="18" applyAlignment="1" pivotButton="0" quotePrefix="0" xfId="0">
      <alignment horizontal="center" vertical="center" wrapText="1"/>
    </xf>
    <xf numFmtId="0" fontId="4" fillId="2" borderId="78" applyAlignment="1" pivotButton="0" quotePrefix="0" xfId="0">
      <alignment horizontal="center" vertical="center"/>
    </xf>
    <xf numFmtId="0" fontId="0" fillId="0" borderId="58" pivotButton="0" quotePrefix="0" xfId="0"/>
    <xf numFmtId="0" fontId="0" fillId="0" borderId="60" pivotButton="0" quotePrefix="0" xfId="0"/>
    <xf numFmtId="164" fontId="2" fillId="0" borderId="0" applyAlignment="1" pivotButton="0" quotePrefix="0" xfId="0">
      <alignment horizontal="center" vertical="center"/>
    </xf>
    <xf numFmtId="0" fontId="9" fillId="2" borderId="21" applyAlignment="1" pivotButton="0" quotePrefix="0" xfId="0">
      <alignment horizontal="center" vertical="center" wrapText="1"/>
    </xf>
    <xf numFmtId="0" fontId="0" fillId="0" borderId="56" pivotButton="0" quotePrefix="0" xfId="0"/>
    <xf numFmtId="164" fontId="16" fillId="0" borderId="51" applyAlignment="1" pivotButton="0" quotePrefix="0" xfId="1">
      <alignment horizontal="right" vertical="center"/>
    </xf>
    <xf numFmtId="164" fontId="16" fillId="0" borderId="53" applyAlignment="1" applyProtection="1" pivotButton="0" quotePrefix="0" xfId="1">
      <alignment horizontal="right" vertical="center"/>
      <protection locked="0" hidden="0"/>
    </xf>
    <xf numFmtId="164" fontId="16" fillId="0" borderId="52" applyAlignment="1" applyProtection="1" pivotButton="0" quotePrefix="0" xfId="1">
      <alignment horizontal="right" vertical="center"/>
      <protection locked="0" hidden="0"/>
    </xf>
    <xf numFmtId="164" fontId="16" fillId="0" borderId="18" applyAlignment="1" applyProtection="1" pivotButton="0" quotePrefix="0" xfId="1">
      <alignment horizontal="right" vertical="center"/>
      <protection locked="0" hidden="0"/>
    </xf>
    <xf numFmtId="164" fontId="18" fillId="8" borderId="18" applyAlignment="1" pivotButton="0" quotePrefix="0" xfId="1">
      <alignment horizontal="center" vertical="center"/>
    </xf>
    <xf numFmtId="165" fontId="12" fillId="9" borderId="18" applyAlignment="1" pivotButton="0" quotePrefix="0" xfId="2">
      <alignment horizontal="center" vertical="center" wrapText="1"/>
    </xf>
    <xf numFmtId="168" fontId="2" fillId="0" borderId="18" applyAlignment="1" pivotButton="0" quotePrefix="0" xfId="4">
      <alignment vertical="center"/>
    </xf>
    <xf numFmtId="164" fontId="2" fillId="0" borderId="0" applyAlignment="1" pivotButton="0" quotePrefix="0" xfId="0">
      <alignment vertical="center"/>
    </xf>
    <xf numFmtId="164" fontId="16" fillId="0" borderId="18" applyAlignment="1" pivotButton="0" quotePrefix="0" xfId="1">
      <alignment horizontal="right" vertical="center"/>
    </xf>
    <xf numFmtId="0" fontId="16" fillId="0" borderId="76" applyAlignment="1" pivotButton="0" quotePrefix="0" xfId="0">
      <alignment horizontal="left" vertical="center" wrapText="1"/>
    </xf>
    <xf numFmtId="0" fontId="0" fillId="0" borderId="62" pivotButton="0" quotePrefix="0" xfId="0"/>
    <xf numFmtId="164" fontId="12" fillId="10" borderId="14" applyAlignment="1" pivotButton="0" quotePrefix="0" xfId="1">
      <alignment vertical="center" wrapText="1"/>
    </xf>
    <xf numFmtId="164" fontId="12" fillId="10" borderId="0" applyAlignment="1" pivotButton="0" quotePrefix="0" xfId="1">
      <alignment vertical="center" wrapText="1"/>
    </xf>
    <xf numFmtId="164" fontId="12" fillId="10" borderId="18" applyAlignment="1" pivotButton="0" quotePrefix="0" xfId="1">
      <alignment vertical="center" wrapText="1"/>
    </xf>
    <xf numFmtId="164" fontId="13" fillId="10" borderId="18" applyAlignment="1" pivotButton="0" quotePrefix="0" xfId="1">
      <alignment horizontal="center" vertical="center"/>
    </xf>
    <xf numFmtId="164" fontId="4" fillId="8" borderId="30" applyAlignment="1" applyProtection="1" pivotButton="0" quotePrefix="0" xfId="1">
      <alignment horizontal="center" vertical="center"/>
      <protection locked="0" hidden="0"/>
    </xf>
    <xf numFmtId="164" fontId="4" fillId="8" borderId="0" applyAlignment="1" applyProtection="1" pivotButton="0" quotePrefix="0" xfId="1">
      <alignment horizontal="center" vertical="center"/>
      <protection locked="0" hidden="0"/>
    </xf>
    <xf numFmtId="164" fontId="16" fillId="0" borderId="11" applyAlignment="1" pivotButton="0" quotePrefix="0" xfId="1">
      <alignment horizontal="right" vertical="center" wrapText="1"/>
    </xf>
    <xf numFmtId="164" fontId="16" fillId="0" borderId="12" applyAlignment="1" applyProtection="1" pivotButton="0" quotePrefix="0" xfId="1">
      <alignment horizontal="right" vertical="center"/>
      <protection locked="0" hidden="0"/>
    </xf>
    <xf numFmtId="164" fontId="16" fillId="0" borderId="48" applyAlignment="1" applyProtection="1" pivotButton="0" quotePrefix="0" xfId="1">
      <alignment horizontal="right" vertical="center"/>
      <protection locked="0" hidden="0"/>
    </xf>
    <xf numFmtId="164" fontId="16" fillId="0" borderId="17" applyAlignment="1" pivotButton="0" quotePrefix="0" xfId="1">
      <alignment horizontal="right" vertical="center" wrapText="1"/>
    </xf>
    <xf numFmtId="164" fontId="16" fillId="0" borderId="8" applyAlignment="1" applyProtection="1" pivotButton="0" quotePrefix="0" xfId="1">
      <alignment horizontal="right" vertical="center"/>
      <protection locked="0" hidden="0"/>
    </xf>
    <xf numFmtId="164" fontId="16" fillId="0" borderId="20" applyAlignment="1" pivotButton="0" quotePrefix="0" xfId="1">
      <alignment horizontal="right" vertical="center" wrapText="1"/>
    </xf>
    <xf numFmtId="164" fontId="16" fillId="0" borderId="21" applyAlignment="1" applyProtection="1" pivotButton="0" quotePrefix="0" xfId="1">
      <alignment horizontal="right" vertical="center"/>
      <protection locked="0" hidden="0"/>
    </xf>
    <xf numFmtId="164" fontId="16" fillId="0" borderId="49" applyAlignment="1" applyProtection="1" pivotButton="0" quotePrefix="0" xfId="1">
      <alignment horizontal="right" vertical="center"/>
      <protection locked="0" hidden="0"/>
    </xf>
    <xf numFmtId="164" fontId="12" fillId="11" borderId="14" applyAlignment="1" pivotButton="0" quotePrefix="0" xfId="1">
      <alignment vertical="center" wrapText="1"/>
    </xf>
    <xf numFmtId="164" fontId="12" fillId="11" borderId="0" applyAlignment="1" pivotButton="0" quotePrefix="0" xfId="1">
      <alignment vertical="center" wrapText="1"/>
    </xf>
    <xf numFmtId="164" fontId="12" fillId="11" borderId="18" applyAlignment="1" pivotButton="0" quotePrefix="0" xfId="1">
      <alignment vertical="center" wrapText="1"/>
    </xf>
    <xf numFmtId="164" fontId="13" fillId="11" borderId="18" applyAlignment="1" pivotButton="0" quotePrefix="0" xfId="1">
      <alignment horizontal="center" vertical="center"/>
    </xf>
    <xf numFmtId="0" fontId="3" fillId="10" borderId="74" applyAlignment="1" pivotButton="0" quotePrefix="0" xfId="0">
      <alignment horizontal="center" vertical="center" wrapText="1"/>
    </xf>
    <xf numFmtId="0" fontId="9" fillId="10" borderId="75" applyAlignment="1" pivotButton="0" quotePrefix="0" xfId="0">
      <alignment horizontal="center" vertical="center" wrapText="1"/>
    </xf>
    <xf numFmtId="0" fontId="4" fillId="10" borderId="13" applyAlignment="1" pivotButton="0" quotePrefix="0" xfId="0">
      <alignment horizontal="center" vertical="center"/>
    </xf>
    <xf numFmtId="0" fontId="0" fillId="0" borderId="50" pivotButton="0" quotePrefix="0" xfId="0"/>
    <xf numFmtId="0" fontId="4" fillId="10" borderId="1" applyAlignment="1" pivotButton="0" quotePrefix="0" xfId="0">
      <alignment horizontal="center" vertical="center"/>
    </xf>
    <xf numFmtId="0" fontId="0" fillId="0" borderId="3" pivotButton="0" quotePrefix="0" xfId="0"/>
    <xf numFmtId="0" fontId="10" fillId="6" borderId="1" applyAlignment="1" pivotButton="0" quotePrefix="0" xfId="0">
      <alignment horizontal="center" vertical="center" wrapText="1"/>
    </xf>
    <xf numFmtId="0" fontId="9" fillId="10" borderId="21" applyAlignment="1" pivotButton="0" quotePrefix="0" xfId="0">
      <alignment horizontal="center" vertical="center" wrapText="1"/>
    </xf>
    <xf numFmtId="0" fontId="9" fillId="10" borderId="49" applyAlignment="1" pivotButton="0" quotePrefix="0" xfId="0">
      <alignment horizontal="center" vertical="center" wrapText="1"/>
    </xf>
    <xf numFmtId="0" fontId="9" fillId="10" borderId="18" applyAlignment="1" pivotButton="0" quotePrefix="0" xfId="0">
      <alignment horizontal="center" vertical="center" wrapText="1"/>
    </xf>
    <xf numFmtId="0" fontId="0" fillId="0" borderId="72" pivotButton="0" quotePrefix="0" xfId="0"/>
    <xf numFmtId="0" fontId="10" fillId="6" borderId="51" applyAlignment="1" pivotButton="0" quotePrefix="0" xfId="0">
      <alignment horizontal="center" vertical="center" wrapText="1"/>
    </xf>
    <xf numFmtId="0" fontId="0" fillId="0" borderId="34" pivotButton="0" quotePrefix="0" xfId="0"/>
    <xf numFmtId="0" fontId="0" fillId="0" borderId="73" pivotButton="0" quotePrefix="0" xfId="0"/>
    <xf numFmtId="0" fontId="0" fillId="0" borderId="44" pivotButton="0" quotePrefix="0" xfId="0"/>
    <xf numFmtId="164" fontId="16" fillId="0" borderId="12" applyAlignment="1" pivotButton="0" quotePrefix="0" xfId="1">
      <alignment horizontal="right" vertical="center"/>
    </xf>
    <xf numFmtId="164" fontId="16" fillId="4" borderId="52" applyAlignment="1" pivotButton="0" quotePrefix="0" xfId="1">
      <alignment horizontal="right" vertical="center"/>
    </xf>
    <xf numFmtId="164" fontId="16" fillId="14" borderId="53" applyAlignment="1" pivotButton="0" quotePrefix="0" xfId="1">
      <alignment horizontal="right" vertical="center"/>
    </xf>
    <xf numFmtId="164" fontId="16" fillId="0" borderId="11" applyAlignment="1" pivotButton="0" quotePrefix="0" xfId="1">
      <alignment horizontal="right" vertical="center"/>
    </xf>
    <xf numFmtId="164" fontId="16" fillId="4" borderId="8" applyAlignment="1" pivotButton="0" quotePrefix="0" xfId="1">
      <alignment horizontal="right" vertical="center"/>
    </xf>
    <xf numFmtId="164" fontId="16" fillId="14" borderId="18" applyAlignment="1" pivotButton="0" quotePrefix="0" xfId="1">
      <alignment horizontal="right" vertical="center"/>
    </xf>
    <xf numFmtId="164" fontId="16" fillId="0" borderId="17" applyAlignment="1" pivotButton="0" quotePrefix="0" xfId="1">
      <alignment horizontal="right" vertical="center"/>
    </xf>
    <xf numFmtId="0" fontId="0" fillId="0" borderId="69" pivotButton="0" quotePrefix="0" xfId="0"/>
    <xf numFmtId="164" fontId="12" fillId="10" borderId="38" applyAlignment="1" pivotButton="0" quotePrefix="0" xfId="1">
      <alignment vertical="center" wrapText="1"/>
    </xf>
    <xf numFmtId="164" fontId="13" fillId="10" borderId="23" applyAlignment="1" pivotButton="0" quotePrefix="0" xfId="1">
      <alignment horizontal="center" vertical="center"/>
    </xf>
    <xf numFmtId="164" fontId="12" fillId="10" borderId="1" applyAlignment="1" pivotButton="0" quotePrefix="0" xfId="1">
      <alignment vertical="center" wrapText="1"/>
    </xf>
    <xf numFmtId="164" fontId="4" fillId="8" borderId="30" applyAlignment="1" pivotButton="0" quotePrefix="0" xfId="1">
      <alignment horizontal="center" vertical="center"/>
    </xf>
    <xf numFmtId="164" fontId="4" fillId="8" borderId="0" applyAlignment="1" pivotButton="0" quotePrefix="0" xfId="1">
      <alignment horizontal="center" vertical="center"/>
    </xf>
    <xf numFmtId="164" fontId="16" fillId="0" borderId="53" applyAlignment="1" pivotButton="0" quotePrefix="0" xfId="1">
      <alignment horizontal="right" vertical="center" wrapText="1"/>
    </xf>
    <xf numFmtId="164" fontId="16" fillId="0" borderId="53" applyAlignment="1" pivotButton="0" quotePrefix="0" xfId="1">
      <alignment horizontal="right" vertical="center"/>
    </xf>
    <xf numFmtId="164" fontId="16" fillId="14" borderId="53" applyAlignment="1" pivotButton="0" quotePrefix="0" xfId="1">
      <alignment horizontal="right" vertical="center" wrapText="1"/>
    </xf>
    <xf numFmtId="164" fontId="16" fillId="0" borderId="12" applyAlignment="1" pivotButton="0" quotePrefix="0" xfId="1">
      <alignment horizontal="right" vertical="center" wrapText="1"/>
    </xf>
    <xf numFmtId="164" fontId="16" fillId="0" borderId="18" applyAlignment="1" pivotButton="0" quotePrefix="0" xfId="1">
      <alignment horizontal="right" vertical="center" wrapText="1"/>
    </xf>
    <xf numFmtId="164" fontId="16" fillId="14" borderId="18" applyAlignment="1" pivotButton="0" quotePrefix="0" xfId="1">
      <alignment horizontal="right" vertical="center" wrapText="1"/>
    </xf>
    <xf numFmtId="164" fontId="16" fillId="0" borderId="7" applyAlignment="1" pivotButton="0" quotePrefix="0" xfId="1">
      <alignment horizontal="right" vertical="center" wrapText="1"/>
    </xf>
    <xf numFmtId="164" fontId="16" fillId="0" borderId="7" applyAlignment="1" pivotButton="0" quotePrefix="0" xfId="1">
      <alignment horizontal="right" vertical="center"/>
    </xf>
    <xf numFmtId="164" fontId="16" fillId="4" borderId="5" applyAlignment="1" pivotButton="0" quotePrefix="0" xfId="1">
      <alignment horizontal="right" vertical="center"/>
    </xf>
    <xf numFmtId="164" fontId="16" fillId="14" borderId="7" applyAlignment="1" pivotButton="0" quotePrefix="0" xfId="1">
      <alignment horizontal="right" vertical="center" wrapText="1"/>
    </xf>
    <xf numFmtId="164" fontId="16" fillId="0" borderId="21" applyAlignment="1" pivotButton="0" quotePrefix="0" xfId="1">
      <alignment horizontal="right" vertical="center" wrapText="1"/>
    </xf>
    <xf numFmtId="164" fontId="12" fillId="11" borderId="38" applyAlignment="1" pivotButton="0" quotePrefix="0" xfId="1">
      <alignment vertical="center" wrapText="1"/>
    </xf>
    <xf numFmtId="164" fontId="13" fillId="11" borderId="23" applyAlignment="1" pivotButton="0" quotePrefix="0" xfId="1">
      <alignment horizontal="center" vertical="center"/>
    </xf>
    <xf numFmtId="164" fontId="12" fillId="11" borderId="1" applyAlignment="1" pivotButton="0" quotePrefix="0" xfId="1">
      <alignment vertical="center" wrapText="1"/>
    </xf>
    <xf numFmtId="164" fontId="12" fillId="8" borderId="14" applyAlignment="1" pivotButton="0" quotePrefix="0" xfId="1">
      <alignment vertical="center" wrapText="1"/>
    </xf>
    <xf numFmtId="164" fontId="16" fillId="4" borderId="48" applyAlignment="1" pivotButton="0" quotePrefix="0" xfId="1">
      <alignment horizontal="right" vertical="center"/>
    </xf>
    <xf numFmtId="164" fontId="16" fillId="0" borderId="21" applyAlignment="1" pivotButton="0" quotePrefix="0" xfId="1">
      <alignment horizontal="right" vertical="center"/>
    </xf>
    <xf numFmtId="164" fontId="16" fillId="4" borderId="49" applyAlignment="1" pivotButton="0" quotePrefix="0" xfId="1">
      <alignment horizontal="right" vertical="center"/>
    </xf>
    <xf numFmtId="0" fontId="49" fillId="21" borderId="7" applyAlignment="1" pivotButton="0" quotePrefix="0" xfId="0">
      <alignment horizontal="center" vertical="center"/>
    </xf>
    <xf numFmtId="0" fontId="0" fillId="0" borderId="64" pivotButton="0" quotePrefix="0" xfId="0"/>
    <xf numFmtId="0" fontId="64" fillId="18" borderId="18" applyAlignment="1" pivotButton="0" quotePrefix="0" xfId="0">
      <alignment horizontal="center" vertical="center" wrapText="1"/>
    </xf>
    <xf numFmtId="0" fontId="0" fillId="0" borderId="52" pivotButton="0" quotePrefix="0" xfId="0"/>
    <xf numFmtId="166" fontId="64" fillId="3" borderId="18" applyAlignment="1" applyProtection="1" pivotButton="0" quotePrefix="0" xfId="1">
      <alignment horizontal="center" vertical="center" wrapText="1"/>
      <protection locked="0" hidden="0"/>
    </xf>
    <xf numFmtId="166" fontId="64" fillId="18" borderId="18" applyAlignment="1" applyProtection="1" pivotButton="0" quotePrefix="0" xfId="1">
      <alignment horizontal="center" vertical="center" wrapText="1"/>
      <protection locked="0" hidden="0"/>
    </xf>
    <xf numFmtId="166" fontId="85" fillId="18" borderId="18" applyAlignment="1" applyProtection="1" pivotButton="0" quotePrefix="0" xfId="1">
      <alignment horizontal="center" vertical="center" wrapText="1"/>
      <protection locked="0" hidden="0"/>
    </xf>
    <xf numFmtId="166" fontId="64" fillId="0" borderId="0" applyAlignment="1" applyProtection="1" pivotButton="0" quotePrefix="0" xfId="1">
      <alignment horizontal="center" vertical="center" wrapText="1"/>
      <protection locked="0" hidden="0"/>
    </xf>
    <xf numFmtId="3" fontId="59" fillId="18" borderId="18" applyAlignment="1" applyProtection="1" pivotButton="0" quotePrefix="0" xfId="1">
      <alignment horizontal="center" vertical="center"/>
      <protection locked="0" hidden="0"/>
    </xf>
    <xf numFmtId="164" fontId="64" fillId="0" borderId="0" applyAlignment="1" applyProtection="1" pivotButton="0" quotePrefix="0" xfId="1">
      <alignment vertical="center" wrapText="1"/>
      <protection locked="0" hidden="0"/>
    </xf>
    <xf numFmtId="164" fontId="61" fillId="0" borderId="18" applyAlignment="1" pivotButton="0" quotePrefix="0" xfId="1">
      <alignment vertical="center" wrapText="1"/>
    </xf>
    <xf numFmtId="164" fontId="66" fillId="9" borderId="8" applyAlignment="1" pivotButton="0" quotePrefix="0" xfId="1">
      <alignment vertical="center"/>
    </xf>
    <xf numFmtId="164" fontId="66" fillId="9" borderId="9" applyAlignment="1" pivotButton="0" quotePrefix="0" xfId="1">
      <alignment vertical="center"/>
    </xf>
    <xf numFmtId="164" fontId="67" fillId="9" borderId="9" applyAlignment="1" pivotButton="0" quotePrefix="0" xfId="1">
      <alignment vertical="center" wrapText="1"/>
    </xf>
    <xf numFmtId="164" fontId="67" fillId="9" borderId="10" applyAlignment="1" pivotButton="0" quotePrefix="0" xfId="1">
      <alignment vertical="center" wrapText="1"/>
    </xf>
    <xf numFmtId="164" fontId="67" fillId="0" borderId="0" applyAlignment="1" applyProtection="1" pivotButton="0" quotePrefix="0" xfId="1">
      <alignment vertical="center" wrapText="1"/>
      <protection locked="0" hidden="0"/>
    </xf>
    <xf numFmtId="164" fontId="64" fillId="0" borderId="0" applyAlignment="1" pivotButton="0" quotePrefix="0" xfId="1">
      <alignment vertical="center" wrapText="1"/>
    </xf>
    <xf numFmtId="164" fontId="58" fillId="0" borderId="0" applyAlignment="1" pivotButton="0" quotePrefix="0" xfId="1">
      <alignment vertical="center" wrapText="1"/>
    </xf>
    <xf numFmtId="0" fontId="0" fillId="0" borderId="14" applyProtection="1" pivotButton="0" quotePrefix="0" xfId="0">
      <protection locked="0" hidden="0"/>
    </xf>
    <xf numFmtId="167" fontId="64" fillId="22" borderId="8" applyAlignment="1" pivotButton="0" quotePrefix="0" xfId="1">
      <alignment vertical="center" wrapText="1"/>
    </xf>
    <xf numFmtId="167" fontId="64" fillId="22" borderId="9" applyAlignment="1" pivotButton="0" quotePrefix="0" xfId="1">
      <alignment vertical="center" wrapText="1"/>
    </xf>
    <xf numFmtId="167" fontId="64" fillId="22" borderId="10" applyAlignment="1" pivotButton="0" quotePrefix="0" xfId="1">
      <alignment vertical="center" wrapText="1"/>
    </xf>
    <xf numFmtId="167" fontId="64" fillId="0" borderId="0" applyAlignment="1" pivotButton="0" quotePrefix="0" xfId="1">
      <alignment vertical="center" wrapText="1"/>
    </xf>
    <xf numFmtId="164" fontId="67" fillId="0" borderId="0" applyAlignment="1" applyProtection="1" pivotButton="0" quotePrefix="0" xfId="1">
      <alignment vertical="center"/>
      <protection locked="0" hidden="0"/>
    </xf>
    <xf numFmtId="164" fontId="64" fillId="23" borderId="8" applyAlignment="1" applyProtection="1" pivotButton="0" quotePrefix="0" xfId="1">
      <alignment vertical="center" wrapText="1"/>
      <protection locked="0" hidden="0"/>
    </xf>
    <xf numFmtId="164" fontId="64" fillId="23" borderId="9" applyAlignment="1" pivotButton="0" quotePrefix="0" xfId="1">
      <alignment vertical="center" wrapText="1"/>
    </xf>
    <xf numFmtId="164" fontId="64" fillId="23" borderId="9" applyAlignment="1" applyProtection="1" pivotButton="0" quotePrefix="0" xfId="1">
      <alignment vertical="center" wrapText="1"/>
      <protection locked="0" hidden="0"/>
    </xf>
    <xf numFmtId="164" fontId="64" fillId="23" borderId="9" applyAlignment="1" pivotButton="0" quotePrefix="0" xfId="1">
      <alignment horizontal="center" vertical="center" wrapText="1"/>
    </xf>
    <xf numFmtId="167" fontId="64" fillId="23" borderId="9" applyAlignment="1" applyProtection="1" pivotButton="0" quotePrefix="0" xfId="1">
      <alignment horizontal="center" vertical="center" wrapText="1"/>
      <protection locked="0" hidden="0"/>
    </xf>
    <xf numFmtId="167" fontId="64" fillId="23" borderId="9" applyAlignment="1" pivotButton="0" quotePrefix="0" xfId="1">
      <alignment horizontal="center" vertical="center" wrapText="1"/>
    </xf>
    <xf numFmtId="167" fontId="64" fillId="23" borderId="10" applyAlignment="1" applyProtection="1" pivotButton="0" quotePrefix="0" xfId="1">
      <alignment horizontal="center" vertical="center" wrapText="1"/>
      <protection locked="0" hidden="0"/>
    </xf>
    <xf numFmtId="167" fontId="64" fillId="0" borderId="0" applyAlignment="1" applyProtection="1" pivotButton="0" quotePrefix="0" xfId="1">
      <alignment horizontal="center" vertical="center" wrapText="1"/>
      <protection locked="0" hidden="0"/>
    </xf>
    <xf numFmtId="3" fontId="59" fillId="18" borderId="8" applyAlignment="1" applyProtection="1" pivotButton="0" quotePrefix="0" xfId="1">
      <alignment horizontal="center" vertical="center"/>
      <protection locked="0" hidden="0"/>
    </xf>
    <xf numFmtId="0" fontId="0" fillId="0" borderId="52" applyProtection="1" pivotButton="0" quotePrefix="0" xfId="0">
      <protection locked="0" hidden="0"/>
    </xf>
    <xf numFmtId="164" fontId="67" fillId="9" borderId="18" applyAlignment="1" pivotButton="0" quotePrefix="0" xfId="1">
      <alignment vertical="center"/>
    </xf>
    <xf numFmtId="164" fontId="58" fillId="0" borderId="0" applyAlignment="1" pivotButton="0" quotePrefix="0" xfId="1">
      <alignment horizontal="center" vertical="center" wrapText="1"/>
    </xf>
    <xf numFmtId="164" fontId="58" fillId="0" borderId="0" applyAlignment="1" applyProtection="1" pivotButton="0" quotePrefix="0" xfId="1">
      <alignment horizontal="center" vertical="center" wrapText="1"/>
      <protection locked="0" hidden="0"/>
    </xf>
    <xf numFmtId="164" fontId="59" fillId="0" borderId="0" applyAlignment="1" pivotButton="0" quotePrefix="0" xfId="1">
      <alignment horizontal="center" vertical="center"/>
    </xf>
    <xf numFmtId="165" fontId="68" fillId="0" borderId="0" applyAlignment="1" pivotButton="0" quotePrefix="0" xfId="2">
      <alignment vertical="center" wrapText="1"/>
    </xf>
    <xf numFmtId="166" fontId="64" fillId="0" borderId="0" applyAlignment="1" applyProtection="1" pivotButton="0" quotePrefix="0" xfId="1">
      <alignment vertical="center" wrapText="1"/>
      <protection locked="0" hidden="0"/>
    </xf>
    <xf numFmtId="166" fontId="64" fillId="0" borderId="0" applyAlignment="1" pivotButton="0" quotePrefix="0" xfId="1">
      <alignment horizontal="center" vertical="center" wrapText="1"/>
    </xf>
    <xf numFmtId="166" fontId="64" fillId="0" borderId="0" applyAlignment="1" pivotButton="0" quotePrefix="0" xfId="1">
      <alignment vertical="center" wrapText="1"/>
    </xf>
    <xf numFmtId="0" fontId="61" fillId="22" borderId="18" applyAlignment="1" pivotButton="0" quotePrefix="0" xfId="0">
      <alignment horizontal="center" vertical="center" wrapText="1"/>
    </xf>
    <xf numFmtId="0" fontId="61" fillId="23" borderId="18" applyAlignment="1" pivotButton="0" quotePrefix="0" xfId="0">
      <alignment horizontal="center" vertical="center" wrapText="1"/>
    </xf>
    <xf numFmtId="166" fontId="69" fillId="3" borderId="18" applyAlignment="1" applyProtection="1" pivotButton="0" quotePrefix="0" xfId="1">
      <alignment horizontal="center" vertical="center" wrapText="1"/>
      <protection locked="0" hidden="0"/>
    </xf>
    <xf numFmtId="166" fontId="69" fillId="18" borderId="18" applyAlignment="1" applyProtection="1" pivotButton="0" quotePrefix="0" xfId="1">
      <alignment horizontal="center" vertical="center" wrapText="1"/>
      <protection locked="0" hidden="0"/>
    </xf>
    <xf numFmtId="164" fontId="67" fillId="9" borderId="9" applyAlignment="1" pivotButton="0" quotePrefix="0" xfId="1">
      <alignment horizontal="left" vertical="center" wrapText="1"/>
    </xf>
    <xf numFmtId="164" fontId="67" fillId="9" borderId="10" applyAlignment="1" pivotButton="0" quotePrefix="0" xfId="1">
      <alignment horizontal="left" vertical="center" wrapText="1"/>
    </xf>
    <xf numFmtId="164" fontId="67" fillId="0" borderId="0" applyAlignment="1" applyProtection="1" pivotButton="0" quotePrefix="0" xfId="1">
      <alignment horizontal="left" vertical="center" wrapText="1"/>
      <protection locked="0" hidden="0"/>
    </xf>
    <xf numFmtId="164" fontId="67" fillId="9" borderId="8" applyAlignment="1" applyProtection="1" pivotButton="0" quotePrefix="0" xfId="1">
      <alignment horizontal="left" vertical="center"/>
      <protection locked="0" hidden="0"/>
    </xf>
    <xf numFmtId="164" fontId="67" fillId="9" borderId="8" applyAlignment="1" pivotButton="0" quotePrefix="0" xfId="1">
      <alignment horizontal="left" vertical="center"/>
    </xf>
    <xf numFmtId="164" fontId="67" fillId="9" borderId="10" applyAlignment="1" applyProtection="1" pivotButton="0" quotePrefix="0" xfId="1">
      <alignment horizontal="left" vertical="center" wrapText="1"/>
      <protection locked="0" hidden="0"/>
    </xf>
    <xf numFmtId="0" fontId="58" fillId="2" borderId="18" applyAlignment="1" pivotButton="0" quotePrefix="0" xfId="0">
      <alignment horizontal="center" vertical="center" wrapText="1"/>
    </xf>
    <xf numFmtId="164" fontId="58" fillId="22" borderId="18" applyAlignment="1" pivotButton="0" quotePrefix="0" xfId="0">
      <alignment horizontal="center" vertical="center" wrapText="1"/>
    </xf>
    <xf numFmtId="0" fontId="58" fillId="33" borderId="18" applyAlignment="1" pivotButton="0" quotePrefix="0" xfId="0">
      <alignment horizontal="center" vertical="center" wrapText="1"/>
    </xf>
    <xf numFmtId="0" fontId="71" fillId="22" borderId="18" applyAlignment="1" pivotButton="0" quotePrefix="0" xfId="0">
      <alignment horizontal="center" vertical="center" wrapText="1"/>
    </xf>
    <xf numFmtId="3" fontId="59" fillId="29" borderId="18" applyAlignment="1" pivotButton="0" quotePrefix="0" xfId="0">
      <alignment horizontal="center" vertical="center"/>
    </xf>
    <xf numFmtId="169" fontId="78" fillId="0" borderId="18" applyAlignment="1" pivotButton="0" quotePrefix="0" xfId="1">
      <alignment horizontal="center" vertical="center"/>
    </xf>
    <xf numFmtId="166" fontId="69" fillId="18" borderId="18" applyAlignment="1" applyProtection="1" pivotButton="0" quotePrefix="0" xfId="1">
      <alignment horizontal="left" vertical="center" wrapText="1"/>
      <protection locked="0" hidden="0"/>
    </xf>
    <xf numFmtId="169" fontId="47" fillId="0" borderId="18" applyAlignment="1" pivotButton="0" quotePrefix="0" xfId="0">
      <alignment horizontal="center" vertical="center"/>
    </xf>
    <xf numFmtId="170" fontId="47" fillId="0" borderId="18" applyAlignment="1" pivotButton="0" quotePrefix="0" xfId="0">
      <alignment horizontal="center" vertical="center"/>
    </xf>
    <xf numFmtId="164" fontId="47" fillId="0" borderId="0" applyAlignment="1" applyProtection="1" pivotButton="0" quotePrefix="0" xfId="1">
      <alignment horizontal="center" vertical="center"/>
      <protection locked="0" hidden="0"/>
    </xf>
    <xf numFmtId="164" fontId="47" fillId="0" borderId="18" applyAlignment="1" applyProtection="1" pivotButton="0" quotePrefix="0" xfId="1">
      <alignment horizontal="center" vertical="center"/>
      <protection locked="0" hidden="0"/>
    </xf>
    <xf numFmtId="3" fontId="47" fillId="0" borderId="18" applyAlignment="1" pivotButton="0" quotePrefix="0" xfId="0">
      <alignment horizontal="center" vertical="center"/>
    </xf>
    <xf numFmtId="3" fontId="69" fillId="0" borderId="18" applyAlignment="1" applyProtection="1" pivotButton="0" quotePrefix="0" xfId="1">
      <alignment horizontal="center" vertical="center" wrapText="1"/>
      <protection locked="0" hidden="0"/>
    </xf>
    <xf numFmtId="3" fontId="69" fillId="34" borderId="18" applyAlignment="1" pivotButton="0" quotePrefix="0" xfId="1">
      <alignment horizontal="center" vertical="center" wrapText="1"/>
    </xf>
    <xf numFmtId="169" fontId="47" fillId="0" borderId="0" applyAlignment="1" pivotButton="0" quotePrefix="0" xfId="0">
      <alignment horizontal="center" vertical="center"/>
    </xf>
    <xf numFmtId="170" fontId="47" fillId="0" borderId="0" applyAlignment="1" pivotButton="0" quotePrefix="0" xfId="0">
      <alignment horizontal="center" vertical="center"/>
    </xf>
    <xf numFmtId="169" fontId="55" fillId="0" borderId="0" applyAlignment="1" pivotButton="0" quotePrefix="0" xfId="0">
      <alignment horizontal="center" vertical="center"/>
    </xf>
    <xf numFmtId="170" fontId="55" fillId="0" borderId="0" applyAlignment="1" pivotButton="0" quotePrefix="0" xfId="0">
      <alignment horizontal="center" vertical="center"/>
    </xf>
    <xf numFmtId="0" fontId="64" fillId="33" borderId="18" applyAlignment="1" pivotButton="0" quotePrefix="0" xfId="0">
      <alignment horizontal="left" vertical="center" wrapText="1"/>
    </xf>
    <xf numFmtId="169" fontId="47" fillId="36" borderId="18" applyAlignment="1" pivotButton="0" quotePrefix="0" xfId="0">
      <alignment horizontal="center" vertical="center"/>
    </xf>
    <xf numFmtId="164" fontId="47" fillId="0" borderId="0" applyAlignment="1" applyProtection="1" pivotButton="0" quotePrefix="0" xfId="0">
      <alignment horizontal="center" vertical="center"/>
      <protection locked="0" hidden="0"/>
    </xf>
    <xf numFmtId="164" fontId="47" fillId="0" borderId="0" applyAlignment="1" applyProtection="1" pivotButton="0" quotePrefix="0" xfId="0">
      <alignment horizontal="centerContinuous" vertical="center"/>
      <protection locked="0" hidden="0"/>
    </xf>
    <xf numFmtId="0" fontId="58" fillId="23" borderId="18" applyAlignment="1" pivotButton="0" quotePrefix="0" xfId="0">
      <alignment horizontal="center" vertical="center" wrapText="1"/>
    </xf>
    <xf numFmtId="164" fontId="58" fillId="0" borderId="0" applyAlignment="1" pivotButton="0" quotePrefix="0" xfId="0">
      <alignment horizontal="center" vertical="center" wrapText="1"/>
    </xf>
    <xf numFmtId="0" fontId="62" fillId="7" borderId="18" applyAlignment="1" pivotButton="0" quotePrefix="0" xfId="0">
      <alignment horizontal="left" vertical="center" wrapText="1"/>
    </xf>
    <xf numFmtId="172" fontId="69" fillId="0" borderId="52" applyAlignment="1" pivotButton="0" quotePrefix="0" xfId="2">
      <alignment horizontal="center" vertical="center" wrapText="1"/>
    </xf>
    <xf numFmtId="164" fontId="64" fillId="23" borderId="8" applyAlignment="1" pivotButton="0" quotePrefix="0" xfId="1">
      <alignment vertical="center" wrapText="1"/>
    </xf>
    <xf numFmtId="164" fontId="64" fillId="23" borderId="10" applyAlignment="1" applyProtection="1" pivotButton="0" quotePrefix="0" xfId="1">
      <alignment vertical="center" wrapText="1"/>
      <protection locked="0" hidden="0"/>
    </xf>
    <xf numFmtId="164" fontId="59" fillId="23" borderId="9" applyAlignment="1" pivotButton="0" quotePrefix="0" xfId="1">
      <alignment horizontal="center" vertical="center"/>
    </xf>
    <xf numFmtId="164" fontId="69" fillId="23" borderId="9" applyAlignment="1" pivotButton="0" quotePrefix="0" xfId="1">
      <alignment vertical="center" wrapText="1"/>
    </xf>
    <xf numFmtId="164" fontId="59" fillId="23" borderId="9" applyAlignment="1" applyProtection="1" pivotButton="0" quotePrefix="0" xfId="1">
      <alignment horizontal="center" vertical="center"/>
      <protection locked="0" hidden="0"/>
    </xf>
    <xf numFmtId="166" fontId="64" fillId="0" borderId="9" applyAlignment="1" applyProtection="1" pivotButton="0" quotePrefix="0" xfId="1">
      <alignment horizontal="center" vertical="center" wrapText="1"/>
      <protection locked="0" hidden="0"/>
    </xf>
    <xf numFmtId="0" fontId="47" fillId="0" borderId="18" applyAlignment="1" applyProtection="1" pivotButton="0" quotePrefix="0" xfId="0">
      <alignment horizontal="left" vertical="center"/>
      <protection locked="0" hidden="0"/>
    </xf>
    <xf numFmtId="0" fontId="0" fillId="0" borderId="9" applyProtection="1" pivotButton="0" quotePrefix="0" xfId="0">
      <protection locked="0" hidden="0"/>
    </xf>
    <xf numFmtId="0" fontId="0" fillId="0" borderId="10" applyProtection="1" pivotButton="0" quotePrefix="0" xfId="0">
      <protection locked="0" hidden="0"/>
    </xf>
    <xf numFmtId="3" fontId="69" fillId="0" borderId="18" applyAlignment="1" pivotButton="0" quotePrefix="0" xfId="1">
      <alignment horizontal="center" vertical="center" wrapText="1"/>
    </xf>
    <xf numFmtId="164" fontId="58" fillId="0" borderId="0" applyAlignment="1" pivotButton="0" quotePrefix="0" xfId="0">
      <alignment vertical="center" wrapText="1"/>
    </xf>
    <xf numFmtId="0" fontId="49" fillId="22" borderId="18" applyAlignment="1" pivotButton="0" quotePrefix="0" xfId="0">
      <alignment horizontal="center" vertical="center" wrapText="1"/>
    </xf>
    <xf numFmtId="166" fontId="97" fillId="3" borderId="18" applyAlignment="1" applyProtection="1" pivotButton="0" quotePrefix="0" xfId="1">
      <alignment horizontal="center" vertical="center" wrapText="1"/>
      <protection locked="0" hidden="0"/>
    </xf>
  </cellXfs>
  <cellStyles count="11">
    <cellStyle name="Normal" xfId="0" builtinId="0"/>
    <cellStyle name="Millares" xfId="1" builtinId="3"/>
    <cellStyle name="Millares 8" xfId="2"/>
    <cellStyle name="Normal 10 2" xfId="3"/>
    <cellStyle name="Porcentaje" xfId="4" builtinId="5"/>
    <cellStyle name="Millares 2" xfId="5"/>
    <cellStyle name="Normal 2" xfId="6"/>
    <cellStyle name="Millares 3" xfId="7"/>
    <cellStyle name="Millares 2 2" xfId="8"/>
    <cellStyle name="Millares 3 2" xfId="9"/>
    <cellStyle name="Millares 2 2 2" xfId="10"/>
  </cellStyles>
  <dxfs count="4737">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b val="1"/>
        <color theme="1"/>
      </font>
      <fill>
        <patternFill>
          <bgColor rgb="FFFF0000"/>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b val="1"/>
        <color theme="1"/>
      </font>
      <fill>
        <patternFill>
          <bgColor rgb="FFFF0000"/>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b val="1"/>
        <color theme="1"/>
      </font>
      <fill>
        <patternFill>
          <bgColor rgb="FFFF0000"/>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b val="1"/>
        <color theme="1"/>
      </font>
      <fill>
        <patternFill>
          <bgColor rgb="FFFF0000"/>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b val="1"/>
        <color theme="1"/>
      </font>
      <fill>
        <patternFill>
          <bgColor rgb="FFFF0000"/>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b val="1"/>
        <color theme="1"/>
      </font>
      <fill>
        <patternFill>
          <bgColor rgb="FFFF0000"/>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b val="1"/>
        <color theme="1"/>
      </font>
      <fill>
        <patternFill>
          <bgColor rgb="FFFF0000"/>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b val="1"/>
        <color theme="1"/>
      </font>
      <fill>
        <patternFill>
          <bgColor rgb="FFFF0000"/>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b val="1"/>
        <color theme="1"/>
      </font>
      <fill>
        <patternFill>
          <bgColor rgb="FFFF0000"/>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b val="1"/>
        <color theme="1"/>
      </font>
      <fill>
        <patternFill>
          <bgColor rgb="FFFF0000"/>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color theme="1"/>
      </font>
      <fill>
        <patternFill>
          <bgColor rgb="FFFF0000"/>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b val="1"/>
        <color theme="0"/>
      </font>
      <fill>
        <patternFill>
          <bgColor rgb="FFFF00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b val="1"/>
        <color theme="1"/>
      </font>
      <fill>
        <patternFill>
          <bgColor rgb="FFFF0000"/>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externalLink" Target="/xl/externalLinks/externalLink1.xml" Id="rId18"/><Relationship Type="http://schemas.openxmlformats.org/officeDocument/2006/relationships/externalLink" Target="/xl/externalLinks/externalLink2.xml" Id="rId19"/><Relationship Type="http://schemas.openxmlformats.org/officeDocument/2006/relationships/styles" Target="styles.xml" Id="rId20"/><Relationship Type="http://schemas.openxmlformats.org/officeDocument/2006/relationships/theme" Target="theme/theme1.xml" Id="rId21"/><Relationship Type="http://schemas.microsoft.com/office/2006/relationships/vbaProject" Target="vbaProject.bin" Id="rId22"/></Relationships>
</file>

<file path=xl/comments/comment1.xml><?xml version="1.0" encoding="utf-8"?>
<comments xmlns="http://schemas.openxmlformats.org/spreadsheetml/2006/main">
  <authors>
    <author>cbocanegra</author>
    <author>Luz Marina Duque Torres</author>
  </authors>
  <commentList>
    <comment ref="C306" authorId="0" shapeId="0">
      <text>
        <t xml:space="preserve">cbocanegra:
Ingrese la sumatoria de los saldos por cada uno de los insumos, existentes en cada municipio de la entidad territorial.
</t>
      </text>
    </comment>
    <comment ref="D306" authorId="0" shapeId="0">
      <text>
        <t>cbocanegra:
Ingrese la sumatoria de la cantidad de vacunas informada como entrada a cada municipio - Recuerde comparar este dato con las salidas del almacen de la entidad territorial, ya que deben ser iguales.</t>
      </text>
    </comment>
    <comment ref="E307" authorId="0" shapeId="0">
      <text>
        <t>cbocanegra:
Corresponde a la sumatoria de la cantidad de dosis e insumos aplicados y utilizados en  cada uno de los municipios.</t>
      </text>
    </comment>
    <comment ref="F307" authorId="1" shapeId="0">
      <text>
        <t>Luz Marina Duque Torres:
corresponde a las dosis aplicadas reportadas en la plantilla de extranjeros</t>
      </text>
    </comment>
    <comment ref="G307" authorId="1" shapeId="0">
      <text>
        <t>Luz Marina Duque Torres:
corresponde a las dosis aplicadas reportadas en la plantilla de extranjeros</t>
      </text>
    </comment>
    <comment ref="H307" authorId="1" shapeId="0">
      <text>
        <t>Luz Marina Duque Torres:
corresponde a las dosis aplicadas reportadas en la plantilla de extranjeros</t>
      </text>
    </comment>
    <comment ref="K307" authorId="0" shapeId="0">
      <text>
        <t>cbocanegra:
Celda protejida contra escritura, el valor corresponde a la sumatoria de las perdidas registrada en la columna U</t>
      </text>
    </comment>
    <comment ref="C366" authorId="0" shapeId="0">
      <text>
        <t xml:space="preserve">cbocanegra:
Ingrese la sumatoria de los saldos por cada uno de los insumos, existentes en cada municipio de la entidad territorial.
</t>
      </text>
    </comment>
    <comment ref="D366" authorId="0" shapeId="0">
      <text>
        <t>cbocanegra:
Ingrese la sumatoria de la cantidad de vacunas informada como entrada a cada municipio - Recuerde comparar este dato con las salidas del almacen de la entidad territorial, ya que deben ser iguales.</t>
      </text>
    </comment>
    <comment ref="E367" authorId="0" shapeId="0">
      <text>
        <t>cbocanegra:
Corresponde a la sumatoria de la cantidad de dosis e insumos aplicados y utilizados en  cada uno de los municipios.</t>
      </text>
    </comment>
    <comment ref="F367" authorId="1" shapeId="0">
      <text>
        <t>Luz Marina Duque Torres:
corresponde a las dosis aplicadas reportadas en la plantilla de extranjeros</t>
      </text>
    </comment>
    <comment ref="G367" authorId="1" shapeId="0">
      <text>
        <t>Luz Marina Duque Torres:
corresponde a las dosis aplicadas reportadas en la plantilla de extranjeros</t>
      </text>
    </comment>
    <comment ref="H367" authorId="1" shapeId="0">
      <text>
        <t>Luz Marina Duque Torres:
corresponde a las dosis aplicadas reportadas en la plantilla de extranjeros</t>
      </text>
    </comment>
  </commentList>
</comments>
</file>

<file path=xl/comments/comment2.xml><?xml version="1.0" encoding="utf-8"?>
<comments xmlns="http://schemas.openxmlformats.org/spreadsheetml/2006/main">
  <authors>
    <author>Usuario</author>
    <author>Carmen Elisa Ojeda Jurado</author>
    <author>tc={3524F132-6BDE-4F13-9CCC-5D5BABF4836E}</author>
    <author>Fredys Fernando Acevedo Pautt</author>
    <author>Fredys Acevedo Pautt.</author>
    <author>tc={3524F132-6BDE-4F14-9CCC-5D5BABF4836E}</author>
    <author>tc={3524F132-6BDE-4F15-9CCC-5D5BABF4836E}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A413" authorId="4" shapeId="0">
      <text>
        <t>Fredys Acevedo Pautt.:
Corresponde la sumatoria de los saldos por cada uno de los insumos existentes en cada municipio de la entidad territorial del mes anterior. Los saldos finales del mes anteriores, con los saldos iniciales del presente mes.</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6"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comments/comment3.xml><?xml version="1.0" encoding="utf-8"?>
<comments xmlns="http://schemas.openxmlformats.org/spreadsheetml/2006/main">
  <authors>
    <author>Usuario</author>
    <author>Carmen Elisa Ojeda Jurado</author>
    <author>tc={3524F132-6BDE-4F16-9CCC-5D5BABF4836E}</author>
    <author>Fredys Fernando Acevedo Pautt</author>
    <author>Fredys Acevedo Pautt.</author>
    <author>tc={3524F132-6BDE-4F21-9CCC-5D5BABF4836E}</author>
    <author>tc={3524F132-6BDE-4F2C-9CCC-5D5BABF4836E}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A413" authorId="4" shapeId="0">
      <text>
        <t>Fredys Acevedo Pautt.:
Corresponde la sumatoria de los saldos por cada uno de los insumos existentes en cada municipio de la entidad territorial del mes anterior. Los saldos finales del mes anteriores, con los saldos iniciales del presente mes.</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6"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comments/comment4.xml><?xml version="1.0" encoding="utf-8"?>
<comments xmlns="http://schemas.openxmlformats.org/spreadsheetml/2006/main">
  <authors>
    <author>Usuario</author>
    <author>Carmen Elisa Ojeda Jurado</author>
    <author>tc={3524F132-6BDE-4F17-9CCC-5D5BABF4836E}</author>
    <author>Fredys Fernando Acevedo Pautt</author>
    <author>tc={3524F132-6BDE-4F22-9CCC-5D5BABF4836E}</author>
    <author>tc={3524F132-6BDE-4F2D-9CCC-5D5BABF4836E}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4"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comments/comment5.xml><?xml version="1.0" encoding="utf-8"?>
<comments xmlns="http://schemas.openxmlformats.org/spreadsheetml/2006/main">
  <authors>
    <author>Usuario</author>
    <author>Carmen Elisa Ojeda Jurado</author>
    <author>tc={3524F132-6BDE-4F18-9CCC-5D5BABF4836E}</author>
    <author>Fredys Fernando Acevedo Pautt</author>
    <author>tc={3524F132-6BDE-4F23-9CCC-5D5BABF4836E}</author>
    <author>tc={3524F132-6BDE-4F2E-9CCC-5D5BABF4836E}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4"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comments/comment6.xml><?xml version="1.0" encoding="utf-8"?>
<comments xmlns="http://schemas.openxmlformats.org/spreadsheetml/2006/main">
  <authors>
    <author>Usuario</author>
    <author>Carmen Elisa Ojeda Jurado</author>
    <author>tc={3524F132-6BDE-4F19-9CCC-5D5BABF4836E}</author>
    <author>Fredys Fernando Acevedo Pautt</author>
    <author>tc={3524F132-6BDE-4F24-9CCC-5D5BABF4836E}</author>
    <author>tc={3524F132-6BDE-4F2F-9CCC-5D5BABF4836E}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4"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comments/comment7.xml><?xml version="1.0" encoding="utf-8"?>
<comments xmlns="http://schemas.openxmlformats.org/spreadsheetml/2006/main">
  <authors>
    <author>Usuario</author>
    <author>Carmen Elisa Ojeda Jurado</author>
    <author>tc={3524F132-6BDE-4F1A-9CCC-5D5BABF4836E}</author>
    <author>Fredys Fernando Acevedo Pautt</author>
    <author>tc={3524F132-6BDE-4F25-9CCC-5D5BABF4836E}</author>
    <author>tc={3524F132-6BDE-4F30-9CCC-5D5BABF4836E}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4"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comments/comment8.xml><?xml version="1.0" encoding="utf-8"?>
<comments xmlns="http://schemas.openxmlformats.org/spreadsheetml/2006/main">
  <authors>
    <author>Usuario</author>
    <author>Carmen Elisa Ojeda Jurado</author>
    <author>tc={3524F132-6BDE-4F1B-9CCC-5D5BABF4836E}</author>
    <author>Fredys Fernando Acevedo Pautt</author>
    <author>tc={3524F132-6BDE-4F26-9CCC-5D5BABF4836E}</author>
    <author>tc={3524F132-6BDE-4F31-9CCC-5D5BABF4836E}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4"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comments/comment9.xml><?xml version="1.0" encoding="utf-8"?>
<comments xmlns="http://schemas.openxmlformats.org/spreadsheetml/2006/main">
  <authors>
    <author>Usuario</author>
    <author>Carmen Elisa Ojeda Jurado</author>
    <author>tc={3524F132-6BDE-4F1C-9CCC-5D5BABF4836E}</author>
    <author>Fredys Fernando Acevedo Pautt</author>
    <author>tc={3524F132-6BDE-4F27-9CCC-5D5BABF4836E}</author>
    <author>tc={3524F132-6BDE-4F32-9CCC-5D5BABF4836E}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4"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comments/comment10.xml><?xml version="1.0" encoding="utf-8"?>
<comments xmlns="http://schemas.openxmlformats.org/spreadsheetml/2006/main">
  <authors>
    <author>Usuario</author>
    <author>Carmen Elisa Ojeda Jurado</author>
    <author>tc={3524F132-6BDE-4F1D-9CCC-5D5BABF4836E}</author>
    <author>Fredys Fernando Acevedo Pautt</author>
    <author>tc={3524F132-6BDE-4F28-9CCC-5D5BABF4836E}</author>
    <author>tc={3524F132-6BDE-4F33-9CCC-5D5BABF4836E}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4"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comments/comment11.xml><?xml version="1.0" encoding="utf-8"?>
<comments xmlns="http://schemas.openxmlformats.org/spreadsheetml/2006/main">
  <authors>
    <author>Usuario</author>
    <author>Carmen Elisa Ojeda Jurado</author>
    <author>tc={3524F132-6BDE-4F1E-9CCC-5D5BABF4836E}</author>
    <author>Fredys Fernando Acevedo Pautt</author>
    <author>tc={3524F132-6BDE-4F29-9CCC-5D5BABF4836E}</author>
    <author>tc={3524F132-6BDE-4F34-9CCC-5D5BABF4836E}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4"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comments/comment12.xml><?xml version="1.0" encoding="utf-8"?>
<comments xmlns="http://schemas.openxmlformats.org/spreadsheetml/2006/main">
  <authors>
    <author>Usuario</author>
    <author>Carmen Elisa Ojeda Jurado</author>
    <author>tc={3524F132-6BDE-4F1F-9CCC-5D5BABF4836E}</author>
    <author>Fredys Fernando Acevedo Pautt</author>
    <author>tc={3524F132-6BDE-4F2A-9CCC-5D5BABF4836E}</author>
    <author>tc={3524F132-6BDE-4F35-9CCC-5D5BABF4836E}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4"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comments/comment13.xml><?xml version="1.0" encoding="utf-8"?>
<comments xmlns="http://schemas.openxmlformats.org/spreadsheetml/2006/main">
  <authors>
    <author>Usuario</author>
    <author>Carmen Elisa Ojeda Jurado</author>
    <author>tc={3524F132-6BDE-4F20-9CCC-5D5BABF4836E}</author>
    <author>Fredys Fernando Acevedo Pautt</author>
    <author>tc={3524F132-6BDE-4F2B-9CCC-5D5BABF4836E}</author>
    <author>tc={3524F132-6BDE-4F36-9CCC-5D5BABF4836E}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4"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drawings/_rels/drawing1.xml.rels><Relationships xmlns="http://schemas.openxmlformats.org/package/2006/relationships"><Relationship Type="http://schemas.openxmlformats.org/officeDocument/2006/relationships/image" Target="/xl/media/image1.png" Id="rId1"/></Relationships>
</file>

<file path=xl/drawings/_rels/drawing2.xml.rels><Relationships xmlns="http://schemas.openxmlformats.org/package/2006/relationships"><Relationship Type="http://schemas.openxmlformats.org/officeDocument/2006/relationships/image" Target="/xl/media/image2.jpeg" Id="rId1"/><Relationship Type="http://schemas.openxmlformats.org/officeDocument/2006/relationships/image" Target="/xl/media/image3.jpeg" Id="rId2"/><Relationship Type="http://schemas.openxmlformats.org/officeDocument/2006/relationships/image" Target="/xl/media/image4.jpeg" Id="rId3"/><Relationship Type="http://schemas.openxmlformats.org/officeDocument/2006/relationships/image" Target="/xl/media/image5.jpeg" Id="rId4"/></Relationships>
</file>

<file path=xl/drawings/_rels/drawing3.xml.rels><Relationships xmlns="http://schemas.openxmlformats.org/package/2006/relationships"><Relationship Type="http://schemas.openxmlformats.org/officeDocument/2006/relationships/image" Target="/xl/media/image6.jpeg" Id="rId1"/><Relationship Type="http://schemas.openxmlformats.org/officeDocument/2006/relationships/image" Target="/xl/media/image7.jpeg" Id="rId2"/><Relationship Type="http://schemas.openxmlformats.org/officeDocument/2006/relationships/image" Target="/xl/media/image8.jpeg" Id="rId3"/><Relationship Type="http://schemas.openxmlformats.org/officeDocument/2006/relationships/image" Target="/xl/media/image9.png" Id="rId4"/><Relationship Type="http://schemas.openxmlformats.org/officeDocument/2006/relationships/image" Target="/xl/media/image10.jpeg" Id="rId5"/><Relationship Type="http://schemas.openxmlformats.org/officeDocument/2006/relationships/image" Target="/xl/media/image11.gif" Id="rId6"/><Relationship Type="http://schemas.openxmlformats.org/officeDocument/2006/relationships/image" Target="/xl/media/image12.jpeg" Id="rId7"/><Relationship Type="http://schemas.openxmlformats.org/officeDocument/2006/relationships/image" Target="/xl/media/image13.jpeg" Id="rId8"/><Relationship Type="http://schemas.openxmlformats.org/officeDocument/2006/relationships/image" Target="/xl/media/image14.jpeg" Id="rId9"/><Relationship Type="http://schemas.openxmlformats.org/officeDocument/2006/relationships/image" Target="/xl/media/image15.png" Id="rId10"/><Relationship Type="http://schemas.openxmlformats.org/officeDocument/2006/relationships/image" Target="/xl/media/image16.png" Id="rId11"/><Relationship Type="http://schemas.openxmlformats.org/officeDocument/2006/relationships/image" Target="/xl/media/image17.png" Id="rId12"/></Relationships>
</file>

<file path=xl/drawings/_rels/drawing4.xml.rels><Relationships xmlns="http://schemas.openxmlformats.org/package/2006/relationships"><Relationship Type="http://schemas.openxmlformats.org/officeDocument/2006/relationships/image" Target="/xl/media/image18.jpeg" Id="rId1"/><Relationship Type="http://schemas.openxmlformats.org/officeDocument/2006/relationships/image" Target="/xl/media/image19.jpeg" Id="rId2"/></Relationships>
</file>

<file path=xl/drawings/_rels/drawing5.xml.rels><Relationships xmlns="http://schemas.openxmlformats.org/package/2006/relationships"><Relationship Type="http://schemas.openxmlformats.org/officeDocument/2006/relationships/image" Target="/xl/media/image20.jpeg" Id="rId1"/><Relationship Type="http://schemas.openxmlformats.org/officeDocument/2006/relationships/image" Target="/xl/media/image21.jpeg" Id="rId2"/></Relationships>
</file>

<file path=xl/drawings/_rels/drawing6.xml.rels><Relationships xmlns="http://schemas.openxmlformats.org/package/2006/relationships"><Relationship Type="http://schemas.openxmlformats.org/officeDocument/2006/relationships/image" Target="/xl/media/image22.jpeg" Id="rId1"/><Relationship Type="http://schemas.openxmlformats.org/officeDocument/2006/relationships/image" Target="/xl/media/image23.jpeg" Id="rId2"/></Relationships>
</file>

<file path=xl/drawings/_rels/drawing7.xml.rels><Relationships xmlns="http://schemas.openxmlformats.org/package/2006/relationships"><Relationship Type="http://schemas.openxmlformats.org/officeDocument/2006/relationships/image" Target="/xl/media/image24.jpeg" Id="rId1"/><Relationship Type="http://schemas.openxmlformats.org/officeDocument/2006/relationships/image" Target="/xl/media/image25.jpeg" Id="rId2"/></Relationships>
</file>

<file path=xl/drawings/_rels/drawing8.xml.rels><Relationships xmlns="http://schemas.openxmlformats.org/package/2006/relationships"><Relationship Type="http://schemas.openxmlformats.org/officeDocument/2006/relationships/image" Target="/xl/media/image26.jpeg" Id="rId1"/><Relationship Type="http://schemas.openxmlformats.org/officeDocument/2006/relationships/image" Target="/xl/media/image27.jpeg" Id="rId2"/></Relationships>
</file>

<file path=xl/drawings/_rels/drawing9.xml.rels><Relationships xmlns="http://schemas.openxmlformats.org/package/2006/relationships"><Relationship Type="http://schemas.openxmlformats.org/officeDocument/2006/relationships/image" Target="/xl/media/image28.jpeg" Id="rId1"/><Relationship Type="http://schemas.openxmlformats.org/officeDocument/2006/relationships/image" Target="/xl/media/image29.jpeg" Id="rId2"/></Relationships>
</file>

<file path=xl/drawings/_rels/drawing10.xml.rels><Relationships xmlns="http://schemas.openxmlformats.org/package/2006/relationships"><Relationship Type="http://schemas.openxmlformats.org/officeDocument/2006/relationships/image" Target="/xl/media/image30.jpeg" Id="rId1"/><Relationship Type="http://schemas.openxmlformats.org/officeDocument/2006/relationships/image" Target="/xl/media/image31.jpeg" Id="rId2"/></Relationships>
</file>

<file path=xl/drawings/_rels/drawing11.xml.rels><Relationships xmlns="http://schemas.openxmlformats.org/package/2006/relationships"><Relationship Type="http://schemas.openxmlformats.org/officeDocument/2006/relationships/image" Target="/xl/media/image32.jpeg" Id="rId1"/><Relationship Type="http://schemas.openxmlformats.org/officeDocument/2006/relationships/image" Target="/xl/media/image33.jpeg" Id="rId2"/></Relationships>
</file>

<file path=xl/drawings/_rels/drawing12.xml.rels><Relationships xmlns="http://schemas.openxmlformats.org/package/2006/relationships"><Relationship Type="http://schemas.openxmlformats.org/officeDocument/2006/relationships/image" Target="/xl/media/image34.jpeg" Id="rId1"/><Relationship Type="http://schemas.openxmlformats.org/officeDocument/2006/relationships/image" Target="/xl/media/image35.jpeg" Id="rId2"/></Relationships>
</file>

<file path=xl/drawings/_rels/drawing13.xml.rels><Relationships xmlns="http://schemas.openxmlformats.org/package/2006/relationships"><Relationship Type="http://schemas.openxmlformats.org/officeDocument/2006/relationships/image" Target="/xl/media/image36.jpeg" Id="rId1"/><Relationship Type="http://schemas.openxmlformats.org/officeDocument/2006/relationships/image" Target="/xl/media/image37.jpeg" Id="rId2"/></Relationships>
</file>

<file path=xl/drawings/_rels/drawing14.xml.rels><Relationships xmlns="http://schemas.openxmlformats.org/package/2006/relationships"><Relationship Type="http://schemas.openxmlformats.org/officeDocument/2006/relationships/image" Target="/xl/media/image38.jpeg" Id="rId1"/><Relationship Type="http://schemas.openxmlformats.org/officeDocument/2006/relationships/image" Target="/xl/media/image39.jpeg" Id="rId2"/></Relationships>
</file>

<file path=xl/drawings/_rels/drawing15.xml.rels><Relationships xmlns="http://schemas.openxmlformats.org/package/2006/relationships"><Relationship Type="http://schemas.openxmlformats.org/officeDocument/2006/relationships/image" Target="/xl/media/image40.jpeg" Id="rId1"/><Relationship Type="http://schemas.openxmlformats.org/officeDocument/2006/relationships/image" Target="/xl/media/image41.jpeg" Id="rId2"/></Relationships>
</file>

<file path=xl/drawings/drawing1.xml><?xml version="1.0" encoding="utf-8"?>
<wsDr xmlns="http://schemas.openxmlformats.org/drawingml/2006/spreadsheetDrawing">
  <twoCellAnchor editAs="oneCell">
    <from>
      <col>0</col>
      <colOff>448234</colOff>
      <row>1</row>
      <rowOff>9332</rowOff>
    </from>
    <to>
      <col>2</col>
      <colOff>630450</colOff>
      <row>4</row>
      <rowOff>0</rowOff>
    </to>
    <pic>
      <nvPicPr>
        <cNvPr id="2" name="Imagen 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448234" y="237932"/>
          <a:ext cx="3830291" cy="743143"/>
        </a:xfrm>
        <a:prstGeom xmlns:a="http://schemas.openxmlformats.org/drawingml/2006/main" prst="rect">
          <avLst/>
        </a:prstGeom>
        <a:ln xmlns:a="http://schemas.openxmlformats.org/drawingml/2006/main">
          <a:prstDash val="solid"/>
        </a:ln>
      </spPr>
    </pic>
    <clientData/>
  </twoCellAnchor>
</wsDr>
</file>

<file path=xl/drawings/drawing2.xml><?xml version="1.0" encoding="utf-8"?>
<wsDr xmlns="http://schemas.openxmlformats.org/drawingml/2006/spreadsheetDrawing">
  <twoCellAnchor editAs="oneCell">
    <from>
      <col>0</col>
      <colOff>113285</colOff>
      <row>0</row>
      <rowOff>52917</rowOff>
    </from>
    <to>
      <col>1</col>
      <colOff>295430</colOff>
      <row>3</row>
      <rowOff>169334</rowOff>
    </to>
    <pic>
      <nvPicPr>
        <cNvPr id="3" name="Imagen 2"/>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113285" y="52917"/>
          <a:ext cx="629820" cy="687917"/>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2</col>
      <colOff>4432299</colOff>
      <row>0</row>
      <rowOff>19050</rowOff>
    </from>
    <to>
      <col>2</col>
      <colOff>5075764</colOff>
      <row>3</row>
      <rowOff>160902</rowOff>
    </to>
    <pic>
      <nvPicPr>
        <cNvPr id="4" name="Imagen 3"/>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8108949" y="19050"/>
          <a:ext cx="643465" cy="713352"/>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0</col>
      <colOff>114300</colOff>
      <row>38</row>
      <rowOff>104775</rowOff>
    </from>
    <to>
      <col>1</col>
      <colOff>304112</colOff>
      <row>38</row>
      <rowOff>810944</rowOff>
    </to>
    <pic>
      <nvPicPr>
        <cNvPr id="5" name="Imagen 4"/>
        <cNvPicPr>
          <a:picLocks xmlns:a="http://schemas.openxmlformats.org/drawingml/2006/main" noChangeAspect="1" noChangeArrowheads="1"/>
        </cNvPicPr>
      </nvPicPr>
      <blipFill>
        <a:blip xmlns:a="http://schemas.openxmlformats.org/drawingml/2006/main" xmlns:r="http://schemas.openxmlformats.org/officeDocument/2006/relationships" cstate="print" r:embed="rId3"/>
        <a:srcRect xmlns:a="http://schemas.openxmlformats.org/drawingml/2006/main"/>
        <a:stretch xmlns:a="http://schemas.openxmlformats.org/drawingml/2006/main">
          <a:fillRect/>
        </a:stretch>
      </blipFill>
      <spPr bwMode="auto">
        <a:xfrm xmlns:a="http://schemas.openxmlformats.org/drawingml/2006/main">
          <a:off x="114300" y="9324975"/>
          <a:ext cx="637487" cy="706169"/>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2</col>
      <colOff>4438650</colOff>
      <row>38</row>
      <rowOff>66675</rowOff>
    </from>
    <to>
      <col>2</col>
      <colOff>5076137</colOff>
      <row>38</row>
      <rowOff>772844</rowOff>
    </to>
    <pic>
      <nvPicPr>
        <cNvPr id="6" name="Imagen 5"/>
        <cNvPicPr>
          <a:picLocks xmlns:a="http://schemas.openxmlformats.org/drawingml/2006/main" noChangeAspect="1" noChangeArrowheads="1"/>
        </cNvPicPr>
      </nvPicPr>
      <blipFill>
        <a:blip xmlns:a="http://schemas.openxmlformats.org/drawingml/2006/main" xmlns:r="http://schemas.openxmlformats.org/officeDocument/2006/relationships" cstate="print" r:embed="rId4"/>
        <a:srcRect xmlns:a="http://schemas.openxmlformats.org/drawingml/2006/main"/>
        <a:stretch xmlns:a="http://schemas.openxmlformats.org/drawingml/2006/main">
          <a:fillRect/>
        </a:stretch>
      </blipFill>
      <spPr bwMode="auto">
        <a:xfrm xmlns:a="http://schemas.openxmlformats.org/drawingml/2006/main">
          <a:off x="8115300" y="9286875"/>
          <a:ext cx="637487" cy="706169"/>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3.xml><?xml version="1.0" encoding="utf-8"?>
<wsDr xmlns="http://schemas.openxmlformats.org/drawingml/2006/spreadsheetDrawing">
  <twoCellAnchor editAs="oneCell">
    <from>
      <col>0</col>
      <colOff>107158</colOff>
      <row>0</row>
      <rowOff>19848</rowOff>
    </from>
    <to>
      <col>0</col>
      <colOff>857250</colOff>
      <row>1</row>
      <rowOff>1908</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107158" y="19848"/>
          <a:ext cx="750092" cy="829785"/>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0</col>
      <colOff>8805752</colOff>
      <row>0</row>
      <rowOff>0</rowOff>
    </from>
    <to>
      <col>0</col>
      <colOff>9574742</colOff>
      <row>1</row>
      <rowOff>998</rowOff>
    </to>
    <pic>
      <nvPicPr>
        <cNvPr id="3" name="Imagen 2"/>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8805752" y="0"/>
          <a:ext cx="765815" cy="848723"/>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0</col>
      <colOff>987425</colOff>
      <row>51</row>
      <rowOff>2076450</rowOff>
    </from>
    <to>
      <col>0</col>
      <colOff>6210300</colOff>
      <row>51</row>
      <rowOff>5076825</rowOff>
    </to>
    <pic>
      <nvPicPr>
        <cNvPr id="4" name="Imagen 3" descr="Habilitar macros en 365"/>
        <cNvPicPr>
          <a:picLocks xmlns:a="http://schemas.openxmlformats.org/drawingml/2006/main" noChangeAspect="1"/>
        </cNvPicPr>
      </nvPicPr>
      <blipFill>
        <a:blip xmlns:a="http://schemas.openxmlformats.org/drawingml/2006/main" xmlns:r="http://schemas.openxmlformats.org/officeDocument/2006/relationships" r:embed="rId3"/>
        <a:srcRect xmlns:a="http://schemas.openxmlformats.org/drawingml/2006/main"/>
        <a:stretch xmlns:a="http://schemas.openxmlformats.org/drawingml/2006/main">
          <a:fillRect/>
        </a:stretch>
      </blipFill>
      <spPr bwMode="auto">
        <a:xfrm xmlns:a="http://schemas.openxmlformats.org/drawingml/2006/main">
          <a:off x="987425" y="39338250"/>
          <a:ext cx="5222875" cy="3000375"/>
        </a:xfrm>
        <a:prstGeom xmlns:a="http://schemas.openxmlformats.org/drawingml/2006/main" prst="rect">
          <avLst/>
        </a:prstGeom>
        <a:noFill xmlns:a="http://schemas.openxmlformats.org/drawingml/2006/main"/>
        <a:ln xmlns:a="http://schemas.openxmlformats.org/drawingml/2006/main" w="12700">
          <a:solidFill>
            <a:schemeClr val="accent6">
              <a:lumMod val="75000"/>
            </a:schemeClr>
          </a:solidFill>
          <a:prstDash val="solid"/>
        </a:ln>
      </spPr>
    </pic>
    <clientData/>
  </twoCellAnchor>
  <twoCellAnchor editAs="oneCell">
    <from>
      <col>0</col>
      <colOff>95250</colOff>
      <row>52</row>
      <rowOff>885825</rowOff>
    </from>
    <to>
      <col>0</col>
      <colOff>6343650</colOff>
      <row>52</row>
      <rowOff>4848225</rowOff>
    </to>
    <pic>
      <nvPicPr>
        <cNvPr id="5" name="Imagen 4" descr="Habilitar Macros Excel 2007"/>
        <cNvPicPr>
          <a:picLocks xmlns:a="http://schemas.openxmlformats.org/drawingml/2006/main" noChangeAspect="1"/>
        </cNvPicPr>
      </nvPicPr>
      <blipFill>
        <a:blip xmlns:a="http://schemas.openxmlformats.org/drawingml/2006/main" xmlns:r="http://schemas.openxmlformats.org/officeDocument/2006/relationships" r:embed="rId4"/>
        <a:srcRect xmlns:a="http://schemas.openxmlformats.org/drawingml/2006/main"/>
        <a:stretch xmlns:a="http://schemas.openxmlformats.org/drawingml/2006/main">
          <a:fillRect/>
        </a:stretch>
      </blipFill>
      <spPr bwMode="auto">
        <a:xfrm xmlns:a="http://schemas.openxmlformats.org/drawingml/2006/main">
          <a:off x="95250" y="43348275"/>
          <a:ext cx="6248400" cy="3959225"/>
        </a:xfrm>
        <a:prstGeom xmlns:a="http://schemas.openxmlformats.org/drawingml/2006/main" prst="rect">
          <avLst/>
        </a:prstGeom>
        <a:noFill xmlns:a="http://schemas.openxmlformats.org/drawingml/2006/main"/>
        <a:ln xmlns:a="http://schemas.openxmlformats.org/drawingml/2006/main" w="12700">
          <a:solidFill>
            <a:schemeClr val="accent6">
              <a:lumMod val="75000"/>
            </a:schemeClr>
          </a:solidFill>
          <a:prstDash val="solid"/>
        </a:ln>
      </spPr>
    </pic>
    <clientData/>
  </twoCellAnchor>
  <twoCellAnchor editAs="oneCell">
    <from>
      <col>0</col>
      <colOff>69849</colOff>
      <row>53</row>
      <rowOff>635000</rowOff>
    </from>
    <to>
      <col>0</col>
      <colOff>6438899</colOff>
      <row>53</row>
      <rowOff>3124200</rowOff>
    </to>
    <pic>
      <nvPicPr>
        <cNvPr id="6" name="Imagen 5" descr="Habilitar macros excel 2010, 2013 y 2016"/>
        <cNvPicPr>
          <a:picLocks xmlns:a="http://schemas.openxmlformats.org/drawingml/2006/main" noChangeAspect="1"/>
        </cNvPicPr>
      </nvPicPr>
      <blipFill>
        <a:blip xmlns:a="http://schemas.openxmlformats.org/drawingml/2006/main" xmlns:r="http://schemas.openxmlformats.org/officeDocument/2006/relationships" r:embed="rId5"/>
        <a:srcRect xmlns:a="http://schemas.openxmlformats.org/drawingml/2006/main"/>
        <a:stretch xmlns:a="http://schemas.openxmlformats.org/drawingml/2006/main">
          <a:fillRect/>
        </a:stretch>
      </blipFill>
      <spPr bwMode="auto">
        <a:xfrm xmlns:a="http://schemas.openxmlformats.org/drawingml/2006/main">
          <a:off x="69849" y="48298100"/>
          <a:ext cx="6369050" cy="2489200"/>
        </a:xfrm>
        <a:prstGeom xmlns:a="http://schemas.openxmlformats.org/drawingml/2006/main" prst="rect">
          <avLst/>
        </a:prstGeom>
        <a:noFill xmlns:a="http://schemas.openxmlformats.org/drawingml/2006/main"/>
        <a:ln xmlns:a="http://schemas.openxmlformats.org/drawingml/2006/main" w="12700">
          <a:solidFill>
            <a:schemeClr val="accent6">
              <a:lumMod val="75000"/>
            </a:schemeClr>
          </a:solidFill>
          <a:prstDash val="solid"/>
        </a:ln>
      </spPr>
    </pic>
    <clientData/>
  </twoCellAnchor>
  <twoCellAnchor editAs="oneCell">
    <from>
      <col>0</col>
      <colOff>111124</colOff>
      <row>54</row>
      <rowOff>1358900</rowOff>
    </from>
    <to>
      <col>0</col>
      <colOff>6496049</colOff>
      <row>54</row>
      <rowOff>5003799</rowOff>
    </to>
    <pic>
      <nvPicPr>
        <cNvPr id="7" name="Imagen 6" descr="Excel 2003 Habilitar macros"/>
        <cNvPicPr>
          <a:picLocks xmlns:a="http://schemas.openxmlformats.org/drawingml/2006/main" noChangeAspect="1"/>
        </cNvPicPr>
      </nvPicPr>
      <blipFill>
        <a:blip xmlns:a="http://schemas.openxmlformats.org/drawingml/2006/main" xmlns:r="http://schemas.openxmlformats.org/officeDocument/2006/relationships" r:embed="rId6"/>
        <a:srcRect xmlns:a="http://schemas.openxmlformats.org/drawingml/2006/main"/>
        <a:stretch xmlns:a="http://schemas.openxmlformats.org/drawingml/2006/main">
          <a:fillRect/>
        </a:stretch>
      </blipFill>
      <spPr bwMode="auto">
        <a:xfrm xmlns:a="http://schemas.openxmlformats.org/drawingml/2006/main">
          <a:off x="111124" y="52012850"/>
          <a:ext cx="6384925" cy="3644899"/>
        </a:xfrm>
        <a:prstGeom xmlns:a="http://schemas.openxmlformats.org/drawingml/2006/main" prst="rect">
          <avLst/>
        </a:prstGeom>
        <a:noFill xmlns:a="http://schemas.openxmlformats.org/drawingml/2006/main"/>
        <a:ln xmlns:a="http://schemas.openxmlformats.org/drawingml/2006/main" w="12700">
          <a:solidFill>
            <a:schemeClr val="accent6">
              <a:lumMod val="75000"/>
            </a:schemeClr>
          </a:solidFill>
          <a:prstDash val="solid"/>
        </a:ln>
      </spPr>
    </pic>
    <clientData/>
  </twoCellAnchor>
  <twoCellAnchor editAs="oneCell">
    <from>
      <col>0</col>
      <colOff>95250</colOff>
      <row>55</row>
      <rowOff>657224</rowOff>
    </from>
    <to>
      <col>0</col>
      <colOff>6477000</colOff>
      <row>55</row>
      <rowOff>4533899</rowOff>
    </to>
    <pic>
      <nvPicPr>
        <cNvPr id="8" name="Imagen 7" descr="Habilitar macros excel 2007"/>
        <cNvPicPr>
          <a:picLocks xmlns:a="http://schemas.openxmlformats.org/drawingml/2006/main" noChangeAspect="1"/>
        </cNvPicPr>
      </nvPicPr>
      <blipFill>
        <a:blip xmlns:a="http://schemas.openxmlformats.org/drawingml/2006/main" xmlns:r="http://schemas.openxmlformats.org/officeDocument/2006/relationships" r:embed="rId7"/>
        <a:srcRect xmlns:a="http://schemas.openxmlformats.org/drawingml/2006/main"/>
        <a:stretch xmlns:a="http://schemas.openxmlformats.org/drawingml/2006/main">
          <a:fillRect/>
        </a:stretch>
      </blipFill>
      <spPr bwMode="auto">
        <a:xfrm xmlns:a="http://schemas.openxmlformats.org/drawingml/2006/main">
          <a:off x="95250" y="56511824"/>
          <a:ext cx="6381750" cy="3876675"/>
        </a:xfrm>
        <a:prstGeom xmlns:a="http://schemas.openxmlformats.org/drawingml/2006/main" prst="rect">
          <avLst/>
        </a:prstGeom>
        <a:noFill xmlns:a="http://schemas.openxmlformats.org/drawingml/2006/main"/>
        <a:ln xmlns:a="http://schemas.openxmlformats.org/drawingml/2006/main" w="12700">
          <a:solidFill>
            <a:schemeClr val="accent6">
              <a:lumMod val="75000"/>
            </a:schemeClr>
          </a:solidFill>
          <a:prstDash val="solid"/>
        </a:ln>
      </spPr>
    </pic>
    <clientData/>
  </twoCellAnchor>
  <twoCellAnchor editAs="oneCell">
    <from>
      <col>0</col>
      <colOff>123824</colOff>
      <row>56</row>
      <rowOff>219075</rowOff>
    </from>
    <to>
      <col>0</col>
      <colOff>6476999</colOff>
      <row>56</row>
      <rowOff>4789805</rowOff>
    </to>
    <pic>
      <nvPicPr>
        <cNvPr id="9" name="Imagen 8" descr="Habilitar macros en excel 2007"/>
        <cNvPicPr>
          <a:picLocks xmlns:a="http://schemas.openxmlformats.org/drawingml/2006/main" noChangeAspect="1"/>
        </cNvPicPr>
      </nvPicPr>
      <blipFill>
        <a:blip xmlns:a="http://schemas.openxmlformats.org/drawingml/2006/main" xmlns:r="http://schemas.openxmlformats.org/officeDocument/2006/relationships" r:embed="rId8"/>
        <a:srcRect xmlns:a="http://schemas.openxmlformats.org/drawingml/2006/main"/>
        <a:stretch xmlns:a="http://schemas.openxmlformats.org/drawingml/2006/main">
          <a:fillRect/>
        </a:stretch>
      </blipFill>
      <spPr bwMode="auto">
        <a:xfrm xmlns:a="http://schemas.openxmlformats.org/drawingml/2006/main">
          <a:off x="123824" y="60226575"/>
          <a:ext cx="6353175" cy="4573905"/>
        </a:xfrm>
        <a:prstGeom xmlns:a="http://schemas.openxmlformats.org/drawingml/2006/main" prst="rect">
          <avLst/>
        </a:prstGeom>
        <a:noFill xmlns:a="http://schemas.openxmlformats.org/drawingml/2006/main"/>
        <a:ln xmlns:a="http://schemas.openxmlformats.org/drawingml/2006/main" w="12700">
          <a:solidFill>
            <a:schemeClr val="accent6">
              <a:lumMod val="75000"/>
            </a:schemeClr>
          </a:solidFill>
          <a:prstDash val="solid"/>
        </a:ln>
      </spPr>
    </pic>
    <clientData/>
  </twoCellAnchor>
  <twoCellAnchor editAs="oneCell">
    <from>
      <col>0</col>
      <colOff>238124</colOff>
      <row>57</row>
      <rowOff>377825</rowOff>
    </from>
    <to>
      <col>0</col>
      <colOff>6451599</colOff>
      <row>57</row>
      <rowOff>4954905</rowOff>
    </to>
    <pic>
      <nvPicPr>
        <cNvPr id="10" name="Imagen 9" descr="Habilitar macros en excel 2007"/>
        <cNvPicPr>
          <a:picLocks xmlns:a="http://schemas.openxmlformats.org/drawingml/2006/main" noChangeAspect="1"/>
        </cNvPicPr>
      </nvPicPr>
      <blipFill>
        <a:blip xmlns:a="http://schemas.openxmlformats.org/drawingml/2006/main" xmlns:r="http://schemas.openxmlformats.org/officeDocument/2006/relationships" r:embed="rId9"/>
        <a:srcRect xmlns:a="http://schemas.openxmlformats.org/drawingml/2006/main"/>
        <a:stretch xmlns:a="http://schemas.openxmlformats.org/drawingml/2006/main">
          <a:fillRect/>
        </a:stretch>
      </blipFill>
      <spPr bwMode="auto">
        <a:xfrm xmlns:a="http://schemas.openxmlformats.org/drawingml/2006/main">
          <a:off x="238124" y="65020825"/>
          <a:ext cx="6207125" cy="4577080"/>
        </a:xfrm>
        <a:prstGeom xmlns:a="http://schemas.openxmlformats.org/drawingml/2006/main" prst="rect">
          <avLst/>
        </a:prstGeom>
        <a:noFill xmlns:a="http://schemas.openxmlformats.org/drawingml/2006/main"/>
        <a:ln xmlns:a="http://schemas.openxmlformats.org/drawingml/2006/main" w="12700">
          <a:solidFill>
            <a:schemeClr val="accent6">
              <a:lumMod val="75000"/>
            </a:schemeClr>
          </a:solidFill>
          <a:prstDash val="solid"/>
        </a:ln>
      </spPr>
    </pic>
    <clientData/>
  </twoCellAnchor>
  <twoCellAnchor editAs="oneCell">
    <from>
      <col>0</col>
      <colOff>133350</colOff>
      <row>59</row>
      <rowOff>454025</rowOff>
    </from>
    <to>
      <col>0</col>
      <colOff>6286500</colOff>
      <row>59</row>
      <rowOff>4197350</rowOff>
    </to>
    <pic>
      <nvPicPr>
        <cNvPr id="11" name="Imagen 10" descr="Habilitar macros en excel 2010, 2013 y 2016"/>
        <cNvPicPr>
          <a:picLocks xmlns:a="http://schemas.openxmlformats.org/drawingml/2006/main" noChangeAspect="1"/>
        </cNvPicPr>
      </nvPicPr>
      <blipFill>
        <a:blip xmlns:a="http://schemas.openxmlformats.org/drawingml/2006/main" xmlns:r="http://schemas.openxmlformats.org/officeDocument/2006/relationships" r:embed="rId10"/>
        <a:srcRect xmlns:a="http://schemas.openxmlformats.org/drawingml/2006/main"/>
        <a:stretch xmlns:a="http://schemas.openxmlformats.org/drawingml/2006/main">
          <a:fillRect/>
        </a:stretch>
      </blipFill>
      <spPr bwMode="auto">
        <a:xfrm xmlns:a="http://schemas.openxmlformats.org/drawingml/2006/main">
          <a:off x="133350" y="70672325"/>
          <a:ext cx="6153150" cy="3746500"/>
        </a:xfrm>
        <a:prstGeom xmlns:a="http://schemas.openxmlformats.org/drawingml/2006/main" prst="rect">
          <avLst/>
        </a:prstGeom>
        <a:noFill xmlns:a="http://schemas.openxmlformats.org/drawingml/2006/main"/>
        <a:ln xmlns:a="http://schemas.openxmlformats.org/drawingml/2006/main" w="12700">
          <a:solidFill>
            <a:schemeClr val="accent6">
              <a:lumMod val="75000"/>
            </a:schemeClr>
          </a:solidFill>
          <a:prstDash val="solid"/>
        </a:ln>
      </spPr>
    </pic>
    <clientData/>
  </twoCellAnchor>
  <twoCellAnchor editAs="oneCell">
    <from>
      <col>0</col>
      <colOff>0</colOff>
      <row>60</row>
      <rowOff>257175</rowOff>
    </from>
    <to>
      <col>0</col>
      <colOff>6238874</colOff>
      <row>60</row>
      <rowOff>3859530</rowOff>
    </to>
    <pic>
      <nvPicPr>
        <cNvPr id="12" name="Imagen 11" descr="Habilitar macros en excel 2010, 2013 y 2016"/>
        <cNvPicPr>
          <a:picLocks xmlns:a="http://schemas.openxmlformats.org/drawingml/2006/main" noChangeAspect="1"/>
        </cNvPicPr>
      </nvPicPr>
      <blipFill>
        <a:blip xmlns:a="http://schemas.openxmlformats.org/drawingml/2006/main" xmlns:r="http://schemas.openxmlformats.org/officeDocument/2006/relationships" r:embed="rId11"/>
        <a:srcRect xmlns:a="http://schemas.openxmlformats.org/drawingml/2006/main"/>
        <a:stretch xmlns:a="http://schemas.openxmlformats.org/drawingml/2006/main">
          <a:fillRect/>
        </a:stretch>
      </blipFill>
      <spPr bwMode="auto">
        <a:xfrm xmlns:a="http://schemas.openxmlformats.org/drawingml/2006/main">
          <a:off x="0" y="74472800"/>
          <a:ext cx="6238874" cy="3602355"/>
        </a:xfrm>
        <a:prstGeom xmlns:a="http://schemas.openxmlformats.org/drawingml/2006/main" prst="rect">
          <avLst/>
        </a:prstGeom>
        <a:noFill xmlns:a="http://schemas.openxmlformats.org/drawingml/2006/main"/>
        <a:ln xmlns:a="http://schemas.openxmlformats.org/drawingml/2006/main" w="12700">
          <a:solidFill>
            <a:schemeClr val="accent6">
              <a:lumMod val="75000"/>
            </a:schemeClr>
          </a:solidFill>
          <a:prstDash val="solid"/>
        </a:ln>
      </spPr>
    </pic>
    <clientData/>
  </twoCellAnchor>
  <twoCellAnchor editAs="oneCell">
    <from>
      <col>0</col>
      <colOff>63500</colOff>
      <row>61</row>
      <rowOff>285750</rowOff>
    </from>
    <to>
      <col>0</col>
      <colOff>6210300</colOff>
      <row>61</row>
      <rowOff>3773170</rowOff>
    </to>
    <pic>
      <nvPicPr>
        <cNvPr id="13" name="Imagen 12" descr="Habilitar macros en excel 2010, 2013 y 2016"/>
        <cNvPicPr>
          <a:picLocks xmlns:a="http://schemas.openxmlformats.org/drawingml/2006/main" noChangeAspect="1"/>
        </cNvPicPr>
      </nvPicPr>
      <blipFill rotWithShape="1">
        <a:blip xmlns:a="http://schemas.openxmlformats.org/drawingml/2006/main" xmlns:r="http://schemas.openxmlformats.org/officeDocument/2006/relationships" r:embed="rId12"/>
        <a:srcRect xmlns:a="http://schemas.openxmlformats.org/drawingml/2006/main" r="6473"/>
        <a:stretch xmlns:a="http://schemas.openxmlformats.org/drawingml/2006/main">
          <a:fillRect/>
        </a:stretch>
      </blipFill>
      <spPr bwMode="auto">
        <a:xfrm xmlns:a="http://schemas.openxmlformats.org/drawingml/2006/main">
          <a:off x="63500" y="78809850"/>
          <a:ext cx="6146800" cy="3487420"/>
        </a:xfrm>
        <a:prstGeom xmlns:a="http://schemas.openxmlformats.org/drawingml/2006/main" prst="rect">
          <avLst/>
        </a:prstGeom>
        <a:noFill xmlns:a="http://schemas.openxmlformats.org/drawingml/2006/main"/>
        <a:ln xmlns:a="http://schemas.openxmlformats.org/drawingml/2006/main" w="12700">
          <a:solidFill>
            <a:schemeClr val="accent6">
              <a:lumMod val="75000"/>
            </a:schemeClr>
          </a:solidFill>
          <a:prstDash val="solid"/>
        </a:ln>
      </spPr>
    </pic>
    <clientData/>
  </twoCellAnchor>
</wsDr>
</file>

<file path=xl/drawings/drawing4.xml><?xml version="1.0" encoding="utf-8"?>
<wsDr xmlns="http://schemas.openxmlformats.org/drawingml/2006/spreadsheetDrawing">
  <twoCellAnchor editAs="oneCell">
    <from>
      <col>0</col>
      <colOff>231322</colOff>
      <row>1</row>
      <rowOff>54429</rowOff>
    </from>
    <to>
      <col>1</col>
      <colOff>942572</colOff>
      <row>6</row>
      <rowOff>130517</rowOff>
    </to>
    <pic>
      <nvPicPr>
        <cNvPr id="6" name="Imagen 5"/>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2143"/>
          <a:ext cx="128910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2" name="Imagen 1"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69573"/>
          <a:ext cx="583024" cy="598713"/>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5.xml><?xml version="1.0" encoding="utf-8"?>
<wsDr xmlns="http://schemas.openxmlformats.org/drawingml/2006/spreadsheetDrawing">
  <twoCellAnchor editAs="oneCell">
    <from>
      <col>0</col>
      <colOff>231322</colOff>
      <row>1</row>
      <rowOff>54429</rowOff>
    </from>
    <to>
      <col>1</col>
      <colOff>942572</colOff>
      <row>6</row>
      <rowOff>130517</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3504"/>
          <a:ext cx="128275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3" name="Imagen 2"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76377"/>
          <a:ext cx="583024" cy="594630"/>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6.xml><?xml version="1.0" encoding="utf-8"?>
<wsDr xmlns="http://schemas.openxmlformats.org/drawingml/2006/spreadsheetDrawing">
  <twoCellAnchor editAs="oneCell">
    <from>
      <col>0</col>
      <colOff>231322</colOff>
      <row>1</row>
      <rowOff>54429</rowOff>
    </from>
    <to>
      <col>1</col>
      <colOff>942572</colOff>
      <row>6</row>
      <rowOff>130517</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3504"/>
          <a:ext cx="128275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3" name="Imagen 2"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76377"/>
          <a:ext cx="583024" cy="594630"/>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7.xml><?xml version="1.0" encoding="utf-8"?>
<wsDr xmlns="http://schemas.openxmlformats.org/drawingml/2006/spreadsheetDrawing">
  <twoCellAnchor editAs="oneCell">
    <from>
      <col>0</col>
      <colOff>231322</colOff>
      <row>1</row>
      <rowOff>54429</rowOff>
    </from>
    <to>
      <col>1</col>
      <colOff>942572</colOff>
      <row>6</row>
      <rowOff>130517</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3504"/>
          <a:ext cx="128275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3" name="Imagen 2"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76377"/>
          <a:ext cx="583024" cy="594630"/>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8.xml><?xml version="1.0" encoding="utf-8"?>
<wsDr xmlns="http://schemas.openxmlformats.org/drawingml/2006/spreadsheetDrawing">
  <twoCellAnchor editAs="oneCell">
    <from>
      <col>0</col>
      <colOff>231322</colOff>
      <row>1</row>
      <rowOff>54429</rowOff>
    </from>
    <to>
      <col>1</col>
      <colOff>942572</colOff>
      <row>6</row>
      <rowOff>130517</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3504"/>
          <a:ext cx="128275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3" name="Imagen 2"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76377"/>
          <a:ext cx="583024" cy="594630"/>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9.xml><?xml version="1.0" encoding="utf-8"?>
<wsDr xmlns="http://schemas.openxmlformats.org/drawingml/2006/spreadsheetDrawing">
  <twoCellAnchor editAs="oneCell">
    <from>
      <col>0</col>
      <colOff>231322</colOff>
      <row>1</row>
      <rowOff>54429</rowOff>
    </from>
    <to>
      <col>1</col>
      <colOff>942572</colOff>
      <row>6</row>
      <rowOff>130517</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3504"/>
          <a:ext cx="128275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3" name="Imagen 2"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76377"/>
          <a:ext cx="583024" cy="594630"/>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10.xml><?xml version="1.0" encoding="utf-8"?>
<wsDr xmlns="http://schemas.openxmlformats.org/drawingml/2006/spreadsheetDrawing">
  <twoCellAnchor editAs="oneCell">
    <from>
      <col>0</col>
      <colOff>231322</colOff>
      <row>1</row>
      <rowOff>54429</rowOff>
    </from>
    <to>
      <col>1</col>
      <colOff>942572</colOff>
      <row>6</row>
      <rowOff>130517</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3504"/>
          <a:ext cx="128275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3" name="Imagen 2"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76377"/>
          <a:ext cx="583024" cy="594630"/>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11.xml><?xml version="1.0" encoding="utf-8"?>
<wsDr xmlns="http://schemas.openxmlformats.org/drawingml/2006/spreadsheetDrawing">
  <twoCellAnchor editAs="oneCell">
    <from>
      <col>0</col>
      <colOff>231322</colOff>
      <row>1</row>
      <rowOff>54429</rowOff>
    </from>
    <to>
      <col>1</col>
      <colOff>942572</colOff>
      <row>6</row>
      <rowOff>130517</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3504"/>
          <a:ext cx="128275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3" name="Imagen 2"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76377"/>
          <a:ext cx="583024" cy="594630"/>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12.xml><?xml version="1.0" encoding="utf-8"?>
<wsDr xmlns="http://schemas.openxmlformats.org/drawingml/2006/spreadsheetDrawing">
  <twoCellAnchor editAs="oneCell">
    <from>
      <col>0</col>
      <colOff>231322</colOff>
      <row>1</row>
      <rowOff>54429</rowOff>
    </from>
    <to>
      <col>1</col>
      <colOff>942572</colOff>
      <row>6</row>
      <rowOff>130517</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3504"/>
          <a:ext cx="128275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3" name="Imagen 2"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76377"/>
          <a:ext cx="583024" cy="594630"/>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13.xml><?xml version="1.0" encoding="utf-8"?>
<wsDr xmlns="http://schemas.openxmlformats.org/drawingml/2006/spreadsheetDrawing">
  <twoCellAnchor editAs="oneCell">
    <from>
      <col>0</col>
      <colOff>231322</colOff>
      <row>1</row>
      <rowOff>54429</rowOff>
    </from>
    <to>
      <col>1</col>
      <colOff>942572</colOff>
      <row>6</row>
      <rowOff>130517</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3504"/>
          <a:ext cx="128275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3" name="Imagen 2"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76377"/>
          <a:ext cx="583024" cy="594630"/>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14.xml><?xml version="1.0" encoding="utf-8"?>
<wsDr xmlns="http://schemas.openxmlformats.org/drawingml/2006/spreadsheetDrawing">
  <twoCellAnchor editAs="oneCell">
    <from>
      <col>0</col>
      <colOff>231322</colOff>
      <row>1</row>
      <rowOff>54429</rowOff>
    </from>
    <to>
      <col>1</col>
      <colOff>942572</colOff>
      <row>6</row>
      <rowOff>130517</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3504"/>
          <a:ext cx="128275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3" name="Imagen 2"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76377"/>
          <a:ext cx="583024" cy="594630"/>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15.xml><?xml version="1.0" encoding="utf-8"?>
<wsDr xmlns="http://schemas.openxmlformats.org/drawingml/2006/spreadsheetDrawing">
  <twoCellAnchor editAs="oneCell">
    <from>
      <col>0</col>
      <colOff>231322</colOff>
      <row>1</row>
      <rowOff>54429</rowOff>
    </from>
    <to>
      <col>1</col>
      <colOff>942572</colOff>
      <row>6</row>
      <rowOff>130517</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3504"/>
          <a:ext cx="128275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3" name="Imagen 2"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76377"/>
          <a:ext cx="583024" cy="594630"/>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file:///H:\CPS_222_2024_310124\08.%20Requerimientos_Info_PAI\020224_Req_Formato_MB_Ajustado_2024\ERDIDAS.xlsx" TargetMode="External" Id="rId1"/></Relationships>
</file>

<file path=xl/externalLinks/_rels/externalLink2.xml.rels><Relationships xmlns="http://schemas.openxmlformats.org/package/2006/relationships"><Relationship Type="http://schemas.openxmlformats.org/officeDocument/2006/relationships/externalLinkPath" Target="../../../../../../../../farit.romero/Documents/Libro8.xlsx" TargetMode="External" Id="rId3"/></Relationships>
</file>

<file path=xl/externalLinks/externalLink1.xml><?xml version="1.0" encoding="utf-8"?>
<externalLink xmlns="http://schemas.openxmlformats.org/spreadsheetml/2006/main">
  <externalBook xmlns:r="http://schemas.openxmlformats.org/officeDocument/2006/relationships" r:id="rId1">
    <sheetNames>
      <sheetName val="Hoja1"/>
    </sheetNames>
    <sheetDataSet>
      <sheetData sheetId="0" refreshError="1">
        <row r="3">
          <cell r="C3">
            <v>1</v>
          </cell>
        </row>
        <row r="4">
          <cell r="C4">
            <v>2</v>
          </cell>
        </row>
        <row r="5">
          <cell r="C5">
            <v>3</v>
          </cell>
        </row>
        <row r="6">
          <cell r="C6">
            <v>4</v>
          </cell>
        </row>
        <row r="7">
          <cell r="C7">
            <v>5</v>
          </cell>
        </row>
        <row r="8">
          <cell r="C8">
            <v>6</v>
          </cell>
        </row>
        <row r="9">
          <cell r="C9">
            <v>7</v>
          </cell>
        </row>
        <row r="10">
          <cell r="C10">
            <v>8</v>
          </cell>
        </row>
        <row r="11">
          <cell r="C11">
            <v>9</v>
          </cell>
        </row>
        <row r="12">
          <cell r="C12">
            <v>10</v>
          </cell>
        </row>
      </sheetData>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Hoja2"/>
      <sheetName val="Municipios"/>
      <sheetName val="Hoja1"/>
    </sheetNames>
    <sheetDataSet>
      <sheetData sheetId="0">
        <row r="1">
          <cell r="A1">
            <v>1</v>
          </cell>
          <cell r="B1">
            <v>2</v>
          </cell>
          <cell r="C1">
            <v>3</v>
          </cell>
          <cell r="D1">
            <v>4</v>
          </cell>
          <cell r="E1">
            <v>5</v>
          </cell>
          <cell r="F1">
            <v>6</v>
          </cell>
          <cell r="G1">
            <v>7</v>
          </cell>
          <cell r="H1">
            <v>8</v>
          </cell>
          <cell r="I1">
            <v>9</v>
          </cell>
          <cell r="J1">
            <v>10</v>
          </cell>
          <cell r="K1">
            <v>11</v>
          </cell>
          <cell r="L1">
            <v>12</v>
          </cell>
          <cell r="M1">
            <v>13</v>
          </cell>
          <cell r="N1">
            <v>14</v>
          </cell>
          <cell r="O1">
            <v>15</v>
          </cell>
          <cell r="P1">
            <v>16</v>
          </cell>
          <cell r="Q1">
            <v>17</v>
          </cell>
          <cell r="R1">
            <v>18</v>
          </cell>
          <cell r="S1">
            <v>19</v>
          </cell>
          <cell r="T1">
            <v>20</v>
          </cell>
          <cell r="U1">
            <v>21</v>
          </cell>
        </row>
        <row r="3">
          <cell r="A3" t="str">
            <v>Etiquetas de fila</v>
          </cell>
          <cell r="B3" t="str">
            <v>Suma de DOSIS APLICADAS</v>
          </cell>
          <cell r="C3" t="str">
            <v>Suma de DOSIS APLICADAS EXTRANJEROS</v>
          </cell>
          <cell r="D3" t="str">
            <v>Suma de TOTAL DOSIS APLICADAS</v>
          </cell>
          <cell r="E3" t="str">
            <v>Suma de DOSIS PERDIDAS</v>
          </cell>
          <cell r="F3" t="str">
            <v>Suma de TOTAL DOSIS ÚTILIZADAS EN EL MES</v>
          </cell>
          <cell r="G3" t="str">
            <v>Suma de INSTITUCIONAL</v>
          </cell>
          <cell r="H3" t="str">
            <v>Suma de EXTRAMURAL</v>
          </cell>
          <cell r="I3" t="str">
            <v>Suma de TOTAL</v>
          </cell>
          <cell r="J3" t="str">
            <v>Suma de INTERRUPCIÓN DE CADENA DE FRÍO</v>
          </cell>
          <cell r="K3" t="str">
            <v>Suma de CONTAMINACION DEL BIOLÓGICO/DISPOSITIVO MÉDICO</v>
          </cell>
          <cell r="L3" t="str">
            <v>Suma de VIAL ROTO</v>
          </cell>
          <cell r="M3" t="str">
            <v>Suma de ERRORES EN LA MANIPULACIÓN</v>
          </cell>
          <cell r="N3" t="str">
            <v>Suma de VENCIMIENTO DEL BIOLÓGICO O JERINGA</v>
          </cell>
          <cell r="O3" t="str">
            <v>Suma de FARMACOVIGILANCIA / TECNOVIGILANCIA</v>
          </cell>
          <cell r="P3" t="str">
            <v>Suma de VOMITO FRANCO</v>
          </cell>
          <cell r="Q3" t="str">
            <v>Suma de APLICACIÓN FUERA DE LA EDAD</v>
          </cell>
          <cell r="R3" t="str">
            <v>Suma de POR DECISIÓN FINAL DEL PACIENTE DE NO VACUNACIÓN</v>
          </cell>
          <cell r="S3" t="str">
            <v>Suma de SINIESTRO O ROBO</v>
          </cell>
          <cell r="T3" t="str">
            <v xml:space="preserve">Suma de TOTAL DOSIS PERDIDAS        </v>
          </cell>
          <cell r="U3" t="str">
            <v>Suma de Otro Covid</v>
          </cell>
        </row>
        <row r="4">
          <cell r="A4" t="str">
            <v>Carne/certificado internacional de vacunación</v>
          </cell>
          <cell r="B4">
            <v>411</v>
          </cell>
          <cell r="C4">
            <v>2</v>
          </cell>
          <cell r="D4">
            <v>413</v>
          </cell>
          <cell r="E4">
            <v>0</v>
          </cell>
          <cell r="F4">
            <v>413</v>
          </cell>
          <cell r="G4">
            <v>0</v>
          </cell>
          <cell r="H4">
            <v>0</v>
          </cell>
          <cell r="I4">
            <v>0</v>
          </cell>
          <cell r="J4">
            <v>0</v>
          </cell>
          <cell r="K4">
            <v>0</v>
          </cell>
          <cell r="L4">
            <v>0</v>
          </cell>
          <cell r="M4">
            <v>0</v>
          </cell>
          <cell r="N4">
            <v>0</v>
          </cell>
          <cell r="O4">
            <v>0</v>
          </cell>
          <cell r="P4">
            <v>0</v>
          </cell>
          <cell r="Q4">
            <v>0</v>
          </cell>
          <cell r="R4">
            <v>0</v>
          </cell>
          <cell r="S4">
            <v>0</v>
          </cell>
          <cell r="T4">
            <v>0</v>
          </cell>
        </row>
        <row r="5">
          <cell r="A5" t="str">
            <v>Carnet de vacunación adultos</v>
          </cell>
          <cell r="B5">
            <v>3064</v>
          </cell>
          <cell r="C5">
            <v>0</v>
          </cell>
          <cell r="D5">
            <v>3064</v>
          </cell>
          <cell r="E5">
            <v>0</v>
          </cell>
          <cell r="F5">
            <v>3064</v>
          </cell>
          <cell r="G5">
            <v>0</v>
          </cell>
          <cell r="H5">
            <v>0</v>
          </cell>
          <cell r="I5">
            <v>0</v>
          </cell>
          <cell r="J5">
            <v>0</v>
          </cell>
          <cell r="K5">
            <v>0</v>
          </cell>
          <cell r="L5">
            <v>0</v>
          </cell>
          <cell r="M5">
            <v>0</v>
          </cell>
          <cell r="N5">
            <v>0</v>
          </cell>
          <cell r="O5">
            <v>0</v>
          </cell>
          <cell r="P5">
            <v>0</v>
          </cell>
          <cell r="Q5">
            <v>0</v>
          </cell>
          <cell r="R5">
            <v>0</v>
          </cell>
          <cell r="S5">
            <v>0</v>
          </cell>
          <cell r="T5">
            <v>0</v>
          </cell>
        </row>
        <row r="6">
          <cell r="A6" t="str">
            <v>Carnet de vacunación infantil</v>
          </cell>
          <cell r="B6">
            <v>817</v>
          </cell>
          <cell r="C6">
            <v>19</v>
          </cell>
          <cell r="D6">
            <v>836</v>
          </cell>
          <cell r="E6">
            <v>1</v>
          </cell>
          <cell r="F6">
            <v>837</v>
          </cell>
          <cell r="G6">
            <v>1</v>
          </cell>
          <cell r="H6">
            <v>0</v>
          </cell>
          <cell r="I6">
            <v>1</v>
          </cell>
          <cell r="J6">
            <v>0</v>
          </cell>
          <cell r="K6">
            <v>0</v>
          </cell>
          <cell r="L6">
            <v>0</v>
          </cell>
          <cell r="M6">
            <v>0</v>
          </cell>
          <cell r="N6">
            <v>0</v>
          </cell>
          <cell r="O6">
            <v>0</v>
          </cell>
          <cell r="P6">
            <v>0</v>
          </cell>
          <cell r="Q6">
            <v>0</v>
          </cell>
          <cell r="R6">
            <v>0</v>
          </cell>
          <cell r="S6">
            <v>0</v>
          </cell>
          <cell r="T6">
            <v>1</v>
          </cell>
        </row>
        <row r="7">
          <cell r="A7" t="str">
            <v>Carnet/Certificado de vacunación (Covid-19)</v>
          </cell>
          <cell r="B7">
            <v>6</v>
          </cell>
          <cell r="C7">
            <v>0</v>
          </cell>
          <cell r="D7">
            <v>6</v>
          </cell>
          <cell r="E7">
            <v>0</v>
          </cell>
          <cell r="F7">
            <v>6</v>
          </cell>
          <cell r="G7">
            <v>0</v>
          </cell>
          <cell r="H7">
            <v>0</v>
          </cell>
          <cell r="I7">
            <v>0</v>
          </cell>
          <cell r="J7">
            <v>0</v>
          </cell>
          <cell r="K7">
            <v>0</v>
          </cell>
          <cell r="L7">
            <v>0</v>
          </cell>
          <cell r="M7">
            <v>0</v>
          </cell>
          <cell r="N7">
            <v>0</v>
          </cell>
          <cell r="O7">
            <v>0</v>
          </cell>
          <cell r="P7">
            <v>0</v>
          </cell>
          <cell r="Q7">
            <v>0</v>
          </cell>
          <cell r="R7">
            <v>0</v>
          </cell>
          <cell r="S7">
            <v>0</v>
          </cell>
          <cell r="T7">
            <v>0</v>
          </cell>
        </row>
        <row r="8">
          <cell r="A8" t="str">
            <v>COVID-19</v>
          </cell>
          <cell r="B8">
            <v>6</v>
          </cell>
          <cell r="C8">
            <v>0</v>
          </cell>
          <cell r="D8">
            <v>6</v>
          </cell>
          <cell r="E8">
            <v>18</v>
          </cell>
          <cell r="F8">
            <v>24</v>
          </cell>
          <cell r="G8">
            <v>30</v>
          </cell>
          <cell r="H8">
            <v>0</v>
          </cell>
          <cell r="I8">
            <v>0</v>
          </cell>
          <cell r="J8">
            <v>24</v>
          </cell>
          <cell r="K8">
            <v>36</v>
          </cell>
          <cell r="L8">
            <v>48</v>
          </cell>
          <cell r="M8">
            <v>60</v>
          </cell>
          <cell r="N8">
            <v>72</v>
          </cell>
          <cell r="O8">
            <v>84</v>
          </cell>
          <cell r="P8">
            <v>96</v>
          </cell>
          <cell r="Q8">
            <v>108</v>
          </cell>
          <cell r="R8">
            <v>120</v>
          </cell>
          <cell r="S8">
            <v>132</v>
          </cell>
          <cell r="T8">
            <v>0</v>
          </cell>
          <cell r="U8">
            <v>0</v>
          </cell>
        </row>
        <row r="9">
          <cell r="A9" t="str">
            <v>Ddiluyente de Vacuna de Sarampión Rubeola (SR) Liofilizada - Vial x 01 dosis -DOBLE VIRAL</v>
          </cell>
          <cell r="B9">
            <v>1053</v>
          </cell>
          <cell r="C9">
            <v>8</v>
          </cell>
          <cell r="D9">
            <v>1061</v>
          </cell>
          <cell r="E9">
            <v>79</v>
          </cell>
          <cell r="F9">
            <v>1140</v>
          </cell>
          <cell r="G9">
            <v>79</v>
          </cell>
          <cell r="H9">
            <v>0</v>
          </cell>
          <cell r="I9">
            <v>79</v>
          </cell>
          <cell r="J9">
            <v>0</v>
          </cell>
          <cell r="K9">
            <v>0</v>
          </cell>
          <cell r="L9">
            <v>0</v>
          </cell>
          <cell r="M9">
            <v>0</v>
          </cell>
          <cell r="N9">
            <v>0</v>
          </cell>
          <cell r="O9">
            <v>0</v>
          </cell>
          <cell r="P9">
            <v>0</v>
          </cell>
          <cell r="Q9">
            <v>0</v>
          </cell>
          <cell r="R9">
            <v>0</v>
          </cell>
          <cell r="S9">
            <v>0</v>
          </cell>
          <cell r="T9">
            <v>79</v>
          </cell>
        </row>
        <row r="10">
          <cell r="A10" t="str">
            <v>Diluyente de Vacuna Antirrábica Humana de Células Vero (vacuna IM)</v>
          </cell>
          <cell r="B10">
            <v>349</v>
          </cell>
          <cell r="C10">
            <v>11</v>
          </cell>
          <cell r="D10">
            <v>360</v>
          </cell>
          <cell r="E10">
            <v>2</v>
          </cell>
          <cell r="F10">
            <v>362</v>
          </cell>
          <cell r="G10">
            <v>0</v>
          </cell>
          <cell r="H10">
            <v>0</v>
          </cell>
          <cell r="I10">
            <v>0</v>
          </cell>
          <cell r="J10">
            <v>0</v>
          </cell>
          <cell r="K10">
            <v>0</v>
          </cell>
          <cell r="L10">
            <v>2</v>
          </cell>
          <cell r="M10">
            <v>0</v>
          </cell>
          <cell r="N10">
            <v>0</v>
          </cell>
          <cell r="O10">
            <v>0</v>
          </cell>
          <cell r="P10">
            <v>0</v>
          </cell>
          <cell r="Q10">
            <v>0</v>
          </cell>
          <cell r="R10">
            <v>0</v>
          </cell>
          <cell r="S10">
            <v>0</v>
          </cell>
          <cell r="T10">
            <v>2</v>
          </cell>
        </row>
        <row r="11">
          <cell r="A11" t="str">
            <v>Diluyente de Vacuna contra el Dengue Cuadrivalente - Liofilizada</v>
          </cell>
          <cell r="B11">
            <v>0</v>
          </cell>
          <cell r="C11">
            <v>0</v>
          </cell>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row>
        <row r="12">
          <cell r="A12" t="str">
            <v>Diluyente de Vacuna de BCG (Bacilo de Calmette y Guérin) Liofilizada</v>
          </cell>
          <cell r="B12">
            <v>619</v>
          </cell>
          <cell r="C12">
            <v>22</v>
          </cell>
          <cell r="D12">
            <v>641</v>
          </cell>
          <cell r="E12">
            <v>733</v>
          </cell>
          <cell r="F12">
            <v>1374</v>
          </cell>
          <cell r="G12">
            <v>581</v>
          </cell>
          <cell r="H12">
            <v>152</v>
          </cell>
          <cell r="I12">
            <v>733</v>
          </cell>
          <cell r="J12">
            <v>0</v>
          </cell>
          <cell r="K12">
            <v>0</v>
          </cell>
          <cell r="L12">
            <v>0</v>
          </cell>
          <cell r="M12">
            <v>0</v>
          </cell>
          <cell r="N12">
            <v>0</v>
          </cell>
          <cell r="O12">
            <v>0</v>
          </cell>
          <cell r="P12">
            <v>0</v>
          </cell>
          <cell r="Q12">
            <v>0</v>
          </cell>
          <cell r="R12">
            <v>0</v>
          </cell>
          <cell r="S12">
            <v>0</v>
          </cell>
          <cell r="T12">
            <v>733</v>
          </cell>
        </row>
        <row r="13">
          <cell r="A13" t="str">
            <v>Diluyente de Vacuna de Fiebre Amarilla (Antiamarilica) Liofilizada</v>
          </cell>
          <cell r="B13">
            <v>2783</v>
          </cell>
          <cell r="C13">
            <v>33</v>
          </cell>
          <cell r="D13">
            <v>2816</v>
          </cell>
          <cell r="E13">
            <v>3530</v>
          </cell>
          <cell r="F13">
            <v>6346</v>
          </cell>
          <cell r="G13">
            <v>2465</v>
          </cell>
          <cell r="H13">
            <v>1065</v>
          </cell>
          <cell r="I13">
            <v>3530</v>
          </cell>
          <cell r="J13">
            <v>0</v>
          </cell>
          <cell r="K13">
            <v>0</v>
          </cell>
          <cell r="L13">
            <v>0</v>
          </cell>
          <cell r="M13">
            <v>0</v>
          </cell>
          <cell r="N13">
            <v>0</v>
          </cell>
          <cell r="O13">
            <v>0</v>
          </cell>
          <cell r="P13">
            <v>0</v>
          </cell>
          <cell r="Q13">
            <v>0</v>
          </cell>
          <cell r="R13">
            <v>0</v>
          </cell>
          <cell r="S13">
            <v>0</v>
          </cell>
          <cell r="T13">
            <v>3530</v>
          </cell>
        </row>
        <row r="14">
          <cell r="A14" t="str">
            <v>Diluyente de Vacuna de Sarampión Rubeola (SR) Liofilizada - Vial x 10 dosis - DOBLE VIRAL</v>
          </cell>
          <cell r="B14">
            <v>0</v>
          </cell>
          <cell r="C14">
            <v>0</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row>
        <row r="15">
          <cell r="A15" t="str">
            <v>Diluyente de Vacuna de Sarampión, Rubeola y Paperas (SRP) (Cepa Leningrado-Zagreb) Liofilizado - Vial x 01 dosis - TRIPLE VIRAL</v>
          </cell>
          <cell r="B15">
            <v>1506</v>
          </cell>
          <cell r="C15">
            <v>27</v>
          </cell>
          <cell r="D15">
            <v>1533</v>
          </cell>
          <cell r="E15">
            <v>2</v>
          </cell>
          <cell r="F15">
            <v>1535</v>
          </cell>
          <cell r="G15">
            <v>0</v>
          </cell>
          <cell r="H15">
            <v>0</v>
          </cell>
          <cell r="I15">
            <v>0</v>
          </cell>
          <cell r="J15">
            <v>0</v>
          </cell>
          <cell r="K15">
            <v>0</v>
          </cell>
          <cell r="L15">
            <v>1</v>
          </cell>
          <cell r="M15">
            <v>1</v>
          </cell>
          <cell r="N15">
            <v>0</v>
          </cell>
          <cell r="O15">
            <v>0</v>
          </cell>
          <cell r="P15">
            <v>0</v>
          </cell>
          <cell r="Q15">
            <v>0</v>
          </cell>
          <cell r="R15">
            <v>0</v>
          </cell>
          <cell r="S15">
            <v>0</v>
          </cell>
          <cell r="T15">
            <v>2</v>
          </cell>
        </row>
        <row r="16">
          <cell r="A16" t="str">
            <v>Diluyente de Vacuna de Sarampión, Rubeola y Paperas (SRP) (Cepa Leningrado-Zagreb) Liofilizado - Vial x 05 dosis - TRIPLE VIRAL</v>
          </cell>
          <cell r="B16">
            <v>5</v>
          </cell>
          <cell r="C16">
            <v>0</v>
          </cell>
          <cell r="D16">
            <v>5</v>
          </cell>
          <cell r="E16">
            <v>17</v>
          </cell>
          <cell r="F16">
            <v>22</v>
          </cell>
          <cell r="G16">
            <v>0</v>
          </cell>
          <cell r="H16">
            <v>0</v>
          </cell>
          <cell r="I16">
            <v>0</v>
          </cell>
          <cell r="J16">
            <v>0</v>
          </cell>
          <cell r="K16">
            <v>0</v>
          </cell>
          <cell r="L16">
            <v>0</v>
          </cell>
          <cell r="M16">
            <v>0</v>
          </cell>
          <cell r="N16">
            <v>17</v>
          </cell>
          <cell r="O16">
            <v>0</v>
          </cell>
          <cell r="P16">
            <v>0</v>
          </cell>
          <cell r="Q16">
            <v>0</v>
          </cell>
          <cell r="R16">
            <v>0</v>
          </cell>
          <cell r="S16">
            <v>0</v>
          </cell>
          <cell r="T16">
            <v>17</v>
          </cell>
        </row>
        <row r="17">
          <cell r="A17" t="str">
            <v>Diluyente de Vacuna de Sarampión, Rubeola y Paperas (SRP) (Cepa Leningrado-Zagreb) Liofilizado - Vial x 10 dosis - TRIPLE VIRAL</v>
          </cell>
          <cell r="B17">
            <v>0</v>
          </cell>
          <cell r="C17">
            <v>0</v>
          </cell>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row>
        <row r="18">
          <cell r="A18" t="str">
            <v>Diluyente de Vacuna de Varicela Cepa OKA Liofilizada - Vial x 01 dosis</v>
          </cell>
          <cell r="B18">
            <v>1288</v>
          </cell>
          <cell r="C18">
            <v>24</v>
          </cell>
          <cell r="D18">
            <v>1312</v>
          </cell>
          <cell r="E18">
            <v>1</v>
          </cell>
          <cell r="F18">
            <v>1313</v>
          </cell>
          <cell r="G18">
            <v>0</v>
          </cell>
          <cell r="H18">
            <v>0</v>
          </cell>
          <cell r="I18">
            <v>0</v>
          </cell>
          <cell r="J18">
            <v>0</v>
          </cell>
          <cell r="K18">
            <v>0</v>
          </cell>
          <cell r="L18">
            <v>0</v>
          </cell>
          <cell r="M18">
            <v>1</v>
          </cell>
          <cell r="N18">
            <v>0</v>
          </cell>
          <cell r="O18">
            <v>0</v>
          </cell>
          <cell r="P18">
            <v>0</v>
          </cell>
          <cell r="Q18">
            <v>0</v>
          </cell>
          <cell r="R18">
            <v>0</v>
          </cell>
          <cell r="S18">
            <v>0</v>
          </cell>
          <cell r="T18">
            <v>1</v>
          </cell>
        </row>
        <row r="19">
          <cell r="A19" t="str">
            <v>Diluyente de Vacuna Meningococo ACYW -135 (Conjugado) - Liofilizada - Vial x 01 dosis</v>
          </cell>
          <cell r="B19">
            <v>0</v>
          </cell>
          <cell r="C19">
            <v>0</v>
          </cell>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row>
        <row r="20">
          <cell r="A20" t="str">
            <v>Diluyente de Virus Sincitial Respiratorio (VRS) - Liofilizada</v>
          </cell>
          <cell r="B20">
            <v>202</v>
          </cell>
          <cell r="C20">
            <v>6</v>
          </cell>
          <cell r="D20">
            <v>208</v>
          </cell>
          <cell r="E20">
            <v>0</v>
          </cell>
          <cell r="F20">
            <v>208</v>
          </cell>
          <cell r="G20">
            <v>0</v>
          </cell>
          <cell r="H20">
            <v>0</v>
          </cell>
          <cell r="I20">
            <v>0</v>
          </cell>
          <cell r="J20">
            <v>0</v>
          </cell>
          <cell r="K20">
            <v>0</v>
          </cell>
          <cell r="L20">
            <v>0</v>
          </cell>
          <cell r="M20">
            <v>0</v>
          </cell>
          <cell r="N20">
            <v>0</v>
          </cell>
          <cell r="O20">
            <v>0</v>
          </cell>
          <cell r="P20">
            <v>0</v>
          </cell>
          <cell r="Q20">
            <v>0</v>
          </cell>
          <cell r="R20">
            <v>0</v>
          </cell>
          <cell r="S20">
            <v>0</v>
          </cell>
          <cell r="T20">
            <v>0</v>
          </cell>
        </row>
        <row r="21">
          <cell r="A21" t="str">
            <v>Ingreso por conversión de ds de 0,25mL a 0,5mL (Desde los 6 a 35 meses)</v>
          </cell>
        </row>
        <row r="22">
          <cell r="A22" t="str">
            <v>Ingreso por conversión de ds de 0,5mL a 0,25mL (Desde los 36 meses en adelante)</v>
          </cell>
        </row>
        <row r="23">
          <cell r="A23" t="str">
            <v>Inmunoglobulina Antirrábica de origen Equino (IGR-E) Liquida x 200UI/mL - Vial de 1.000UI/5mL (Heteróloga)</v>
          </cell>
          <cell r="B23">
            <v>117</v>
          </cell>
          <cell r="C23">
            <v>3</v>
          </cell>
          <cell r="D23">
            <v>120</v>
          </cell>
          <cell r="E23">
            <v>0</v>
          </cell>
          <cell r="F23">
            <v>120</v>
          </cell>
          <cell r="G23">
            <v>0</v>
          </cell>
          <cell r="H23">
            <v>0</v>
          </cell>
          <cell r="I23">
            <v>0</v>
          </cell>
          <cell r="J23">
            <v>0</v>
          </cell>
          <cell r="K23">
            <v>0</v>
          </cell>
          <cell r="L23">
            <v>0</v>
          </cell>
          <cell r="M23">
            <v>0</v>
          </cell>
          <cell r="N23">
            <v>0</v>
          </cell>
          <cell r="O23">
            <v>0</v>
          </cell>
          <cell r="P23">
            <v>0</v>
          </cell>
          <cell r="Q23">
            <v>0</v>
          </cell>
          <cell r="R23">
            <v>0</v>
          </cell>
          <cell r="S23">
            <v>0</v>
          </cell>
          <cell r="T23">
            <v>0</v>
          </cell>
        </row>
        <row r="24">
          <cell r="A24" t="str">
            <v>Inmunoglobulina Antirrábica de origen Humana (IGRH - Suero) - Homologa - 2 ml x 300 IU</v>
          </cell>
          <cell r="B24">
            <v>0</v>
          </cell>
          <cell r="C24">
            <v>0</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row>
        <row r="25">
          <cell r="A25" t="str">
            <v>Inmunoglobulina Humana Antihepatitis B (IGHB) 1 ml x 200 IU - Liquida</v>
          </cell>
          <cell r="B25">
            <v>14</v>
          </cell>
          <cell r="C25">
            <v>0</v>
          </cell>
          <cell r="D25">
            <v>14</v>
          </cell>
          <cell r="E25">
            <v>0</v>
          </cell>
          <cell r="F25">
            <v>14</v>
          </cell>
          <cell r="G25">
            <v>0</v>
          </cell>
          <cell r="H25">
            <v>0</v>
          </cell>
          <cell r="I25">
            <v>0</v>
          </cell>
          <cell r="J25">
            <v>0</v>
          </cell>
          <cell r="K25">
            <v>0</v>
          </cell>
          <cell r="L25">
            <v>0</v>
          </cell>
          <cell r="M25">
            <v>0</v>
          </cell>
          <cell r="N25">
            <v>0</v>
          </cell>
          <cell r="O25">
            <v>0</v>
          </cell>
          <cell r="P25">
            <v>0</v>
          </cell>
          <cell r="Q25">
            <v>0</v>
          </cell>
          <cell r="R25">
            <v>0</v>
          </cell>
          <cell r="S25">
            <v>0</v>
          </cell>
          <cell r="T25">
            <v>0</v>
          </cell>
        </row>
        <row r="26">
          <cell r="A26" t="str">
            <v>Inmunoglobulina Humana Antitetánica (IGTH) 1 ml x 250 IU - Liquida</v>
          </cell>
          <cell r="B26">
            <v>0</v>
          </cell>
          <cell r="C26">
            <v>0</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row>
        <row r="27">
          <cell r="A27" t="str">
            <v>Jeringa Desechable de 0,1 ml No. 27G x 3/8" AD</v>
          </cell>
          <cell r="B27">
            <v>0</v>
          </cell>
          <cell r="C27">
            <v>0</v>
          </cell>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row>
        <row r="28">
          <cell r="A28" t="str">
            <v>Jeringa Desechable de 0.05 ml/cc con aguja incorporada No. 26G x 3/8" Auto Descartable (AD)</v>
          </cell>
          <cell r="B28">
            <v>620</v>
          </cell>
          <cell r="C28">
            <v>20</v>
          </cell>
          <cell r="D28">
            <v>640</v>
          </cell>
          <cell r="E28">
            <v>54</v>
          </cell>
          <cell r="F28">
            <v>694</v>
          </cell>
          <cell r="G28">
            <v>9</v>
          </cell>
          <cell r="H28">
            <v>9</v>
          </cell>
          <cell r="I28">
            <v>18</v>
          </cell>
          <cell r="J28">
            <v>0</v>
          </cell>
          <cell r="K28">
            <v>0</v>
          </cell>
          <cell r="L28">
            <v>0</v>
          </cell>
          <cell r="M28">
            <v>16</v>
          </cell>
          <cell r="N28">
            <v>0</v>
          </cell>
          <cell r="O28">
            <v>13</v>
          </cell>
          <cell r="P28">
            <v>0</v>
          </cell>
          <cell r="Q28">
            <v>0</v>
          </cell>
          <cell r="R28">
            <v>0</v>
          </cell>
          <cell r="S28">
            <v>7</v>
          </cell>
          <cell r="T28">
            <v>54</v>
          </cell>
        </row>
        <row r="29">
          <cell r="A29" t="str">
            <v>Jeringa Desechable de 0.5 ml ml/cc con aguja adaptable No. 25G x 5/8" Auto Descartable (AD)</v>
          </cell>
          <cell r="B29">
            <v>5060</v>
          </cell>
          <cell r="C29">
            <v>55</v>
          </cell>
          <cell r="D29">
            <v>5115</v>
          </cell>
          <cell r="E29">
            <v>41</v>
          </cell>
          <cell r="F29">
            <v>5156</v>
          </cell>
          <cell r="G29">
            <v>5</v>
          </cell>
          <cell r="H29">
            <v>32</v>
          </cell>
          <cell r="I29">
            <v>37</v>
          </cell>
          <cell r="J29">
            <v>0</v>
          </cell>
          <cell r="K29">
            <v>0</v>
          </cell>
          <cell r="L29">
            <v>3</v>
          </cell>
          <cell r="M29">
            <v>1</v>
          </cell>
          <cell r="N29">
            <v>0</v>
          </cell>
          <cell r="O29">
            <v>0</v>
          </cell>
          <cell r="P29">
            <v>0</v>
          </cell>
          <cell r="Q29">
            <v>0</v>
          </cell>
          <cell r="R29">
            <v>0</v>
          </cell>
          <cell r="S29">
            <v>0</v>
          </cell>
          <cell r="T29">
            <v>41</v>
          </cell>
        </row>
        <row r="30">
          <cell r="A30" t="str">
            <v>Jeringa Desechable de 0.5 ml ml/cc con aguja incorporada No. 23G x 1" Desactivación Atumatica</v>
          </cell>
          <cell r="B30">
            <v>1634</v>
          </cell>
          <cell r="C30">
            <v>3</v>
          </cell>
          <cell r="D30">
            <v>1637</v>
          </cell>
          <cell r="E30">
            <v>1</v>
          </cell>
          <cell r="F30">
            <v>1638</v>
          </cell>
          <cell r="G30">
            <v>0</v>
          </cell>
          <cell r="H30">
            <v>0</v>
          </cell>
          <cell r="I30">
            <v>0</v>
          </cell>
          <cell r="J30">
            <v>0</v>
          </cell>
          <cell r="K30">
            <v>0</v>
          </cell>
          <cell r="L30">
            <v>0</v>
          </cell>
          <cell r="M30">
            <v>0</v>
          </cell>
          <cell r="N30">
            <v>1</v>
          </cell>
          <cell r="O30">
            <v>0</v>
          </cell>
          <cell r="P30">
            <v>0</v>
          </cell>
          <cell r="Q30">
            <v>0</v>
          </cell>
          <cell r="R30">
            <v>0</v>
          </cell>
          <cell r="S30">
            <v>0</v>
          </cell>
          <cell r="T30">
            <v>1</v>
          </cell>
        </row>
        <row r="31">
          <cell r="A31" t="str">
            <v>Jeringa Desechable de 0.5 ml ml/cc con aguja incorporada No. 25G x 5/8" Desactivación Atumatica</v>
          </cell>
          <cell r="B31">
            <v>1614</v>
          </cell>
          <cell r="C31">
            <v>4</v>
          </cell>
          <cell r="D31">
            <v>1618</v>
          </cell>
          <cell r="E31">
            <v>10</v>
          </cell>
          <cell r="F31">
            <v>1628</v>
          </cell>
          <cell r="G31">
            <v>4</v>
          </cell>
          <cell r="H31">
            <v>0</v>
          </cell>
          <cell r="I31">
            <v>4</v>
          </cell>
          <cell r="J31">
            <v>0</v>
          </cell>
          <cell r="K31">
            <v>5</v>
          </cell>
          <cell r="L31">
            <v>0</v>
          </cell>
          <cell r="M31">
            <v>0</v>
          </cell>
          <cell r="N31">
            <v>0</v>
          </cell>
          <cell r="O31">
            <v>1</v>
          </cell>
          <cell r="P31">
            <v>0</v>
          </cell>
          <cell r="Q31">
            <v>0</v>
          </cell>
          <cell r="R31">
            <v>0</v>
          </cell>
          <cell r="S31">
            <v>0</v>
          </cell>
          <cell r="T31">
            <v>10</v>
          </cell>
        </row>
        <row r="32">
          <cell r="A32" t="str">
            <v>Jeringa Desechable de 0.5 ml/cc con aguja adaptable No. 22G x 1" 1/2 Desactivación Atumatica</v>
          </cell>
          <cell r="B32">
            <v>0</v>
          </cell>
          <cell r="C32">
            <v>0</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row>
        <row r="33">
          <cell r="A33" t="str">
            <v>Jeringa Desechable de 0.5 ml/cc con aguja incorporada No. 22G x 1 ½" Auto Descartable (AD)</v>
          </cell>
          <cell r="B33">
            <v>2150</v>
          </cell>
          <cell r="C33">
            <v>25</v>
          </cell>
          <cell r="D33">
            <v>2175</v>
          </cell>
          <cell r="E33">
            <v>4</v>
          </cell>
          <cell r="F33">
            <v>2179</v>
          </cell>
          <cell r="G33">
            <v>2</v>
          </cell>
          <cell r="H33">
            <v>0</v>
          </cell>
          <cell r="I33">
            <v>2</v>
          </cell>
          <cell r="J33">
            <v>0</v>
          </cell>
          <cell r="K33">
            <v>1</v>
          </cell>
          <cell r="L33">
            <v>0</v>
          </cell>
          <cell r="M33">
            <v>0</v>
          </cell>
          <cell r="N33">
            <v>0</v>
          </cell>
          <cell r="O33">
            <v>1</v>
          </cell>
          <cell r="P33">
            <v>0</v>
          </cell>
          <cell r="Q33">
            <v>0</v>
          </cell>
          <cell r="R33">
            <v>0</v>
          </cell>
          <cell r="S33">
            <v>0</v>
          </cell>
          <cell r="T33">
            <v>4</v>
          </cell>
        </row>
        <row r="34">
          <cell r="A34" t="str">
            <v>Jeringa Desechable de 1 ml/cc con aguja adaptable No. 22G x 1 ½" Convencional</v>
          </cell>
          <cell r="B34">
            <v>1016</v>
          </cell>
          <cell r="C34">
            <v>7</v>
          </cell>
          <cell r="D34">
            <v>1023</v>
          </cell>
          <cell r="E34">
            <v>0</v>
          </cell>
          <cell r="F34">
            <v>1023</v>
          </cell>
          <cell r="G34">
            <v>0</v>
          </cell>
          <cell r="H34">
            <v>0</v>
          </cell>
          <cell r="I34">
            <v>0</v>
          </cell>
          <cell r="J34">
            <v>0</v>
          </cell>
          <cell r="K34">
            <v>0</v>
          </cell>
          <cell r="L34">
            <v>0</v>
          </cell>
          <cell r="M34">
            <v>0</v>
          </cell>
          <cell r="N34">
            <v>0</v>
          </cell>
          <cell r="O34">
            <v>0</v>
          </cell>
          <cell r="P34">
            <v>0</v>
          </cell>
          <cell r="Q34">
            <v>0</v>
          </cell>
          <cell r="R34">
            <v>0</v>
          </cell>
          <cell r="S34">
            <v>0</v>
          </cell>
          <cell r="T34">
            <v>0</v>
          </cell>
        </row>
        <row r="35">
          <cell r="A35" t="str">
            <v>Jeringa Desechable de 1 ml/cc con aguja adaptable No. 23G x 1" Convencional</v>
          </cell>
          <cell r="B35">
            <v>8321</v>
          </cell>
          <cell r="C35">
            <v>83</v>
          </cell>
          <cell r="D35">
            <v>8404</v>
          </cell>
          <cell r="E35">
            <v>6</v>
          </cell>
          <cell r="F35">
            <v>8410</v>
          </cell>
          <cell r="G35">
            <v>0</v>
          </cell>
          <cell r="H35">
            <v>0</v>
          </cell>
          <cell r="I35">
            <v>0</v>
          </cell>
          <cell r="J35">
            <v>0</v>
          </cell>
          <cell r="K35">
            <v>3</v>
          </cell>
          <cell r="L35">
            <v>0</v>
          </cell>
          <cell r="M35">
            <v>2</v>
          </cell>
          <cell r="N35">
            <v>0</v>
          </cell>
          <cell r="O35">
            <v>1</v>
          </cell>
          <cell r="P35">
            <v>0</v>
          </cell>
          <cell r="Q35">
            <v>0</v>
          </cell>
          <cell r="R35">
            <v>0</v>
          </cell>
          <cell r="S35">
            <v>0</v>
          </cell>
          <cell r="T35">
            <v>6</v>
          </cell>
        </row>
        <row r="36">
          <cell r="A36" t="str">
            <v>Jeringa Desechable de 1 ml/cc con aguja incorporada No. 22G x 1 ½" de Prevención de Reuso o Bloqueo</v>
          </cell>
          <cell r="B36">
            <v>56</v>
          </cell>
          <cell r="C36">
            <v>1</v>
          </cell>
          <cell r="D36">
            <v>57</v>
          </cell>
          <cell r="E36">
            <v>0</v>
          </cell>
          <cell r="F36">
            <v>57</v>
          </cell>
          <cell r="G36">
            <v>0</v>
          </cell>
          <cell r="H36">
            <v>0</v>
          </cell>
          <cell r="I36">
            <v>0</v>
          </cell>
          <cell r="J36">
            <v>0</v>
          </cell>
          <cell r="K36">
            <v>0</v>
          </cell>
          <cell r="L36">
            <v>0</v>
          </cell>
          <cell r="M36">
            <v>0</v>
          </cell>
          <cell r="N36">
            <v>0</v>
          </cell>
          <cell r="O36">
            <v>0</v>
          </cell>
          <cell r="P36">
            <v>0</v>
          </cell>
          <cell r="Q36">
            <v>0</v>
          </cell>
          <cell r="R36">
            <v>0</v>
          </cell>
          <cell r="S36">
            <v>0</v>
          </cell>
          <cell r="T36">
            <v>0</v>
          </cell>
        </row>
        <row r="37">
          <cell r="A37" t="str">
            <v>Memofichas de vacunación</v>
          </cell>
          <cell r="B37">
            <v>0</v>
          </cell>
          <cell r="C37">
            <v>0</v>
          </cell>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row>
        <row r="38">
          <cell r="A38" t="str">
            <v>MODERNA ADULTO</v>
          </cell>
          <cell r="B38">
            <v>0</v>
          </cell>
          <cell r="C38">
            <v>0</v>
          </cell>
          <cell r="D38">
            <v>0</v>
          </cell>
          <cell r="E38">
            <v>0</v>
          </cell>
          <cell r="F38">
            <v>0</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row>
        <row r="39">
          <cell r="A39" t="str">
            <v>MODERNA PEDIÁTRICA</v>
          </cell>
          <cell r="B39">
            <v>0</v>
          </cell>
          <cell r="C39">
            <v>0</v>
          </cell>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row>
        <row r="40">
          <cell r="A40" t="str">
            <v>PFIZER</v>
          </cell>
          <cell r="B40">
            <v>7</v>
          </cell>
          <cell r="D40">
            <v>7</v>
          </cell>
          <cell r="E40">
            <v>0</v>
          </cell>
          <cell r="F40">
            <v>7</v>
          </cell>
          <cell r="G40">
            <v>1</v>
          </cell>
          <cell r="J40">
            <v>2</v>
          </cell>
          <cell r="K40">
            <v>3</v>
          </cell>
          <cell r="L40">
            <v>4</v>
          </cell>
          <cell r="M40">
            <v>5</v>
          </cell>
          <cell r="N40">
            <v>6</v>
          </cell>
          <cell r="O40">
            <v>7</v>
          </cell>
          <cell r="P40">
            <v>8</v>
          </cell>
          <cell r="Q40">
            <v>9</v>
          </cell>
          <cell r="R40">
            <v>10</v>
          </cell>
          <cell r="S40">
            <v>11</v>
          </cell>
        </row>
        <row r="41">
          <cell r="A41" t="str">
            <v>PFIZER ADULTO</v>
          </cell>
          <cell r="B41">
            <v>81</v>
          </cell>
          <cell r="C41">
            <v>2</v>
          </cell>
          <cell r="D41">
            <v>83</v>
          </cell>
          <cell r="E41">
            <v>73</v>
          </cell>
          <cell r="F41">
            <v>156</v>
          </cell>
          <cell r="G41">
            <v>63</v>
          </cell>
          <cell r="H41">
            <v>10</v>
          </cell>
          <cell r="I41">
            <v>0</v>
          </cell>
          <cell r="J41">
            <v>0</v>
          </cell>
          <cell r="K41">
            <v>0</v>
          </cell>
          <cell r="L41">
            <v>0</v>
          </cell>
          <cell r="M41">
            <v>0</v>
          </cell>
          <cell r="N41">
            <v>0</v>
          </cell>
          <cell r="O41">
            <v>0</v>
          </cell>
          <cell r="P41">
            <v>0</v>
          </cell>
          <cell r="Q41">
            <v>0</v>
          </cell>
          <cell r="R41">
            <v>0</v>
          </cell>
          <cell r="S41">
            <v>0</v>
          </cell>
          <cell r="T41">
            <v>0</v>
          </cell>
          <cell r="U41">
            <v>0</v>
          </cell>
        </row>
        <row r="42">
          <cell r="A42" t="str">
            <v>PFIZER PEDIÁTRICA</v>
          </cell>
          <cell r="B42">
            <v>4</v>
          </cell>
          <cell r="C42">
            <v>0</v>
          </cell>
          <cell r="D42">
            <v>4</v>
          </cell>
          <cell r="E42">
            <v>8</v>
          </cell>
          <cell r="F42">
            <v>12</v>
          </cell>
          <cell r="G42">
            <v>8</v>
          </cell>
          <cell r="H42">
            <v>0</v>
          </cell>
          <cell r="I42">
            <v>0</v>
          </cell>
          <cell r="J42">
            <v>0</v>
          </cell>
          <cell r="K42">
            <v>0</v>
          </cell>
          <cell r="L42">
            <v>0</v>
          </cell>
          <cell r="M42">
            <v>0</v>
          </cell>
          <cell r="N42">
            <v>0</v>
          </cell>
          <cell r="O42">
            <v>0</v>
          </cell>
          <cell r="P42">
            <v>0</v>
          </cell>
          <cell r="Q42">
            <v>0</v>
          </cell>
          <cell r="R42">
            <v>0</v>
          </cell>
          <cell r="S42">
            <v>0</v>
          </cell>
          <cell r="T42">
            <v>0</v>
          </cell>
          <cell r="U42">
            <v>0</v>
          </cell>
        </row>
        <row r="43">
          <cell r="A43" t="str">
            <v>Salida por conversión de ds de 0,25mL a 0,5mL (Desde los 6 a 35 meses)</v>
          </cell>
        </row>
        <row r="44">
          <cell r="A44" t="str">
            <v>Salida por conversión de ds de 0,5mL a 0,25mL (Desde los 36 meses en adelante)</v>
          </cell>
        </row>
        <row r="45">
          <cell r="A45" t="str">
            <v>Tarjetas unificadas de vacunacion -tuv adultos</v>
          </cell>
          <cell r="B45">
            <v>1</v>
          </cell>
          <cell r="C45">
            <v>0</v>
          </cell>
          <cell r="D45">
            <v>1</v>
          </cell>
          <cell r="E45">
            <v>0</v>
          </cell>
          <cell r="F45">
            <v>1</v>
          </cell>
          <cell r="G45">
            <v>0</v>
          </cell>
          <cell r="H45">
            <v>0</v>
          </cell>
          <cell r="I45">
            <v>0</v>
          </cell>
          <cell r="J45">
            <v>0</v>
          </cell>
          <cell r="K45">
            <v>0</v>
          </cell>
          <cell r="L45">
            <v>0</v>
          </cell>
          <cell r="M45">
            <v>0</v>
          </cell>
          <cell r="N45">
            <v>0</v>
          </cell>
          <cell r="O45">
            <v>0</v>
          </cell>
          <cell r="P45">
            <v>0</v>
          </cell>
          <cell r="Q45">
            <v>0</v>
          </cell>
          <cell r="R45">
            <v>0</v>
          </cell>
          <cell r="S45">
            <v>0</v>
          </cell>
          <cell r="T45">
            <v>0</v>
          </cell>
        </row>
        <row r="46">
          <cell r="A46" t="str">
            <v>Tarjetas unificadas de vacunacion -tuv niños</v>
          </cell>
          <cell r="B46">
            <v>1</v>
          </cell>
          <cell r="C46">
            <v>0</v>
          </cell>
          <cell r="D46">
            <v>1</v>
          </cell>
          <cell r="E46">
            <v>0</v>
          </cell>
          <cell r="F46">
            <v>1</v>
          </cell>
          <cell r="G46">
            <v>0</v>
          </cell>
          <cell r="H46">
            <v>0</v>
          </cell>
          <cell r="I46">
            <v>0</v>
          </cell>
          <cell r="J46">
            <v>0</v>
          </cell>
          <cell r="K46">
            <v>0</v>
          </cell>
          <cell r="L46">
            <v>0</v>
          </cell>
          <cell r="M46">
            <v>0</v>
          </cell>
          <cell r="N46">
            <v>0</v>
          </cell>
          <cell r="O46">
            <v>0</v>
          </cell>
          <cell r="P46">
            <v>0</v>
          </cell>
          <cell r="Q46">
            <v>0</v>
          </cell>
          <cell r="R46">
            <v>0</v>
          </cell>
          <cell r="S46">
            <v>0</v>
          </cell>
          <cell r="T46">
            <v>0</v>
          </cell>
        </row>
        <row r="47">
          <cell r="A47" t="str">
            <v>Total Disponible + conversión</v>
          </cell>
        </row>
        <row r="48">
          <cell r="A48" t="str">
            <v>Vacuna Antineumocócica Conjugada (13-valente) PCV13 - Liquida</v>
          </cell>
          <cell r="B48">
            <v>1768</v>
          </cell>
          <cell r="C48">
            <v>15</v>
          </cell>
          <cell r="D48">
            <v>1783</v>
          </cell>
          <cell r="E48">
            <v>0</v>
          </cell>
          <cell r="F48">
            <v>1783</v>
          </cell>
          <cell r="G48">
            <v>0</v>
          </cell>
          <cell r="H48">
            <v>0</v>
          </cell>
          <cell r="I48">
            <v>0</v>
          </cell>
          <cell r="J48">
            <v>0</v>
          </cell>
          <cell r="K48">
            <v>0</v>
          </cell>
          <cell r="L48">
            <v>0</v>
          </cell>
          <cell r="M48">
            <v>0</v>
          </cell>
          <cell r="N48">
            <v>0</v>
          </cell>
          <cell r="O48">
            <v>0</v>
          </cell>
          <cell r="P48">
            <v>0</v>
          </cell>
          <cell r="Q48">
            <v>0</v>
          </cell>
          <cell r="R48">
            <v>0</v>
          </cell>
          <cell r="S48">
            <v>0</v>
          </cell>
          <cell r="T48">
            <v>0</v>
          </cell>
        </row>
        <row r="49">
          <cell r="A49" t="str">
            <v>Vacuna Antineumocócica Conjugada (20-valente) PCV20 - Liquida</v>
          </cell>
          <cell r="B49">
            <v>0</v>
          </cell>
          <cell r="C49">
            <v>0</v>
          </cell>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row>
        <row r="50">
          <cell r="A50" t="str">
            <v>Vacuna Antirrábica Humana de Células Vero (vacuna IM)</v>
          </cell>
          <cell r="B50">
            <v>359</v>
          </cell>
          <cell r="C50">
            <v>11</v>
          </cell>
          <cell r="D50">
            <v>370</v>
          </cell>
          <cell r="E50">
            <v>1</v>
          </cell>
          <cell r="F50">
            <v>371</v>
          </cell>
          <cell r="G50">
            <v>0</v>
          </cell>
          <cell r="H50">
            <v>0</v>
          </cell>
          <cell r="I50">
            <v>0</v>
          </cell>
          <cell r="J50">
            <v>0</v>
          </cell>
          <cell r="K50">
            <v>0</v>
          </cell>
          <cell r="L50">
            <v>1</v>
          </cell>
          <cell r="M50">
            <v>0</v>
          </cell>
          <cell r="N50">
            <v>0</v>
          </cell>
          <cell r="O50">
            <v>0</v>
          </cell>
          <cell r="P50">
            <v>0</v>
          </cell>
          <cell r="Q50">
            <v>0</v>
          </cell>
          <cell r="R50">
            <v>0</v>
          </cell>
          <cell r="S50">
            <v>0</v>
          </cell>
          <cell r="T50">
            <v>1</v>
          </cell>
        </row>
        <row r="51">
          <cell r="A51" t="str">
            <v>Vacuna contra el Dengue Cuadrivalente - Liofilizada</v>
          </cell>
          <cell r="B51">
            <v>0</v>
          </cell>
          <cell r="C51">
            <v>0</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row>
        <row r="52">
          <cell r="A52" t="str">
            <v>Vacuna contra el virus del papiloma humano - VPH4 (Cuadrivalente)</v>
          </cell>
          <cell r="B52">
            <v>842</v>
          </cell>
          <cell r="C52">
            <v>37</v>
          </cell>
          <cell r="D52">
            <v>879</v>
          </cell>
          <cell r="E52">
            <v>0</v>
          </cell>
          <cell r="F52">
            <v>879</v>
          </cell>
          <cell r="G52">
            <v>0</v>
          </cell>
          <cell r="H52">
            <v>0</v>
          </cell>
          <cell r="I52">
            <v>0</v>
          </cell>
          <cell r="J52">
            <v>0</v>
          </cell>
          <cell r="K52">
            <v>0</v>
          </cell>
          <cell r="L52">
            <v>0</v>
          </cell>
          <cell r="M52">
            <v>0</v>
          </cell>
          <cell r="N52">
            <v>0</v>
          </cell>
          <cell r="O52">
            <v>0</v>
          </cell>
          <cell r="P52">
            <v>0</v>
          </cell>
          <cell r="Q52">
            <v>0</v>
          </cell>
          <cell r="R52">
            <v>0</v>
          </cell>
          <cell r="S52">
            <v>0</v>
          </cell>
          <cell r="T52">
            <v>0</v>
          </cell>
        </row>
        <row r="53">
          <cell r="A53" t="str">
            <v>Vacuna contra el virus del papiloma humano - VPH9 (Nonavalente)</v>
          </cell>
          <cell r="B53">
            <v>6</v>
          </cell>
          <cell r="C53">
            <v>0</v>
          </cell>
          <cell r="D53">
            <v>6</v>
          </cell>
          <cell r="E53">
            <v>0</v>
          </cell>
          <cell r="F53">
            <v>6</v>
          </cell>
          <cell r="G53">
            <v>0</v>
          </cell>
          <cell r="H53">
            <v>0</v>
          </cell>
          <cell r="I53">
            <v>0</v>
          </cell>
          <cell r="J53">
            <v>0</v>
          </cell>
          <cell r="K53">
            <v>0</v>
          </cell>
          <cell r="L53">
            <v>0</v>
          </cell>
          <cell r="M53">
            <v>0</v>
          </cell>
          <cell r="N53">
            <v>0</v>
          </cell>
          <cell r="O53">
            <v>0</v>
          </cell>
          <cell r="P53">
            <v>0</v>
          </cell>
          <cell r="Q53">
            <v>0</v>
          </cell>
          <cell r="R53">
            <v>0</v>
          </cell>
          <cell r="S53">
            <v>0</v>
          </cell>
          <cell r="T53">
            <v>0</v>
          </cell>
        </row>
        <row r="54">
          <cell r="A54" t="str">
            <v>Vacuna Contra la Viruela y la Viruela del Mono (Mpox) Liquida</v>
          </cell>
          <cell r="B54">
            <v>0</v>
          </cell>
          <cell r="C54">
            <v>0</v>
          </cell>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row>
        <row r="55">
          <cell r="A55" t="str">
            <v>VACUNA COVID-19</v>
          </cell>
          <cell r="G55">
            <v>14</v>
          </cell>
          <cell r="I55">
            <v>28</v>
          </cell>
          <cell r="J55">
            <v>42</v>
          </cell>
          <cell r="K55">
            <v>56</v>
          </cell>
          <cell r="L55">
            <v>70</v>
          </cell>
          <cell r="M55">
            <v>84</v>
          </cell>
          <cell r="N55">
            <v>98</v>
          </cell>
          <cell r="O55">
            <v>112</v>
          </cell>
          <cell r="P55">
            <v>126</v>
          </cell>
          <cell r="Q55">
            <v>140</v>
          </cell>
          <cell r="R55">
            <v>154</v>
          </cell>
          <cell r="S55">
            <v>168</v>
          </cell>
          <cell r="T55">
            <v>182</v>
          </cell>
          <cell r="U55">
            <v>196</v>
          </cell>
        </row>
        <row r="56">
          <cell r="A56" t="str">
            <v>Vacuna de BCG (Bacilo de Calmette y Guérin) Liofilizada</v>
          </cell>
          <cell r="B56">
            <v>617</v>
          </cell>
          <cell r="C56">
            <v>24</v>
          </cell>
          <cell r="D56">
            <v>641</v>
          </cell>
          <cell r="E56">
            <v>733</v>
          </cell>
          <cell r="F56">
            <v>1374</v>
          </cell>
          <cell r="G56">
            <v>581</v>
          </cell>
          <cell r="H56">
            <v>152</v>
          </cell>
          <cell r="I56">
            <v>733</v>
          </cell>
          <cell r="J56">
            <v>0</v>
          </cell>
          <cell r="K56">
            <v>0</v>
          </cell>
          <cell r="L56">
            <v>0</v>
          </cell>
          <cell r="M56">
            <v>0</v>
          </cell>
          <cell r="N56">
            <v>0</v>
          </cell>
          <cell r="O56">
            <v>0</v>
          </cell>
          <cell r="P56">
            <v>0</v>
          </cell>
          <cell r="Q56">
            <v>0</v>
          </cell>
          <cell r="R56">
            <v>0</v>
          </cell>
          <cell r="S56">
            <v>0</v>
          </cell>
          <cell r="T56">
            <v>733</v>
          </cell>
        </row>
        <row r="57">
          <cell r="A57" t="str">
            <v>Vacuna de Difteria - Tétanos - Tos ferina acelular - Poliovirus inactivado - Hepatitis B - Haemophilus influenzae tipo B (DTaP-IPV-HepB-Hib (HEXAVALENTE ACELULAR) - Liquida</v>
          </cell>
          <cell r="B57">
            <v>23</v>
          </cell>
          <cell r="C57">
            <v>0</v>
          </cell>
          <cell r="D57">
            <v>23</v>
          </cell>
          <cell r="E57">
            <v>0</v>
          </cell>
          <cell r="F57">
            <v>23</v>
          </cell>
          <cell r="G57">
            <v>0</v>
          </cell>
          <cell r="H57">
            <v>0</v>
          </cell>
          <cell r="I57">
            <v>0</v>
          </cell>
          <cell r="J57">
            <v>0</v>
          </cell>
          <cell r="K57">
            <v>0</v>
          </cell>
          <cell r="L57">
            <v>0</v>
          </cell>
          <cell r="M57">
            <v>0</v>
          </cell>
          <cell r="N57">
            <v>0</v>
          </cell>
          <cell r="O57">
            <v>0</v>
          </cell>
          <cell r="P57">
            <v>0</v>
          </cell>
          <cell r="Q57">
            <v>0</v>
          </cell>
          <cell r="R57">
            <v>0</v>
          </cell>
          <cell r="S57">
            <v>0</v>
          </cell>
          <cell r="T57">
            <v>0</v>
          </cell>
        </row>
        <row r="58">
          <cell r="A58" t="str">
            <v>Vacuna de Difteria - Tos ferina (Celula completa) - Tétanos - Hepatitis B - Haemophilus influenzae tipo B (DTwP-HepB-Hib) PENTAVALENTE PEDIÁTRICA - Liquida</v>
          </cell>
          <cell r="B58">
            <v>2097</v>
          </cell>
          <cell r="C58">
            <v>9</v>
          </cell>
          <cell r="D58">
            <v>2106</v>
          </cell>
          <cell r="E58">
            <v>0</v>
          </cell>
          <cell r="F58">
            <v>2106</v>
          </cell>
          <cell r="G58">
            <v>0</v>
          </cell>
          <cell r="H58">
            <v>0</v>
          </cell>
          <cell r="I58">
            <v>0</v>
          </cell>
          <cell r="J58">
            <v>0</v>
          </cell>
          <cell r="K58">
            <v>0</v>
          </cell>
          <cell r="L58">
            <v>0</v>
          </cell>
          <cell r="M58">
            <v>0</v>
          </cell>
          <cell r="N58">
            <v>0</v>
          </cell>
          <cell r="O58">
            <v>0</v>
          </cell>
          <cell r="P58">
            <v>0</v>
          </cell>
          <cell r="Q58">
            <v>0</v>
          </cell>
          <cell r="R58">
            <v>0</v>
          </cell>
          <cell r="S58">
            <v>0</v>
          </cell>
          <cell r="T58">
            <v>0</v>
          </cell>
        </row>
        <row r="59">
          <cell r="A59" t="str">
            <v>Vacuna de Difteria - Tos ferina (celula completa)- Tétanos - Hepatitis B - Haemophilus influenzae tipo B - Poliovirus inactivado (DTwP-HepB-Hib-IPV) - HEXAVALENTE DE CÉLULAS COMPLETAS - Liquida</v>
          </cell>
          <cell r="B59">
            <v>0</v>
          </cell>
          <cell r="C59">
            <v>0</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row>
        <row r="60">
          <cell r="A60" t="str">
            <v>Vacuna de Difteria, Tétano y Tosferina (DPT)- Liquida</v>
          </cell>
          <cell r="B60">
            <v>658</v>
          </cell>
          <cell r="C60">
            <v>13</v>
          </cell>
          <cell r="D60">
            <v>671</v>
          </cell>
          <cell r="E60">
            <v>131</v>
          </cell>
          <cell r="F60">
            <v>802</v>
          </cell>
          <cell r="G60">
            <v>58</v>
          </cell>
          <cell r="H60">
            <v>71</v>
          </cell>
          <cell r="I60">
            <v>129</v>
          </cell>
          <cell r="J60">
            <v>0</v>
          </cell>
          <cell r="K60">
            <v>0</v>
          </cell>
          <cell r="L60">
            <v>0</v>
          </cell>
          <cell r="M60">
            <v>0</v>
          </cell>
          <cell r="N60">
            <v>0</v>
          </cell>
          <cell r="O60">
            <v>0</v>
          </cell>
          <cell r="P60">
            <v>0</v>
          </cell>
          <cell r="Q60">
            <v>2</v>
          </cell>
          <cell r="R60">
            <v>0</v>
          </cell>
          <cell r="S60">
            <v>0</v>
          </cell>
          <cell r="T60">
            <v>131</v>
          </cell>
        </row>
        <row r="61">
          <cell r="A61" t="str">
            <v>Vacuna de Difteria-Tétanos-Tos ferina acelular Pertussis (DTaP) Pediátrica - Liquida</v>
          </cell>
          <cell r="B61">
            <v>7</v>
          </cell>
          <cell r="C61">
            <v>1</v>
          </cell>
          <cell r="D61">
            <v>8</v>
          </cell>
          <cell r="E61">
            <v>0</v>
          </cell>
          <cell r="F61">
            <v>8</v>
          </cell>
          <cell r="G61">
            <v>0</v>
          </cell>
          <cell r="H61">
            <v>0</v>
          </cell>
          <cell r="I61">
            <v>0</v>
          </cell>
          <cell r="J61">
            <v>0</v>
          </cell>
          <cell r="K61">
            <v>0</v>
          </cell>
          <cell r="L61">
            <v>0</v>
          </cell>
          <cell r="M61">
            <v>0</v>
          </cell>
          <cell r="N61">
            <v>0</v>
          </cell>
          <cell r="O61">
            <v>0</v>
          </cell>
          <cell r="P61">
            <v>0</v>
          </cell>
          <cell r="Q61">
            <v>0</v>
          </cell>
          <cell r="R61">
            <v>0</v>
          </cell>
          <cell r="S61">
            <v>0</v>
          </cell>
          <cell r="T61">
            <v>0</v>
          </cell>
        </row>
        <row r="62">
          <cell r="A62" t="str">
            <v>Vacuna de Fiebre Amarilla (Antiamarilica) Liofilizada</v>
          </cell>
          <cell r="B62">
            <v>2765</v>
          </cell>
          <cell r="C62">
            <v>41</v>
          </cell>
          <cell r="D62">
            <v>2806</v>
          </cell>
          <cell r="E62">
            <v>3530</v>
          </cell>
          <cell r="F62">
            <v>6336</v>
          </cell>
          <cell r="G62">
            <v>2465</v>
          </cell>
          <cell r="H62">
            <v>1065</v>
          </cell>
          <cell r="I62">
            <v>3530</v>
          </cell>
          <cell r="J62">
            <v>0</v>
          </cell>
          <cell r="K62">
            <v>0</v>
          </cell>
          <cell r="L62">
            <v>0</v>
          </cell>
          <cell r="M62">
            <v>0</v>
          </cell>
          <cell r="N62">
            <v>0</v>
          </cell>
          <cell r="O62">
            <v>0</v>
          </cell>
          <cell r="P62">
            <v>0</v>
          </cell>
          <cell r="Q62">
            <v>0</v>
          </cell>
          <cell r="R62">
            <v>0</v>
          </cell>
          <cell r="S62">
            <v>0</v>
          </cell>
          <cell r="T62">
            <v>3530</v>
          </cell>
        </row>
        <row r="63">
          <cell r="A63" t="str">
            <v>Vacuna de Hepatitis A Pediátrica - Liquida</v>
          </cell>
          <cell r="B63">
            <v>632</v>
          </cell>
          <cell r="C63">
            <v>18</v>
          </cell>
          <cell r="D63">
            <v>650</v>
          </cell>
          <cell r="E63">
            <v>0</v>
          </cell>
          <cell r="F63">
            <v>650</v>
          </cell>
          <cell r="G63">
            <v>0</v>
          </cell>
          <cell r="H63">
            <v>0</v>
          </cell>
          <cell r="I63">
            <v>0</v>
          </cell>
          <cell r="J63">
            <v>0</v>
          </cell>
          <cell r="K63">
            <v>0</v>
          </cell>
          <cell r="L63">
            <v>0</v>
          </cell>
          <cell r="M63">
            <v>0</v>
          </cell>
          <cell r="N63">
            <v>0</v>
          </cell>
          <cell r="O63">
            <v>0</v>
          </cell>
          <cell r="P63">
            <v>0</v>
          </cell>
          <cell r="Q63">
            <v>0</v>
          </cell>
          <cell r="R63">
            <v>0</v>
          </cell>
          <cell r="S63">
            <v>0</v>
          </cell>
          <cell r="T63">
            <v>0</v>
          </cell>
        </row>
        <row r="64">
          <cell r="A64" t="str">
            <v>Vacuna de Hepatitis B Recombinante Adultos - Liquida</v>
          </cell>
          <cell r="B64">
            <v>146</v>
          </cell>
          <cell r="C64">
            <v>1</v>
          </cell>
          <cell r="D64">
            <v>147</v>
          </cell>
          <cell r="E64">
            <v>0</v>
          </cell>
          <cell r="F64">
            <v>147</v>
          </cell>
          <cell r="G64">
            <v>0</v>
          </cell>
          <cell r="H64">
            <v>0</v>
          </cell>
          <cell r="I64">
            <v>0</v>
          </cell>
          <cell r="J64">
            <v>0</v>
          </cell>
          <cell r="K64">
            <v>0</v>
          </cell>
          <cell r="L64">
            <v>0</v>
          </cell>
          <cell r="M64">
            <v>0</v>
          </cell>
          <cell r="N64">
            <v>0</v>
          </cell>
          <cell r="O64">
            <v>0</v>
          </cell>
          <cell r="P64">
            <v>0</v>
          </cell>
          <cell r="Q64">
            <v>0</v>
          </cell>
          <cell r="R64">
            <v>0</v>
          </cell>
          <cell r="S64">
            <v>0</v>
          </cell>
          <cell r="T64">
            <v>0</v>
          </cell>
        </row>
        <row r="65">
          <cell r="A65" t="str">
            <v>Vacuna de Hepatitis B Recombinante Pediátrica - Liquida</v>
          </cell>
          <cell r="B65">
            <v>604</v>
          </cell>
          <cell r="C65">
            <v>19</v>
          </cell>
          <cell r="D65">
            <v>623</v>
          </cell>
          <cell r="E65">
            <v>0</v>
          </cell>
          <cell r="F65">
            <v>623</v>
          </cell>
          <cell r="G65">
            <v>0</v>
          </cell>
          <cell r="H65">
            <v>0</v>
          </cell>
          <cell r="I65">
            <v>0</v>
          </cell>
          <cell r="J65">
            <v>0</v>
          </cell>
          <cell r="K65">
            <v>0</v>
          </cell>
          <cell r="L65">
            <v>0</v>
          </cell>
          <cell r="M65">
            <v>0</v>
          </cell>
          <cell r="N65">
            <v>0</v>
          </cell>
          <cell r="O65">
            <v>0</v>
          </cell>
          <cell r="P65">
            <v>0</v>
          </cell>
          <cell r="Q65">
            <v>0</v>
          </cell>
          <cell r="R65">
            <v>0</v>
          </cell>
          <cell r="S65">
            <v>0</v>
          </cell>
          <cell r="T65">
            <v>0</v>
          </cell>
        </row>
        <row r="66">
          <cell r="A66" t="str">
            <v>Vacuna de Influenza estacional - Trivalente - Hemisferio Sur 2025 - Adultos (&gt;=03 Años) - Liquida - Dosis de 0,5mL</v>
          </cell>
          <cell r="B66">
            <v>1080</v>
          </cell>
          <cell r="C66">
            <v>31</v>
          </cell>
          <cell r="D66">
            <v>1111</v>
          </cell>
          <cell r="E66">
            <v>1471</v>
          </cell>
          <cell r="F66">
            <v>2582</v>
          </cell>
          <cell r="G66">
            <v>1103</v>
          </cell>
          <cell r="H66">
            <v>152</v>
          </cell>
          <cell r="I66">
            <v>1255</v>
          </cell>
          <cell r="J66">
            <v>0</v>
          </cell>
          <cell r="K66">
            <v>0</v>
          </cell>
          <cell r="L66">
            <v>0</v>
          </cell>
          <cell r="M66">
            <v>0</v>
          </cell>
          <cell r="N66">
            <v>216</v>
          </cell>
          <cell r="O66">
            <v>0</v>
          </cell>
          <cell r="P66">
            <v>0</v>
          </cell>
          <cell r="Q66">
            <v>0</v>
          </cell>
          <cell r="R66">
            <v>0</v>
          </cell>
          <cell r="S66">
            <v>0</v>
          </cell>
          <cell r="T66">
            <v>1471</v>
          </cell>
        </row>
        <row r="67">
          <cell r="A67" t="str">
            <v>Vacuna de Influenza estacional - Trivalente - Hemisferio Sur 2025 - Pediátrica (Desde los 6 meses a 35 meses) - Liquida - Dosis de 0,25mL</v>
          </cell>
          <cell r="B67">
            <v>683</v>
          </cell>
          <cell r="C67">
            <v>12</v>
          </cell>
          <cell r="D67">
            <v>695</v>
          </cell>
          <cell r="E67">
            <v>232</v>
          </cell>
          <cell r="F67">
            <v>927</v>
          </cell>
          <cell r="G67">
            <v>189</v>
          </cell>
          <cell r="H67">
            <v>43</v>
          </cell>
          <cell r="I67">
            <v>232</v>
          </cell>
          <cell r="J67">
            <v>0</v>
          </cell>
          <cell r="K67">
            <v>0</v>
          </cell>
          <cell r="L67">
            <v>0</v>
          </cell>
          <cell r="M67">
            <v>0</v>
          </cell>
          <cell r="N67">
            <v>0</v>
          </cell>
          <cell r="O67">
            <v>0</v>
          </cell>
          <cell r="P67">
            <v>0</v>
          </cell>
          <cell r="Q67">
            <v>0</v>
          </cell>
          <cell r="R67">
            <v>0</v>
          </cell>
          <cell r="S67">
            <v>0</v>
          </cell>
          <cell r="T67">
            <v>232</v>
          </cell>
        </row>
        <row r="68">
          <cell r="A68" t="str">
            <v>Vacuna de Meningococo ACYW -135 (Conjugado) - Liofilizada - Vial x 01 dosis</v>
          </cell>
          <cell r="B68">
            <v>0</v>
          </cell>
          <cell r="C68">
            <v>0</v>
          </cell>
          <cell r="D68">
            <v>0</v>
          </cell>
          <cell r="E68">
            <v>0</v>
          </cell>
          <cell r="F68">
            <v>0</v>
          </cell>
          <cell r="G68">
            <v>0</v>
          </cell>
          <cell r="H68">
            <v>0</v>
          </cell>
          <cell r="I68">
            <v>0</v>
          </cell>
          <cell r="J68">
            <v>0</v>
          </cell>
          <cell r="K68">
            <v>0</v>
          </cell>
          <cell r="L68">
            <v>0</v>
          </cell>
          <cell r="M68">
            <v>0</v>
          </cell>
          <cell r="N68">
            <v>0</v>
          </cell>
          <cell r="O68">
            <v>0</v>
          </cell>
          <cell r="P68">
            <v>0</v>
          </cell>
          <cell r="Q68">
            <v>0</v>
          </cell>
          <cell r="R68">
            <v>0</v>
          </cell>
          <cell r="S68">
            <v>0</v>
          </cell>
          <cell r="T68">
            <v>0</v>
          </cell>
        </row>
        <row r="69">
          <cell r="A69" t="str">
            <v xml:space="preserve">Vacuna de Poliovirus Inactiva IPV - Liquida </v>
          </cell>
          <cell r="B69">
            <v>2775</v>
          </cell>
          <cell r="C69">
            <v>24</v>
          </cell>
          <cell r="D69">
            <v>2799</v>
          </cell>
          <cell r="E69">
            <v>49</v>
          </cell>
          <cell r="F69">
            <v>2848</v>
          </cell>
          <cell r="G69">
            <v>17</v>
          </cell>
          <cell r="H69">
            <v>32</v>
          </cell>
          <cell r="I69">
            <v>49</v>
          </cell>
          <cell r="J69">
            <v>0</v>
          </cell>
          <cell r="K69">
            <v>0</v>
          </cell>
          <cell r="L69">
            <v>0</v>
          </cell>
          <cell r="M69">
            <v>0</v>
          </cell>
          <cell r="N69">
            <v>0</v>
          </cell>
          <cell r="O69">
            <v>0</v>
          </cell>
          <cell r="P69">
            <v>0</v>
          </cell>
          <cell r="Q69">
            <v>0</v>
          </cell>
          <cell r="R69">
            <v>0</v>
          </cell>
          <cell r="S69">
            <v>0</v>
          </cell>
          <cell r="T69">
            <v>49</v>
          </cell>
        </row>
        <row r="70">
          <cell r="A70" t="str">
            <v>Vacuna de Rotavirus Liquida (administración oral)</v>
          </cell>
          <cell r="B70">
            <v>1098</v>
          </cell>
          <cell r="C70">
            <v>2</v>
          </cell>
          <cell r="D70">
            <v>1100</v>
          </cell>
          <cell r="E70">
            <v>1</v>
          </cell>
          <cell r="F70">
            <v>1101</v>
          </cell>
          <cell r="G70">
            <v>0</v>
          </cell>
          <cell r="H70">
            <v>0</v>
          </cell>
          <cell r="I70">
            <v>0</v>
          </cell>
          <cell r="J70">
            <v>0</v>
          </cell>
          <cell r="K70">
            <v>0</v>
          </cell>
          <cell r="L70">
            <v>0</v>
          </cell>
          <cell r="M70">
            <v>0</v>
          </cell>
          <cell r="N70">
            <v>0</v>
          </cell>
          <cell r="O70">
            <v>0</v>
          </cell>
          <cell r="P70">
            <v>1</v>
          </cell>
          <cell r="Q70">
            <v>0</v>
          </cell>
          <cell r="R70">
            <v>0</v>
          </cell>
          <cell r="S70">
            <v>0</v>
          </cell>
          <cell r="T70">
            <v>1</v>
          </cell>
        </row>
        <row r="71">
          <cell r="A71" t="str">
            <v>Vacuna de Sarampión Rubeola (SR) Liofilizada - Vial x 01 dosis -DOBLE VIRAL</v>
          </cell>
          <cell r="B71">
            <v>1067</v>
          </cell>
          <cell r="C71">
            <v>9</v>
          </cell>
          <cell r="D71">
            <v>1076</v>
          </cell>
          <cell r="E71">
            <v>0</v>
          </cell>
          <cell r="F71">
            <v>1076</v>
          </cell>
          <cell r="G71">
            <v>0</v>
          </cell>
          <cell r="H71">
            <v>0</v>
          </cell>
          <cell r="I71">
            <v>0</v>
          </cell>
          <cell r="J71">
            <v>0</v>
          </cell>
          <cell r="K71">
            <v>0</v>
          </cell>
          <cell r="L71">
            <v>0</v>
          </cell>
          <cell r="M71">
            <v>0</v>
          </cell>
          <cell r="N71">
            <v>0</v>
          </cell>
          <cell r="O71">
            <v>0</v>
          </cell>
          <cell r="P71">
            <v>0</v>
          </cell>
          <cell r="Q71">
            <v>0</v>
          </cell>
          <cell r="R71">
            <v>0</v>
          </cell>
          <cell r="S71">
            <v>0</v>
          </cell>
          <cell r="T71">
            <v>0</v>
          </cell>
        </row>
        <row r="72">
          <cell r="A72" t="str">
            <v>Vacuna de Sarampión Rubeola (SR) Liofilizada - Vial x 10 dosis - DOBLE VIRAL</v>
          </cell>
          <cell r="B72">
            <v>0</v>
          </cell>
          <cell r="C72">
            <v>0</v>
          </cell>
          <cell r="D72">
            <v>0</v>
          </cell>
          <cell r="E72">
            <v>0</v>
          </cell>
          <cell r="F72">
            <v>0</v>
          </cell>
          <cell r="G72">
            <v>0</v>
          </cell>
          <cell r="H72">
            <v>0</v>
          </cell>
          <cell r="I72">
            <v>0</v>
          </cell>
          <cell r="J72">
            <v>0</v>
          </cell>
          <cell r="K72">
            <v>0</v>
          </cell>
          <cell r="L72">
            <v>0</v>
          </cell>
          <cell r="M72">
            <v>0</v>
          </cell>
          <cell r="N72">
            <v>0</v>
          </cell>
          <cell r="O72">
            <v>0</v>
          </cell>
          <cell r="P72">
            <v>0</v>
          </cell>
          <cell r="Q72">
            <v>0</v>
          </cell>
          <cell r="R72">
            <v>0</v>
          </cell>
          <cell r="S72">
            <v>0</v>
          </cell>
          <cell r="T72">
            <v>0</v>
          </cell>
        </row>
        <row r="73">
          <cell r="A73" t="str">
            <v>Vacuna de Sarampión, Rubeola y Paperas (SRP) (Cepa Leningrado-Zagreb) Liofilizado - Vial x 01 dosis - TRIPLE VIRAL</v>
          </cell>
          <cell r="B73">
            <v>1454</v>
          </cell>
          <cell r="C73">
            <v>29</v>
          </cell>
          <cell r="D73">
            <v>1483</v>
          </cell>
          <cell r="E73">
            <v>2</v>
          </cell>
          <cell r="F73">
            <v>1485</v>
          </cell>
          <cell r="G73">
            <v>0</v>
          </cell>
          <cell r="H73">
            <v>0</v>
          </cell>
          <cell r="I73">
            <v>0</v>
          </cell>
          <cell r="J73">
            <v>0</v>
          </cell>
          <cell r="K73">
            <v>0</v>
          </cell>
          <cell r="L73">
            <v>1</v>
          </cell>
          <cell r="M73">
            <v>1</v>
          </cell>
          <cell r="N73">
            <v>0</v>
          </cell>
          <cell r="O73">
            <v>0</v>
          </cell>
          <cell r="P73">
            <v>0</v>
          </cell>
          <cell r="Q73">
            <v>0</v>
          </cell>
          <cell r="R73">
            <v>0</v>
          </cell>
          <cell r="S73">
            <v>0</v>
          </cell>
          <cell r="T73">
            <v>2</v>
          </cell>
        </row>
        <row r="74">
          <cell r="A74" t="str">
            <v>Vacuna de Sarampión, Rubeola y Paperas (SRP) (Cepa Leningrado-Zagreb) Liofilizado - Vial x 05 dosis - TRIPLE VIRAL</v>
          </cell>
          <cell r="B74">
            <v>20</v>
          </cell>
          <cell r="C74">
            <v>0</v>
          </cell>
          <cell r="D74">
            <v>20</v>
          </cell>
          <cell r="E74">
            <v>17</v>
          </cell>
          <cell r="F74">
            <v>37</v>
          </cell>
          <cell r="G74">
            <v>0</v>
          </cell>
          <cell r="H74">
            <v>0</v>
          </cell>
          <cell r="I74">
            <v>0</v>
          </cell>
          <cell r="J74">
            <v>0</v>
          </cell>
          <cell r="K74">
            <v>0</v>
          </cell>
          <cell r="L74">
            <v>0</v>
          </cell>
          <cell r="M74">
            <v>0</v>
          </cell>
          <cell r="N74">
            <v>17</v>
          </cell>
          <cell r="O74">
            <v>0</v>
          </cell>
          <cell r="P74">
            <v>0</v>
          </cell>
          <cell r="Q74">
            <v>0</v>
          </cell>
          <cell r="R74">
            <v>0</v>
          </cell>
          <cell r="S74">
            <v>0</v>
          </cell>
          <cell r="T74">
            <v>17</v>
          </cell>
        </row>
        <row r="75">
          <cell r="A75" t="str">
            <v>Vacuna de Sarampión, Rubeola y Paperas (SRP) (Cepa Leningrado-Zagreb) Liofilizado - Vial x 10 dosis - TRIPLE VIRAL</v>
          </cell>
          <cell r="B75">
            <v>0</v>
          </cell>
          <cell r="C75">
            <v>0</v>
          </cell>
          <cell r="D75">
            <v>0</v>
          </cell>
          <cell r="E75">
            <v>0</v>
          </cell>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row>
        <row r="76">
          <cell r="A76" t="str">
            <v>Vacuna de Tétanos y difteria (Td) Adulto (Toxoide Diftérico) - Liquida</v>
          </cell>
          <cell r="B76">
            <v>1167</v>
          </cell>
          <cell r="C76">
            <v>8</v>
          </cell>
          <cell r="D76">
            <v>1175</v>
          </cell>
          <cell r="E76">
            <v>112</v>
          </cell>
          <cell r="F76">
            <v>1287</v>
          </cell>
          <cell r="G76">
            <v>46</v>
          </cell>
          <cell r="H76">
            <v>66</v>
          </cell>
          <cell r="I76">
            <v>112</v>
          </cell>
          <cell r="J76">
            <v>0</v>
          </cell>
          <cell r="K76">
            <v>0</v>
          </cell>
          <cell r="L76">
            <v>0</v>
          </cell>
          <cell r="M76">
            <v>0</v>
          </cell>
          <cell r="N76">
            <v>0</v>
          </cell>
          <cell r="O76">
            <v>0</v>
          </cell>
          <cell r="P76">
            <v>0</v>
          </cell>
          <cell r="Q76">
            <v>0</v>
          </cell>
          <cell r="R76">
            <v>0</v>
          </cell>
          <cell r="S76">
            <v>0</v>
          </cell>
          <cell r="T76">
            <v>112</v>
          </cell>
        </row>
        <row r="77">
          <cell r="A77" t="str">
            <v>Vacuna de Toxoide Difterico, Toxoide Tétanos y Tos Ferina Acelular (Dtap) (Bordetella pertussis) Adolescente/Adultos/Gesta - Liquida</v>
          </cell>
          <cell r="B77">
            <v>588</v>
          </cell>
          <cell r="C77">
            <v>23</v>
          </cell>
          <cell r="D77">
            <v>611</v>
          </cell>
          <cell r="E77">
            <v>2</v>
          </cell>
          <cell r="F77">
            <v>613</v>
          </cell>
          <cell r="G77">
            <v>0</v>
          </cell>
          <cell r="H77">
            <v>0</v>
          </cell>
          <cell r="I77">
            <v>0</v>
          </cell>
          <cell r="J77">
            <v>2</v>
          </cell>
          <cell r="K77">
            <v>0</v>
          </cell>
          <cell r="L77">
            <v>0</v>
          </cell>
          <cell r="M77">
            <v>0</v>
          </cell>
          <cell r="N77">
            <v>0</v>
          </cell>
          <cell r="O77">
            <v>0</v>
          </cell>
          <cell r="P77">
            <v>0</v>
          </cell>
          <cell r="Q77">
            <v>0</v>
          </cell>
          <cell r="R77">
            <v>0</v>
          </cell>
          <cell r="S77">
            <v>0</v>
          </cell>
          <cell r="T77">
            <v>2</v>
          </cell>
        </row>
        <row r="78">
          <cell r="A78" t="str">
            <v>Vacuna de Varicela Cepa OKA Liofilizada - Liquida</v>
          </cell>
          <cell r="B78">
            <v>1269</v>
          </cell>
          <cell r="C78">
            <v>29</v>
          </cell>
          <cell r="D78">
            <v>1298</v>
          </cell>
          <cell r="E78">
            <v>5</v>
          </cell>
          <cell r="F78">
            <v>1303</v>
          </cell>
          <cell r="G78">
            <v>0</v>
          </cell>
          <cell r="H78">
            <v>0</v>
          </cell>
          <cell r="I78">
            <v>0</v>
          </cell>
          <cell r="J78">
            <v>0</v>
          </cell>
          <cell r="K78">
            <v>0</v>
          </cell>
          <cell r="L78">
            <v>0</v>
          </cell>
          <cell r="M78">
            <v>5</v>
          </cell>
          <cell r="N78">
            <v>0</v>
          </cell>
          <cell r="O78">
            <v>0</v>
          </cell>
          <cell r="P78">
            <v>0</v>
          </cell>
          <cell r="Q78">
            <v>0</v>
          </cell>
          <cell r="R78">
            <v>0</v>
          </cell>
          <cell r="S78">
            <v>0</v>
          </cell>
          <cell r="T78">
            <v>5</v>
          </cell>
        </row>
        <row r="79">
          <cell r="A79" t="str">
            <v>Vacunas de Antitoxina Diftérica (1.000 UI/mL) x 10 mL (1.000 UI/mL) x 10 mL - Liquida</v>
          </cell>
          <cell r="B79">
            <v>0</v>
          </cell>
          <cell r="C79">
            <v>0</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cell r="T79">
            <v>0</v>
          </cell>
        </row>
        <row r="80">
          <cell r="A80" t="str">
            <v>Virus Sincitial Respiratorio (VRS) - Liofilizada</v>
          </cell>
          <cell r="B80">
            <v>452</v>
          </cell>
          <cell r="C80">
            <v>15</v>
          </cell>
          <cell r="D80">
            <v>467</v>
          </cell>
          <cell r="E80">
            <v>0</v>
          </cell>
          <cell r="F80">
            <v>467</v>
          </cell>
          <cell r="G80">
            <v>0</v>
          </cell>
          <cell r="H80">
            <v>0</v>
          </cell>
          <cell r="I80">
            <v>0</v>
          </cell>
          <cell r="J80">
            <v>0</v>
          </cell>
          <cell r="K80">
            <v>0</v>
          </cell>
          <cell r="L80">
            <v>0</v>
          </cell>
          <cell r="M80">
            <v>0</v>
          </cell>
          <cell r="N80">
            <v>0</v>
          </cell>
          <cell r="O80">
            <v>0</v>
          </cell>
          <cell r="P80">
            <v>0</v>
          </cell>
          <cell r="Q80">
            <v>0</v>
          </cell>
          <cell r="R80">
            <v>0</v>
          </cell>
          <cell r="S80">
            <v>0</v>
          </cell>
          <cell r="T80">
            <v>0</v>
          </cell>
        </row>
        <row r="81">
          <cell r="A81" t="str">
            <v>(en blanco)</v>
          </cell>
          <cell r="G81">
            <v>1</v>
          </cell>
          <cell r="J81">
            <v>2</v>
          </cell>
          <cell r="K81">
            <v>3</v>
          </cell>
          <cell r="L81">
            <v>4</v>
          </cell>
          <cell r="M81">
            <v>5</v>
          </cell>
          <cell r="N81">
            <v>6</v>
          </cell>
          <cell r="O81">
            <v>7</v>
          </cell>
          <cell r="P81">
            <v>8</v>
          </cell>
          <cell r="Q81">
            <v>9</v>
          </cell>
          <cell r="R81">
            <v>10</v>
          </cell>
          <cell r="S81">
            <v>11</v>
          </cell>
        </row>
        <row r="82">
          <cell r="A82" t="str">
            <v>Total general</v>
          </cell>
          <cell r="B82">
            <v>54982</v>
          </cell>
          <cell r="C82">
            <v>726</v>
          </cell>
          <cell r="D82">
            <v>55708</v>
          </cell>
          <cell r="E82">
            <v>10866</v>
          </cell>
          <cell r="F82">
            <v>66574</v>
          </cell>
          <cell r="G82">
            <v>7722</v>
          </cell>
          <cell r="H82">
            <v>2849</v>
          </cell>
          <cell r="I82">
            <v>10472</v>
          </cell>
          <cell r="J82">
            <v>72</v>
          </cell>
          <cell r="K82">
            <v>107</v>
          </cell>
          <cell r="L82">
            <v>134</v>
          </cell>
          <cell r="M82">
            <v>181</v>
          </cell>
          <cell r="N82">
            <v>433</v>
          </cell>
          <cell r="O82">
            <v>226</v>
          </cell>
          <cell r="P82">
            <v>239</v>
          </cell>
          <cell r="Q82">
            <v>268</v>
          </cell>
          <cell r="R82">
            <v>294</v>
          </cell>
          <cell r="S82">
            <v>329</v>
          </cell>
          <cell r="T82">
            <v>10949</v>
          </cell>
          <cell r="U82">
            <v>196</v>
          </cell>
        </row>
      </sheetData>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4.xml.rels><Relationships xmlns="http://schemas.openxmlformats.org/package/2006/relationships"><Relationship Type="http://schemas.openxmlformats.org/officeDocument/2006/relationships/drawing" Target="/xl/drawings/drawing2.xml" Id="rId1"/></Relationships>
</file>

<file path=xl/worksheets/_rels/sheet5.xml.rels><Relationships xmlns="http://schemas.openxmlformats.org/package/2006/relationships"><Relationship Type="http://schemas.openxmlformats.org/officeDocument/2006/relationships/drawing" Target="/xl/drawings/drawing3.xml" Id="rId1"/></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comments" Target="/xl/comments/comment2.xml" Id="comments"/><Relationship Type="http://schemas.openxmlformats.org/officeDocument/2006/relationships/vmlDrawing" Target="/xl/drawings/vmlDrawing2.vml" Id="anysvml"/></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comments" Target="/xl/comments/comment3.xml" Id="comments"/><Relationship Type="http://schemas.openxmlformats.org/officeDocument/2006/relationships/vmlDrawing" Target="/xl/drawings/vmlDrawing3.vml" Id="anysvml"/></Relationships>
</file>

<file path=xl/worksheets/_rels/sheet8.xml.rels><Relationships xmlns="http://schemas.openxmlformats.org/package/2006/relationships"><Relationship Type="http://schemas.openxmlformats.org/officeDocument/2006/relationships/drawing" Target="/xl/drawings/drawing6.xml" Id="rId1"/><Relationship Type="http://schemas.openxmlformats.org/officeDocument/2006/relationships/comments" Target="/xl/comments/comment4.xml" Id="comments"/><Relationship Type="http://schemas.openxmlformats.org/officeDocument/2006/relationships/vmlDrawing" Target="/xl/drawings/vmlDrawing4.vml" Id="anysvml"/></Relationships>
</file>

<file path=xl/worksheets/_rels/sheet9.xml.rels><Relationships xmlns="http://schemas.openxmlformats.org/package/2006/relationships"><Relationship Type="http://schemas.openxmlformats.org/officeDocument/2006/relationships/drawing" Target="/xl/drawings/drawing7.xml" Id="rId1"/><Relationship Type="http://schemas.openxmlformats.org/officeDocument/2006/relationships/comments" Target="/xl/comments/comment5.xml" Id="comments"/><Relationship Type="http://schemas.openxmlformats.org/officeDocument/2006/relationships/vmlDrawing" Target="/xl/drawings/vmlDrawing5.vml" Id="anysvml"/></Relationships>
</file>

<file path=xl/worksheets/_rels/sheet10.xml.rels><Relationships xmlns="http://schemas.openxmlformats.org/package/2006/relationships"><Relationship Type="http://schemas.openxmlformats.org/officeDocument/2006/relationships/drawing" Target="/xl/drawings/drawing8.xml" Id="rId1"/><Relationship Type="http://schemas.openxmlformats.org/officeDocument/2006/relationships/comments" Target="/xl/comments/comment6.xml" Id="comments"/><Relationship Type="http://schemas.openxmlformats.org/officeDocument/2006/relationships/vmlDrawing" Target="/xl/drawings/vmlDrawing6.vml" Id="anysvml"/></Relationships>
</file>

<file path=xl/worksheets/_rels/sheet11.xml.rels><Relationships xmlns="http://schemas.openxmlformats.org/package/2006/relationships"><Relationship Type="http://schemas.openxmlformats.org/officeDocument/2006/relationships/drawing" Target="/xl/drawings/drawing9.xml" Id="rId1"/><Relationship Type="http://schemas.openxmlformats.org/officeDocument/2006/relationships/comments" Target="/xl/comments/comment7.xml" Id="comments"/><Relationship Type="http://schemas.openxmlformats.org/officeDocument/2006/relationships/vmlDrawing" Target="/xl/drawings/vmlDrawing7.vml" Id="anysvml"/></Relationships>
</file>

<file path=xl/worksheets/_rels/sheet12.xml.rels><Relationships xmlns="http://schemas.openxmlformats.org/package/2006/relationships"><Relationship Type="http://schemas.openxmlformats.org/officeDocument/2006/relationships/drawing" Target="/xl/drawings/drawing10.xml" Id="rId1"/><Relationship Type="http://schemas.openxmlformats.org/officeDocument/2006/relationships/comments" Target="/xl/comments/comment8.xml" Id="comments"/><Relationship Type="http://schemas.openxmlformats.org/officeDocument/2006/relationships/vmlDrawing" Target="/xl/drawings/vmlDrawing8.vml" Id="anysvml"/></Relationships>
</file>

<file path=xl/worksheets/_rels/sheet13.xml.rels><Relationships xmlns="http://schemas.openxmlformats.org/package/2006/relationships"><Relationship Type="http://schemas.openxmlformats.org/officeDocument/2006/relationships/drawing" Target="/xl/drawings/drawing11.xml" Id="rId1"/><Relationship Type="http://schemas.openxmlformats.org/officeDocument/2006/relationships/comments" Target="/xl/comments/comment9.xml" Id="comments"/><Relationship Type="http://schemas.openxmlformats.org/officeDocument/2006/relationships/vmlDrawing" Target="/xl/drawings/vmlDrawing9.vml" Id="anysvml"/></Relationships>
</file>

<file path=xl/worksheets/_rels/sheet14.xml.rels><Relationships xmlns="http://schemas.openxmlformats.org/package/2006/relationships"><Relationship Type="http://schemas.openxmlformats.org/officeDocument/2006/relationships/drawing" Target="/xl/drawings/drawing12.xml" Id="rId1"/><Relationship Type="http://schemas.openxmlformats.org/officeDocument/2006/relationships/comments" Target="/xl/comments/comment10.xml" Id="comments"/><Relationship Type="http://schemas.openxmlformats.org/officeDocument/2006/relationships/vmlDrawing" Target="/xl/drawings/vmlDrawing10.vml" Id="anysvml"/></Relationships>
</file>

<file path=xl/worksheets/_rels/sheet15.xml.rels><Relationships xmlns="http://schemas.openxmlformats.org/package/2006/relationships"><Relationship Type="http://schemas.openxmlformats.org/officeDocument/2006/relationships/drawing" Target="/xl/drawings/drawing13.xml" Id="rId1"/><Relationship Type="http://schemas.openxmlformats.org/officeDocument/2006/relationships/comments" Target="/xl/comments/comment11.xml" Id="comments"/><Relationship Type="http://schemas.openxmlformats.org/officeDocument/2006/relationships/vmlDrawing" Target="/xl/drawings/vmlDrawing11.vml" Id="anysvml"/></Relationships>
</file>

<file path=xl/worksheets/_rels/sheet16.xml.rels><Relationships xmlns="http://schemas.openxmlformats.org/package/2006/relationships"><Relationship Type="http://schemas.openxmlformats.org/officeDocument/2006/relationships/drawing" Target="/xl/drawings/drawing14.xml" Id="rId1"/><Relationship Type="http://schemas.openxmlformats.org/officeDocument/2006/relationships/comments" Target="/xl/comments/comment12.xml" Id="comments"/><Relationship Type="http://schemas.openxmlformats.org/officeDocument/2006/relationships/vmlDrawing" Target="/xl/drawings/vmlDrawing12.vml" Id="anysvml"/></Relationships>
</file>

<file path=xl/worksheets/_rels/sheet17.xml.rels><Relationships xmlns="http://schemas.openxmlformats.org/package/2006/relationships"><Relationship Type="http://schemas.openxmlformats.org/officeDocument/2006/relationships/drawing" Target="/xl/drawings/drawing15.xml" Id="rId1"/><Relationship Type="http://schemas.openxmlformats.org/officeDocument/2006/relationships/comments" Target="/xl/comments/comment13.xml" Id="comments"/><Relationship Type="http://schemas.openxmlformats.org/officeDocument/2006/relationships/vmlDrawing" Target="/xl/drawings/vmlDrawing13.vml" Id="anysvml"/></Relationships>
</file>

<file path=xl/worksheets/sheet1.xml><?xml version="1.0" encoding="utf-8"?>
<worksheet xmlns="http://schemas.openxmlformats.org/spreadsheetml/2006/main">
  <sheetPr codeName="Hoja15">
    <outlinePr summaryBelow="1" summaryRight="1"/>
    <pageSetUpPr/>
  </sheetPr>
  <dimension ref="A1:O1124"/>
  <sheetViews>
    <sheetView workbookViewId="0">
      <selection activeCell="A1" sqref="A1"/>
    </sheetView>
  </sheetViews>
  <sheetFormatPr baseColWidth="10" defaultColWidth="11.44140625" defaultRowHeight="14.4"/>
  <cols>
    <col width="27.5546875" customWidth="1" min="1" max="1"/>
  </cols>
  <sheetData>
    <row r="1">
      <c r="A1" t="inlineStr">
        <is>
          <t>ET</t>
        </is>
      </c>
      <c r="C1" t="inlineStr">
        <is>
          <t>enero</t>
        </is>
      </c>
      <c r="D1" t="inlineStr">
        <is>
          <t>febrero</t>
        </is>
      </c>
      <c r="E1" t="inlineStr">
        <is>
          <t>marzo</t>
        </is>
      </c>
      <c r="F1" t="inlineStr">
        <is>
          <t>abril</t>
        </is>
      </c>
      <c r="G1" t="inlineStr">
        <is>
          <t>mayo</t>
        </is>
      </c>
      <c r="H1" t="inlineStr">
        <is>
          <t>junio</t>
        </is>
      </c>
      <c r="I1" t="inlineStr">
        <is>
          <t>julio</t>
        </is>
      </c>
      <c r="J1" t="inlineStr">
        <is>
          <t>agosto</t>
        </is>
      </c>
      <c r="K1" t="inlineStr">
        <is>
          <t>septiembre</t>
        </is>
      </c>
      <c r="L1" t="inlineStr">
        <is>
          <t>octubre</t>
        </is>
      </c>
      <c r="M1" t="inlineStr">
        <is>
          <t>noviembre</t>
        </is>
      </c>
      <c r="N1" t="inlineStr">
        <is>
          <t>diciembre</t>
        </is>
      </c>
      <c r="O1" t="inlineStr">
        <is>
          <t>Consolidado</t>
        </is>
      </c>
    </row>
    <row r="2">
      <c r="C2" s="163">
        <f>IF(SUM(#REF!)&gt;=1,1,0)</f>
        <v/>
      </c>
      <c r="D2" s="163">
        <f>IF(SUM(#REF!)&gt;=1,1,0)</f>
        <v/>
      </c>
      <c r="E2" s="163">
        <f>IF(SUM(#REF!)&gt;=1,1,0)</f>
        <v/>
      </c>
      <c r="F2" s="163">
        <f>IF(SUM(#REF!)&gt;=1,1,0)</f>
        <v/>
      </c>
      <c r="G2" s="163">
        <f>IF(SUM(#REF!)&gt;=1,1,0)</f>
        <v/>
      </c>
      <c r="H2" s="163">
        <f>IF(SUM(#REF!)&gt;=1,1,0)</f>
        <v/>
      </c>
      <c r="I2" s="163">
        <f>IF(SUM(#REF!)&gt;=1,1,0)</f>
        <v/>
      </c>
      <c r="J2" s="163">
        <f>IF(SUM(#REF!)&gt;=1,1,0)</f>
        <v/>
      </c>
      <c r="K2" s="163">
        <f>IF(SUM(#REF!)&gt;=1,1,0)</f>
        <v/>
      </c>
      <c r="L2" s="163">
        <f>IF(SUM(#REF!)&gt;=1,1,0)</f>
        <v/>
      </c>
      <c r="M2" s="163">
        <f>IF(SUM(#REF!)&gt;=1,1,0)</f>
        <v/>
      </c>
      <c r="N2" s="163">
        <f>IF(SUM(ENERO!$AR$13:$AR$877)&gt;=1,1,0)</f>
        <v/>
      </c>
      <c r="O2" s="163">
        <f>IF(SUM(#REF!)&gt;=1,1,0)</f>
        <v/>
      </c>
    </row>
    <row r="3" ht="216" customHeight="1">
      <c r="A3" t="inlineStr">
        <is>
          <t>05001 Medellin</t>
        </is>
      </c>
      <c r="B3" t="inlineStr">
        <is>
          <t>05 ANTIOQUIA</t>
        </is>
      </c>
      <c r="C3" s="164" t="inlineStr">
        <is>
          <t>Diferencia en los totales de perdidas y totales causas de perdidas
Valide celdas en amarillo, en totales causas de perdidas, en la hoja</t>
        </is>
      </c>
      <c r="D3" s="164" t="inlineStr">
        <is>
          <t>Diferencia en los totales de perdidas y totales causas de perdidas
Valide celdas en amarillo, en totales causas de perdidas, en la hoja</t>
        </is>
      </c>
      <c r="E3" s="164" t="inlineStr">
        <is>
          <t>Diferencia en los totales de perdidas y totales causas de perdidas
Valide celdas en amarillo, en totales causas de perdidas, en la hoja</t>
        </is>
      </c>
      <c r="F3" s="164" t="inlineStr">
        <is>
          <t>Diferencia en los totales de perdidas y totales causas de perdidas
Valide celdas en amarillo, en totales causas de perdidas, en la hoja</t>
        </is>
      </c>
      <c r="G3" s="164" t="inlineStr">
        <is>
          <t>Diferencia en los totales de perdidas y totales causas de perdidas
Valide celdas en amarillo, en totales causas de perdidas, en la hoja</t>
        </is>
      </c>
      <c r="H3" s="164" t="inlineStr">
        <is>
          <t>Diferencia en los totales de perdidas y totales causas de perdidas
Valide celdas en amarillo, en totales causas de perdidas, en la hoja</t>
        </is>
      </c>
      <c r="I3" s="164" t="inlineStr">
        <is>
          <t>Diferencia en los totales de perdidas y totales causas de perdidas
Valide celdas en amarillo, en totales causas de perdidas, en la hoja</t>
        </is>
      </c>
      <c r="J3" s="164" t="inlineStr">
        <is>
          <t>Diferencia en los totales de perdidas y totales causas de perdidas
Valide celdas en amarillo, en totales causas de perdidas, en la hoja</t>
        </is>
      </c>
      <c r="K3" s="164" t="inlineStr">
        <is>
          <t>Diferencia en los totales de perdidas y totales causas de perdidas
Valide celdas en amarillo, en totales causas de perdidas, en la hoja</t>
        </is>
      </c>
      <c r="L3" s="164" t="inlineStr">
        <is>
          <t>Diferencia en los totales de perdidas y totales causas de perdidas
Valide celdas en amarillo, en totales causas de perdidas, en la hoja</t>
        </is>
      </c>
      <c r="M3" s="164" t="inlineStr">
        <is>
          <t>Diferencia en los totales de perdidas y totales causas de perdidas
Valide celdas en amarillo, en totales causas de perdidas, en la hoja</t>
        </is>
      </c>
      <c r="N3" s="164" t="inlineStr">
        <is>
          <t>Diferencia en los totales de perdidas y totales causas de perdidas
Valide celdas en amarillo, en totales causas de perdidas, en la hoja</t>
        </is>
      </c>
      <c r="O3" s="164" t="inlineStr">
        <is>
          <t>Diferencia en los totales de perdidas y totales causas de perdidas
Valide celdas en amarillo, en totales causas de perdidas, en la hoja</t>
        </is>
      </c>
    </row>
    <row r="4">
      <c r="A4" t="inlineStr">
        <is>
          <t>05002 Abejorral</t>
        </is>
      </c>
      <c r="B4" t="inlineStr">
        <is>
          <t>05 ANTIOQUIA</t>
        </is>
      </c>
      <c r="C4">
        <f>+C3&amp;" "&amp;C1</f>
        <v/>
      </c>
      <c r="D4">
        <f>+D3&amp;" "&amp;D1</f>
        <v/>
      </c>
      <c r="E4">
        <f>+E3&amp;" "&amp;E1</f>
        <v/>
      </c>
      <c r="F4">
        <f>+F3&amp;" "&amp;F1</f>
        <v/>
      </c>
      <c r="G4">
        <f>+G3&amp;" "&amp;G1</f>
        <v/>
      </c>
      <c r="H4">
        <f>+H3&amp;" "&amp;H1</f>
        <v/>
      </c>
      <c r="I4">
        <f>+I3&amp;" "&amp;I1</f>
        <v/>
      </c>
      <c r="J4">
        <f>+J3&amp;" "&amp;J1</f>
        <v/>
      </c>
      <c r="K4">
        <f>+K3&amp;" "&amp;K1</f>
        <v/>
      </c>
      <c r="L4">
        <f>+L3&amp;" "&amp;L1</f>
        <v/>
      </c>
      <c r="M4">
        <f>+M3&amp;" "&amp;M1</f>
        <v/>
      </c>
      <c r="N4">
        <f>+N3&amp;" "&amp;N1</f>
        <v/>
      </c>
      <c r="O4">
        <f>+O3&amp;" "&amp;O1</f>
        <v/>
      </c>
    </row>
    <row r="5">
      <c r="A5" t="inlineStr">
        <is>
          <t>05004 Abriaqui</t>
        </is>
      </c>
      <c r="B5" t="inlineStr">
        <is>
          <t>05 ANTIOQUIA</t>
        </is>
      </c>
      <c r="C5">
        <f>+IF(SUM(C2:O2)&lt;&gt;0,1,0)</f>
        <v/>
      </c>
    </row>
    <row r="6">
      <c r="A6" t="inlineStr">
        <is>
          <t>05021 Alejandria</t>
        </is>
      </c>
      <c r="B6" t="inlineStr">
        <is>
          <t>05 ANTIOQUIA</t>
        </is>
      </c>
    </row>
    <row r="7">
      <c r="A7" t="inlineStr">
        <is>
          <t>05030 Amaga</t>
        </is>
      </c>
      <c r="B7" t="inlineStr">
        <is>
          <t>05 ANTIOQUIA</t>
        </is>
      </c>
      <c r="C7">
        <f>+HLOOKUP(C5,C2:O4,3,0)</f>
        <v/>
      </c>
    </row>
    <row r="8">
      <c r="A8" t="inlineStr">
        <is>
          <t>05031 Amalfi</t>
        </is>
      </c>
      <c r="B8" t="inlineStr">
        <is>
          <t>05 ANTIOQUIA</t>
        </is>
      </c>
    </row>
    <row r="9">
      <c r="A9" t="inlineStr">
        <is>
          <t>05034 Andes</t>
        </is>
      </c>
      <c r="B9" t="inlineStr">
        <is>
          <t>05 ANTIOQUIA</t>
        </is>
      </c>
    </row>
    <row r="10">
      <c r="A10" t="inlineStr">
        <is>
          <t>05036 Angelopolis</t>
        </is>
      </c>
      <c r="B10" t="inlineStr">
        <is>
          <t>05 ANTIOQUIA</t>
        </is>
      </c>
    </row>
    <row r="11">
      <c r="A11" t="inlineStr">
        <is>
          <t>05038 Angostura</t>
        </is>
      </c>
      <c r="B11" t="inlineStr">
        <is>
          <t>05 ANTIOQUIA</t>
        </is>
      </c>
    </row>
    <row r="12">
      <c r="A12" t="inlineStr">
        <is>
          <t>05040 Anori</t>
        </is>
      </c>
      <c r="B12" t="inlineStr">
        <is>
          <t>05 ANTIOQUIA</t>
        </is>
      </c>
    </row>
    <row r="13">
      <c r="A13" t="inlineStr">
        <is>
          <t>05042 Santafe de Antioquia</t>
        </is>
      </c>
      <c r="B13" t="inlineStr">
        <is>
          <t>05 ANTIOQUIA</t>
        </is>
      </c>
    </row>
    <row r="14">
      <c r="A14" t="inlineStr">
        <is>
          <t>05044 Anza</t>
        </is>
      </c>
      <c r="B14" t="inlineStr">
        <is>
          <t>05 ANTIOQUIA</t>
        </is>
      </c>
    </row>
    <row r="15">
      <c r="A15" t="inlineStr">
        <is>
          <t>05045 Apartado</t>
        </is>
      </c>
      <c r="B15" t="inlineStr">
        <is>
          <t>05 ANTIOQUIA</t>
        </is>
      </c>
    </row>
    <row r="16">
      <c r="A16" t="inlineStr">
        <is>
          <t>05051 Arboletes</t>
        </is>
      </c>
      <c r="B16" t="inlineStr">
        <is>
          <t>05 ANTIOQUIA</t>
        </is>
      </c>
    </row>
    <row r="17">
      <c r="A17" t="inlineStr">
        <is>
          <t>05055 Argelia</t>
        </is>
      </c>
      <c r="B17" t="inlineStr">
        <is>
          <t>05 ANTIOQUIA</t>
        </is>
      </c>
    </row>
    <row r="18">
      <c r="A18" t="inlineStr">
        <is>
          <t>05059 Armenia</t>
        </is>
      </c>
      <c r="B18" t="inlineStr">
        <is>
          <t>05 ANTIOQUIA</t>
        </is>
      </c>
    </row>
    <row r="19">
      <c r="A19" t="inlineStr">
        <is>
          <t>05079 Barbosa</t>
        </is>
      </c>
      <c r="B19" t="inlineStr">
        <is>
          <t>05 ANTIOQUIA</t>
        </is>
      </c>
    </row>
    <row r="20">
      <c r="A20" t="inlineStr">
        <is>
          <t>05086 Belmira</t>
        </is>
      </c>
      <c r="B20" t="inlineStr">
        <is>
          <t>05 ANTIOQUIA</t>
        </is>
      </c>
    </row>
    <row r="21">
      <c r="A21" t="inlineStr">
        <is>
          <t>05088 Bello</t>
        </is>
      </c>
      <c r="B21" t="inlineStr">
        <is>
          <t>05 ANTIOQUIA</t>
        </is>
      </c>
    </row>
    <row r="22">
      <c r="A22" t="inlineStr">
        <is>
          <t>05091 Betania</t>
        </is>
      </c>
      <c r="B22" t="inlineStr">
        <is>
          <t>05 ANTIOQUIA</t>
        </is>
      </c>
    </row>
    <row r="23">
      <c r="A23" t="inlineStr">
        <is>
          <t>05093 Betulia</t>
        </is>
      </c>
      <c r="B23" t="inlineStr">
        <is>
          <t>05 ANTIOQUIA</t>
        </is>
      </c>
    </row>
    <row r="24">
      <c r="A24" t="inlineStr">
        <is>
          <t>05101 Ciudad Bolivar</t>
        </is>
      </c>
      <c r="B24" t="inlineStr">
        <is>
          <t>05 ANTIOQUIA</t>
        </is>
      </c>
    </row>
    <row r="25">
      <c r="A25" t="inlineStr">
        <is>
          <t>05107 Briceño</t>
        </is>
      </c>
      <c r="B25" t="inlineStr">
        <is>
          <t>05 ANTIOQUIA</t>
        </is>
      </c>
    </row>
    <row r="26">
      <c r="A26" t="inlineStr">
        <is>
          <t>05113 Buritica</t>
        </is>
      </c>
      <c r="B26" t="inlineStr">
        <is>
          <t>05 ANTIOQUIA</t>
        </is>
      </c>
    </row>
    <row r="27">
      <c r="A27" t="inlineStr">
        <is>
          <t>05120 Caceres</t>
        </is>
      </c>
      <c r="B27" t="inlineStr">
        <is>
          <t>05 ANTIOQUIA</t>
        </is>
      </c>
    </row>
    <row r="28">
      <c r="A28" t="inlineStr">
        <is>
          <t>05125 Caicedo</t>
        </is>
      </c>
      <c r="B28" t="inlineStr">
        <is>
          <t>05 ANTIOQUIA</t>
        </is>
      </c>
    </row>
    <row r="29">
      <c r="A29" t="inlineStr">
        <is>
          <t>05129 Caldas</t>
        </is>
      </c>
      <c r="B29" t="inlineStr">
        <is>
          <t>05 ANTIOQUIA</t>
        </is>
      </c>
    </row>
    <row r="30">
      <c r="A30" t="inlineStr">
        <is>
          <t>05134 Campamento</t>
        </is>
      </c>
      <c r="B30" t="inlineStr">
        <is>
          <t>05 ANTIOQUIA</t>
        </is>
      </c>
    </row>
    <row r="31">
      <c r="A31" t="inlineStr">
        <is>
          <t>05138 Cañasgordas</t>
        </is>
      </c>
      <c r="B31" t="inlineStr">
        <is>
          <t>05 ANTIOQUIA</t>
        </is>
      </c>
    </row>
    <row r="32">
      <c r="A32" t="inlineStr">
        <is>
          <t>05142 Caracoli</t>
        </is>
      </c>
      <c r="B32" t="inlineStr">
        <is>
          <t>05 ANTIOQUIA</t>
        </is>
      </c>
    </row>
    <row r="33">
      <c r="A33" t="inlineStr">
        <is>
          <t>05145 Caramanta</t>
        </is>
      </c>
      <c r="B33" t="inlineStr">
        <is>
          <t>05 ANTIOQUIA</t>
        </is>
      </c>
    </row>
    <row r="34">
      <c r="A34" t="inlineStr">
        <is>
          <t>05147 Carepa</t>
        </is>
      </c>
      <c r="B34" t="inlineStr">
        <is>
          <t>05 ANTIOQUIA</t>
        </is>
      </c>
    </row>
    <row r="35">
      <c r="A35" t="inlineStr">
        <is>
          <t>05148 El Carmen de Viboral</t>
        </is>
      </c>
      <c r="B35" t="inlineStr">
        <is>
          <t>05 ANTIOQUIA</t>
        </is>
      </c>
    </row>
    <row r="36">
      <c r="A36" t="inlineStr">
        <is>
          <t>05150 Carolina</t>
        </is>
      </c>
      <c r="B36" t="inlineStr">
        <is>
          <t>05 ANTIOQUIA</t>
        </is>
      </c>
    </row>
    <row r="37">
      <c r="A37" t="inlineStr">
        <is>
          <t>05154 Caucasia</t>
        </is>
      </c>
      <c r="B37" t="inlineStr">
        <is>
          <t>05 ANTIOQUIA</t>
        </is>
      </c>
    </row>
    <row r="38">
      <c r="A38" t="inlineStr">
        <is>
          <t>05172 Chigorodo</t>
        </is>
      </c>
      <c r="B38" t="inlineStr">
        <is>
          <t>05 ANTIOQUIA</t>
        </is>
      </c>
    </row>
    <row r="39">
      <c r="A39" t="inlineStr">
        <is>
          <t>05190 Cisneros</t>
        </is>
      </c>
      <c r="B39" t="inlineStr">
        <is>
          <t>05 ANTIOQUIA</t>
        </is>
      </c>
    </row>
    <row r="40">
      <c r="A40" t="inlineStr">
        <is>
          <t>05197 Cocorna</t>
        </is>
      </c>
      <c r="B40" t="inlineStr">
        <is>
          <t>05 ANTIOQUIA</t>
        </is>
      </c>
    </row>
    <row r="41">
      <c r="A41" t="inlineStr">
        <is>
          <t>05206 Concepcion</t>
        </is>
      </c>
      <c r="B41" t="inlineStr">
        <is>
          <t>05 ANTIOQUIA</t>
        </is>
      </c>
    </row>
    <row r="42">
      <c r="A42" t="inlineStr">
        <is>
          <t>05209 Concordia</t>
        </is>
      </c>
      <c r="B42" t="inlineStr">
        <is>
          <t>05 ANTIOQUIA</t>
        </is>
      </c>
    </row>
    <row r="43">
      <c r="A43" t="inlineStr">
        <is>
          <t>05212 Copacabana</t>
        </is>
      </c>
      <c r="B43" t="inlineStr">
        <is>
          <t>05 ANTIOQUIA</t>
        </is>
      </c>
    </row>
    <row r="44">
      <c r="A44" t="inlineStr">
        <is>
          <t>05234 Dabeiba</t>
        </is>
      </c>
      <c r="B44" t="inlineStr">
        <is>
          <t>05 ANTIOQUIA</t>
        </is>
      </c>
    </row>
    <row r="45">
      <c r="A45" t="inlineStr">
        <is>
          <t>05237 Don Matias</t>
        </is>
      </c>
      <c r="B45" t="inlineStr">
        <is>
          <t>05 ANTIOQUIA</t>
        </is>
      </c>
    </row>
    <row r="46">
      <c r="A46" t="inlineStr">
        <is>
          <t>05240 Ebejico</t>
        </is>
      </c>
      <c r="B46" t="inlineStr">
        <is>
          <t>05 ANTIOQUIA</t>
        </is>
      </c>
    </row>
    <row r="47">
      <c r="A47" t="inlineStr">
        <is>
          <t>05250 El Bagre</t>
        </is>
      </c>
      <c r="B47" t="inlineStr">
        <is>
          <t>05 ANTIOQUIA</t>
        </is>
      </c>
    </row>
    <row r="48">
      <c r="A48" t="inlineStr">
        <is>
          <t>05264 Entrerrios</t>
        </is>
      </c>
      <c r="B48" t="inlineStr">
        <is>
          <t>05 ANTIOQUIA</t>
        </is>
      </c>
    </row>
    <row r="49">
      <c r="A49" t="inlineStr">
        <is>
          <t>05266 Envigado</t>
        </is>
      </c>
      <c r="B49" t="inlineStr">
        <is>
          <t>05 ANTIOQUIA</t>
        </is>
      </c>
    </row>
    <row r="50">
      <c r="A50" t="inlineStr">
        <is>
          <t>05282 Fredonia</t>
        </is>
      </c>
      <c r="B50" t="inlineStr">
        <is>
          <t>05 ANTIOQUIA</t>
        </is>
      </c>
    </row>
    <row r="51">
      <c r="A51" t="inlineStr">
        <is>
          <t>05284 Frontino</t>
        </is>
      </c>
      <c r="B51" t="inlineStr">
        <is>
          <t>05 ANTIOQUIA</t>
        </is>
      </c>
    </row>
    <row r="52">
      <c r="A52" t="inlineStr">
        <is>
          <t>05306 Giraldo</t>
        </is>
      </c>
      <c r="B52" t="inlineStr">
        <is>
          <t>05 ANTIOQUIA</t>
        </is>
      </c>
    </row>
    <row r="53">
      <c r="A53" t="inlineStr">
        <is>
          <t>05308 Girardota</t>
        </is>
      </c>
      <c r="B53" t="inlineStr">
        <is>
          <t>05 ANTIOQUIA</t>
        </is>
      </c>
    </row>
    <row r="54">
      <c r="A54" t="inlineStr">
        <is>
          <t>05310 Gomez Plata</t>
        </is>
      </c>
      <c r="B54" t="inlineStr">
        <is>
          <t>05 ANTIOQUIA</t>
        </is>
      </c>
    </row>
    <row r="55">
      <c r="A55" t="inlineStr">
        <is>
          <t>05313 Granada</t>
        </is>
      </c>
      <c r="B55" t="inlineStr">
        <is>
          <t>05 ANTIOQUIA</t>
        </is>
      </c>
    </row>
    <row r="56">
      <c r="A56" t="inlineStr">
        <is>
          <t>05315 Guadalupe</t>
        </is>
      </c>
      <c r="B56" t="inlineStr">
        <is>
          <t>05 ANTIOQUIA</t>
        </is>
      </c>
    </row>
    <row r="57">
      <c r="A57" t="inlineStr">
        <is>
          <t>05318 Guarne</t>
        </is>
      </c>
      <c r="B57" t="inlineStr">
        <is>
          <t>05 ANTIOQUIA</t>
        </is>
      </c>
    </row>
    <row r="58">
      <c r="A58" t="inlineStr">
        <is>
          <t>05321 Guatape</t>
        </is>
      </c>
      <c r="B58" t="inlineStr">
        <is>
          <t>05 ANTIOQUIA</t>
        </is>
      </c>
    </row>
    <row r="59">
      <c r="A59" t="inlineStr">
        <is>
          <t>05347 Heliconia</t>
        </is>
      </c>
      <c r="B59" t="inlineStr">
        <is>
          <t>05 ANTIOQUIA</t>
        </is>
      </c>
    </row>
    <row r="60">
      <c r="A60" t="inlineStr">
        <is>
          <t>05353 Hispania</t>
        </is>
      </c>
      <c r="B60" t="inlineStr">
        <is>
          <t>05 ANTIOQUIA</t>
        </is>
      </c>
    </row>
    <row r="61">
      <c r="A61" t="inlineStr">
        <is>
          <t>05360 Itagui</t>
        </is>
      </c>
      <c r="B61" t="inlineStr">
        <is>
          <t>05 ANTIOQUIA</t>
        </is>
      </c>
    </row>
    <row r="62">
      <c r="A62" t="inlineStr">
        <is>
          <t>05361 Ituango</t>
        </is>
      </c>
      <c r="B62" t="inlineStr">
        <is>
          <t>05 ANTIOQUIA</t>
        </is>
      </c>
    </row>
    <row r="63">
      <c r="A63" t="inlineStr">
        <is>
          <t>05364 Jardin</t>
        </is>
      </c>
      <c r="B63" t="inlineStr">
        <is>
          <t>05 ANTIOQUIA</t>
        </is>
      </c>
    </row>
    <row r="64">
      <c r="A64" t="inlineStr">
        <is>
          <t>05368 Jerico</t>
        </is>
      </c>
      <c r="B64" t="inlineStr">
        <is>
          <t>05 ANTIOQUIA</t>
        </is>
      </c>
    </row>
    <row r="65">
      <c r="A65" t="inlineStr">
        <is>
          <t>05376 La Ceja</t>
        </is>
      </c>
      <c r="B65" t="inlineStr">
        <is>
          <t>05 ANTIOQUIA</t>
        </is>
      </c>
    </row>
    <row r="66">
      <c r="A66" t="inlineStr">
        <is>
          <t>05380 La Estrella</t>
        </is>
      </c>
      <c r="B66" t="inlineStr">
        <is>
          <t>05 ANTIOQUIA</t>
        </is>
      </c>
    </row>
    <row r="67">
      <c r="A67" t="inlineStr">
        <is>
          <t>05390 La Pintada</t>
        </is>
      </c>
      <c r="B67" t="inlineStr">
        <is>
          <t>05 ANTIOQUIA</t>
        </is>
      </c>
    </row>
    <row r="68">
      <c r="A68" t="inlineStr">
        <is>
          <t>05400 La Union</t>
        </is>
      </c>
      <c r="B68" t="inlineStr">
        <is>
          <t>05 ANTIOQUIA</t>
        </is>
      </c>
    </row>
    <row r="69">
      <c r="A69" t="inlineStr">
        <is>
          <t>05411 Liborina</t>
        </is>
      </c>
      <c r="B69" t="inlineStr">
        <is>
          <t>05 ANTIOQUIA</t>
        </is>
      </c>
    </row>
    <row r="70">
      <c r="A70" t="inlineStr">
        <is>
          <t>05425 Maceo</t>
        </is>
      </c>
      <c r="B70" t="inlineStr">
        <is>
          <t>05 ANTIOQUIA</t>
        </is>
      </c>
    </row>
    <row r="71">
      <c r="A71" t="inlineStr">
        <is>
          <t>05440 Marinilla</t>
        </is>
      </c>
      <c r="B71" t="inlineStr">
        <is>
          <t>05 ANTIOQUIA</t>
        </is>
      </c>
    </row>
    <row r="72">
      <c r="A72" t="inlineStr">
        <is>
          <t>05467 Montebello</t>
        </is>
      </c>
      <c r="B72" t="inlineStr">
        <is>
          <t>05 ANTIOQUIA</t>
        </is>
      </c>
    </row>
    <row r="73">
      <c r="A73" t="inlineStr">
        <is>
          <t>05475 Murindo</t>
        </is>
      </c>
      <c r="B73" t="inlineStr">
        <is>
          <t>05 ANTIOQUIA</t>
        </is>
      </c>
    </row>
    <row r="74">
      <c r="A74" t="inlineStr">
        <is>
          <t>05480 Mutata</t>
        </is>
      </c>
      <c r="B74" t="inlineStr">
        <is>
          <t>05 ANTIOQUIA</t>
        </is>
      </c>
    </row>
    <row r="75">
      <c r="A75" t="inlineStr">
        <is>
          <t>05483 Nariño</t>
        </is>
      </c>
      <c r="B75" t="inlineStr">
        <is>
          <t>05 ANTIOQUIA</t>
        </is>
      </c>
    </row>
    <row r="76">
      <c r="A76" t="inlineStr">
        <is>
          <t>05490 Necocli</t>
        </is>
      </c>
      <c r="B76" t="inlineStr">
        <is>
          <t>05 ANTIOQUIA</t>
        </is>
      </c>
    </row>
    <row r="77">
      <c r="A77" t="inlineStr">
        <is>
          <t>05495 Nechi</t>
        </is>
      </c>
      <c r="B77" t="inlineStr">
        <is>
          <t>05 ANTIOQUIA</t>
        </is>
      </c>
    </row>
    <row r="78">
      <c r="A78" t="inlineStr">
        <is>
          <t>05501 Olaya</t>
        </is>
      </c>
      <c r="B78" t="inlineStr">
        <is>
          <t>05 ANTIOQUIA</t>
        </is>
      </c>
    </row>
    <row r="79">
      <c r="A79" t="inlineStr">
        <is>
          <t>05541 Peñol</t>
        </is>
      </c>
      <c r="B79" t="inlineStr">
        <is>
          <t>05 ANTIOQUIA</t>
        </is>
      </c>
    </row>
    <row r="80">
      <c r="A80" t="inlineStr">
        <is>
          <t>05543 Peque</t>
        </is>
      </c>
      <c r="B80" t="inlineStr">
        <is>
          <t>05 ANTIOQUIA</t>
        </is>
      </c>
    </row>
    <row r="81">
      <c r="A81" t="inlineStr">
        <is>
          <t>05576 Pueblorrico</t>
        </is>
      </c>
      <c r="B81" t="inlineStr">
        <is>
          <t>05 ANTIOQUIA</t>
        </is>
      </c>
    </row>
    <row r="82">
      <c r="A82" t="inlineStr">
        <is>
          <t>05579 Puerto Berrio</t>
        </is>
      </c>
      <c r="B82" t="inlineStr">
        <is>
          <t>05 ANTIOQUIA</t>
        </is>
      </c>
    </row>
    <row r="83">
      <c r="A83" t="inlineStr">
        <is>
          <t>05585 Puerto Nare</t>
        </is>
      </c>
      <c r="B83" t="inlineStr">
        <is>
          <t>05 ANTIOQUIA</t>
        </is>
      </c>
    </row>
    <row r="84">
      <c r="A84" t="inlineStr">
        <is>
          <t>05591 Puerto Triunfo</t>
        </is>
      </c>
      <c r="B84" t="inlineStr">
        <is>
          <t>05 ANTIOQUIA</t>
        </is>
      </c>
    </row>
    <row r="85">
      <c r="A85" t="inlineStr">
        <is>
          <t>05604 Remedios</t>
        </is>
      </c>
      <c r="B85" t="inlineStr">
        <is>
          <t>05 ANTIOQUIA</t>
        </is>
      </c>
    </row>
    <row r="86">
      <c r="A86" t="inlineStr">
        <is>
          <t>05607 Retiro</t>
        </is>
      </c>
      <c r="B86" t="inlineStr">
        <is>
          <t>05 ANTIOQUIA</t>
        </is>
      </c>
    </row>
    <row r="87">
      <c r="A87" t="inlineStr">
        <is>
          <t>05615 Rionegro</t>
        </is>
      </c>
      <c r="B87" t="inlineStr">
        <is>
          <t>05 ANTIOQUIA</t>
        </is>
      </c>
    </row>
    <row r="88">
      <c r="A88" t="inlineStr">
        <is>
          <t>05628 Sabanalarga</t>
        </is>
      </c>
      <c r="B88" t="inlineStr">
        <is>
          <t>05 ANTIOQUIA</t>
        </is>
      </c>
    </row>
    <row r="89">
      <c r="A89" t="inlineStr">
        <is>
          <t>05631 Sabaneta</t>
        </is>
      </c>
      <c r="B89" t="inlineStr">
        <is>
          <t>05 ANTIOQUIA</t>
        </is>
      </c>
    </row>
    <row r="90">
      <c r="A90" t="inlineStr">
        <is>
          <t>05642 Salgar</t>
        </is>
      </c>
      <c r="B90" t="inlineStr">
        <is>
          <t>05 ANTIOQUIA</t>
        </is>
      </c>
    </row>
    <row r="91">
      <c r="A91" t="inlineStr">
        <is>
          <t>05647 San Andres de Cuerquia</t>
        </is>
      </c>
      <c r="B91" t="inlineStr">
        <is>
          <t>05 ANTIOQUIA</t>
        </is>
      </c>
    </row>
    <row r="92">
      <c r="A92" t="inlineStr">
        <is>
          <t>05649 San Carlos</t>
        </is>
      </c>
      <c r="B92" t="inlineStr">
        <is>
          <t>05 ANTIOQUIA</t>
        </is>
      </c>
    </row>
    <row r="93">
      <c r="A93" t="inlineStr">
        <is>
          <t>05652 San Francisco</t>
        </is>
      </c>
      <c r="B93" t="inlineStr">
        <is>
          <t>05 ANTIOQUIA</t>
        </is>
      </c>
    </row>
    <row r="94">
      <c r="A94" t="inlineStr">
        <is>
          <t>05656 San Jeronimo</t>
        </is>
      </c>
      <c r="B94" t="inlineStr">
        <is>
          <t>05 ANTIOQUIA</t>
        </is>
      </c>
    </row>
    <row r="95">
      <c r="A95" t="inlineStr">
        <is>
          <t>05658 San Jose de La Montaña</t>
        </is>
      </c>
      <c r="B95" t="inlineStr">
        <is>
          <t>05 ANTIOQUIA</t>
        </is>
      </c>
    </row>
    <row r="96">
      <c r="A96" t="inlineStr">
        <is>
          <t>05659 San Juan de Uraba</t>
        </is>
      </c>
      <c r="B96" t="inlineStr">
        <is>
          <t>05 ANTIOQUIA</t>
        </is>
      </c>
    </row>
    <row r="97">
      <c r="A97" t="inlineStr">
        <is>
          <t>05660 San Luis</t>
        </is>
      </c>
      <c r="B97" t="inlineStr">
        <is>
          <t>05 ANTIOQUIA</t>
        </is>
      </c>
    </row>
    <row r="98">
      <c r="A98" t="inlineStr">
        <is>
          <t>05664 San Pedro</t>
        </is>
      </c>
      <c r="B98" t="inlineStr">
        <is>
          <t>05 ANTIOQUIA</t>
        </is>
      </c>
    </row>
    <row r="99">
      <c r="A99" t="inlineStr">
        <is>
          <t>05665 San Pedro de Uraba</t>
        </is>
      </c>
      <c r="B99" t="inlineStr">
        <is>
          <t>05 ANTIOQUIA</t>
        </is>
      </c>
    </row>
    <row r="100">
      <c r="A100" t="inlineStr">
        <is>
          <t>05667 San Rafael</t>
        </is>
      </c>
      <c r="B100" t="inlineStr">
        <is>
          <t>05 ANTIOQUIA</t>
        </is>
      </c>
    </row>
    <row r="101">
      <c r="A101" t="inlineStr">
        <is>
          <t>05670 San Roque</t>
        </is>
      </c>
      <c r="B101" t="inlineStr">
        <is>
          <t>05 ANTIOQUIA</t>
        </is>
      </c>
    </row>
    <row r="102">
      <c r="A102" t="inlineStr">
        <is>
          <t>05674 San Vicente</t>
        </is>
      </c>
      <c r="B102" t="inlineStr">
        <is>
          <t>05 ANTIOQUIA</t>
        </is>
      </c>
    </row>
    <row r="103">
      <c r="A103" t="inlineStr">
        <is>
          <t>05679 Santa Barbara</t>
        </is>
      </c>
      <c r="B103" t="inlineStr">
        <is>
          <t>05 ANTIOQUIA</t>
        </is>
      </c>
    </row>
    <row r="104">
      <c r="A104" t="inlineStr">
        <is>
          <t>05686 Santa Rosa de Osos</t>
        </is>
      </c>
      <c r="B104" t="inlineStr">
        <is>
          <t>05 ANTIOQUIA</t>
        </is>
      </c>
    </row>
    <row r="105">
      <c r="A105" t="inlineStr">
        <is>
          <t>05690 Santo Domingo</t>
        </is>
      </c>
      <c r="B105" t="inlineStr">
        <is>
          <t>05 ANTIOQUIA</t>
        </is>
      </c>
    </row>
    <row r="106">
      <c r="A106" t="inlineStr">
        <is>
          <t>05697 El Santuario</t>
        </is>
      </c>
      <c r="B106" t="inlineStr">
        <is>
          <t>05 ANTIOQUIA</t>
        </is>
      </c>
    </row>
    <row r="107">
      <c r="A107" t="inlineStr">
        <is>
          <t>05736 Segovia</t>
        </is>
      </c>
      <c r="B107" t="inlineStr">
        <is>
          <t>05 ANTIOQUIA</t>
        </is>
      </c>
    </row>
    <row r="108">
      <c r="A108" t="inlineStr">
        <is>
          <t>05756 Sonson</t>
        </is>
      </c>
      <c r="B108" t="inlineStr">
        <is>
          <t>05 ANTIOQUIA</t>
        </is>
      </c>
    </row>
    <row r="109">
      <c r="A109" t="inlineStr">
        <is>
          <t>05761 Sopetran</t>
        </is>
      </c>
      <c r="B109" t="inlineStr">
        <is>
          <t>05 ANTIOQUIA</t>
        </is>
      </c>
    </row>
    <row r="110">
      <c r="A110" t="inlineStr">
        <is>
          <t>05789 Tamesis</t>
        </is>
      </c>
      <c r="B110" t="inlineStr">
        <is>
          <t>05 ANTIOQUIA</t>
        </is>
      </c>
    </row>
    <row r="111">
      <c r="A111" t="inlineStr">
        <is>
          <t>05790 Taraza</t>
        </is>
      </c>
      <c r="B111" t="inlineStr">
        <is>
          <t>05 ANTIOQUIA</t>
        </is>
      </c>
    </row>
    <row r="112">
      <c r="A112" t="inlineStr">
        <is>
          <t>05792 Tarso</t>
        </is>
      </c>
      <c r="B112" t="inlineStr">
        <is>
          <t>05 ANTIOQUIA</t>
        </is>
      </c>
    </row>
    <row r="113">
      <c r="A113" t="inlineStr">
        <is>
          <t>05809 Titiribi</t>
        </is>
      </c>
      <c r="B113" t="inlineStr">
        <is>
          <t>05 ANTIOQUIA</t>
        </is>
      </c>
    </row>
    <row r="114">
      <c r="A114" t="inlineStr">
        <is>
          <t>05819 Toledo</t>
        </is>
      </c>
      <c r="B114" t="inlineStr">
        <is>
          <t>05 ANTIOQUIA</t>
        </is>
      </c>
    </row>
    <row r="115">
      <c r="A115" t="inlineStr">
        <is>
          <t>05837 Turbo</t>
        </is>
      </c>
      <c r="B115" t="inlineStr">
        <is>
          <t>05 ANTIOQUIA</t>
        </is>
      </c>
    </row>
    <row r="116">
      <c r="A116" t="inlineStr">
        <is>
          <t>05842 Uramita</t>
        </is>
      </c>
      <c r="B116" t="inlineStr">
        <is>
          <t>05 ANTIOQUIA</t>
        </is>
      </c>
    </row>
    <row r="117">
      <c r="A117" t="inlineStr">
        <is>
          <t>05847 Urrao</t>
        </is>
      </c>
      <c r="B117" t="inlineStr">
        <is>
          <t>05 ANTIOQUIA</t>
        </is>
      </c>
    </row>
    <row r="118">
      <c r="A118" t="inlineStr">
        <is>
          <t>05854 Valdivia</t>
        </is>
      </c>
      <c r="B118" t="inlineStr">
        <is>
          <t>05 ANTIOQUIA</t>
        </is>
      </c>
    </row>
    <row r="119">
      <c r="A119" t="inlineStr">
        <is>
          <t>05856 Valparaiso</t>
        </is>
      </c>
      <c r="B119" t="inlineStr">
        <is>
          <t>05 ANTIOQUIA</t>
        </is>
      </c>
    </row>
    <row r="120">
      <c r="A120" t="inlineStr">
        <is>
          <t>05858 Vegachi</t>
        </is>
      </c>
      <c r="B120" t="inlineStr">
        <is>
          <t>05 ANTIOQUIA</t>
        </is>
      </c>
    </row>
    <row r="121">
      <c r="A121" t="inlineStr">
        <is>
          <t>05861 Venecia</t>
        </is>
      </c>
      <c r="B121" t="inlineStr">
        <is>
          <t>05 ANTIOQUIA</t>
        </is>
      </c>
    </row>
    <row r="122">
      <c r="A122" t="inlineStr">
        <is>
          <t>05873 Vigia del Fuerte</t>
        </is>
      </c>
      <c r="B122" t="inlineStr">
        <is>
          <t>05 ANTIOQUIA</t>
        </is>
      </c>
    </row>
    <row r="123">
      <c r="A123" t="inlineStr">
        <is>
          <t>05885 Yali</t>
        </is>
      </c>
      <c r="B123" t="inlineStr">
        <is>
          <t>05 ANTIOQUIA</t>
        </is>
      </c>
    </row>
    <row r="124">
      <c r="A124" t="inlineStr">
        <is>
          <t>05887 Yarumal</t>
        </is>
      </c>
      <c r="B124" t="inlineStr">
        <is>
          <t>05 ANTIOQUIA</t>
        </is>
      </c>
    </row>
    <row r="125">
      <c r="A125" t="inlineStr">
        <is>
          <t>05890 Yolombo</t>
        </is>
      </c>
      <c r="B125" t="inlineStr">
        <is>
          <t>05 ANTIOQUIA</t>
        </is>
      </c>
    </row>
    <row r="126">
      <c r="A126" t="inlineStr">
        <is>
          <t>05893 Yondo</t>
        </is>
      </c>
      <c r="B126" t="inlineStr">
        <is>
          <t>05 ANTIOQUIA</t>
        </is>
      </c>
    </row>
    <row r="127">
      <c r="A127" t="inlineStr">
        <is>
          <t>05895 Zaragoza</t>
        </is>
      </c>
      <c r="B127" t="inlineStr">
        <is>
          <t>05 ANTIOQUIA</t>
        </is>
      </c>
    </row>
    <row r="128">
      <c r="A128" t="inlineStr">
        <is>
          <t>08078 Baranoa</t>
        </is>
      </c>
      <c r="B128" t="inlineStr">
        <is>
          <t>08 ATLANTICO</t>
        </is>
      </c>
    </row>
    <row r="129">
      <c r="A129" t="inlineStr">
        <is>
          <t>08137 Campo de La Cruz</t>
        </is>
      </c>
      <c r="B129" t="inlineStr">
        <is>
          <t>08 ATLANTICO</t>
        </is>
      </c>
    </row>
    <row r="130">
      <c r="A130" t="inlineStr">
        <is>
          <t>08141 Candelaria</t>
        </is>
      </c>
      <c r="B130" t="inlineStr">
        <is>
          <t>08 ATLANTICO</t>
        </is>
      </c>
    </row>
    <row r="131">
      <c r="A131" t="inlineStr">
        <is>
          <t>08296 Galapa</t>
        </is>
      </c>
      <c r="B131" t="inlineStr">
        <is>
          <t>08 ATLANTICO</t>
        </is>
      </c>
    </row>
    <row r="132">
      <c r="A132" t="inlineStr">
        <is>
          <t>08372 Juan de Acosta</t>
        </is>
      </c>
      <c r="B132" t="inlineStr">
        <is>
          <t>08 ATLANTICO</t>
        </is>
      </c>
    </row>
    <row r="133">
      <c r="A133" t="inlineStr">
        <is>
          <t>08421 Luruaco</t>
        </is>
      </c>
      <c r="B133" t="inlineStr">
        <is>
          <t>08 ATLANTICO</t>
        </is>
      </c>
    </row>
    <row r="134">
      <c r="A134" t="inlineStr">
        <is>
          <t>08433 Malambo</t>
        </is>
      </c>
      <c r="B134" t="inlineStr">
        <is>
          <t>08 ATLANTICO</t>
        </is>
      </c>
    </row>
    <row r="135">
      <c r="A135" t="inlineStr">
        <is>
          <t>08436 Manati</t>
        </is>
      </c>
      <c r="B135" t="inlineStr">
        <is>
          <t>08 ATLANTICO</t>
        </is>
      </c>
    </row>
    <row r="136">
      <c r="A136" t="inlineStr">
        <is>
          <t>08520 Palmar de Varela</t>
        </is>
      </c>
      <c r="B136" t="inlineStr">
        <is>
          <t>08 ATLANTICO</t>
        </is>
      </c>
    </row>
    <row r="137">
      <c r="A137" t="inlineStr">
        <is>
          <t>08549 Piojo</t>
        </is>
      </c>
      <c r="B137" t="inlineStr">
        <is>
          <t>08 ATLANTICO</t>
        </is>
      </c>
    </row>
    <row r="138">
      <c r="A138" t="inlineStr">
        <is>
          <t>08558 Polonuevo</t>
        </is>
      </c>
      <c r="B138" t="inlineStr">
        <is>
          <t>08 ATLANTICO</t>
        </is>
      </c>
    </row>
    <row r="139">
      <c r="A139" t="inlineStr">
        <is>
          <t>08560 Ponedera</t>
        </is>
      </c>
      <c r="B139" t="inlineStr">
        <is>
          <t>08 ATLANTICO</t>
        </is>
      </c>
    </row>
    <row r="140">
      <c r="A140" t="inlineStr">
        <is>
          <t>08573 Puerto Colombia</t>
        </is>
      </c>
      <c r="B140" t="inlineStr">
        <is>
          <t>08 ATLANTICO</t>
        </is>
      </c>
    </row>
    <row r="141">
      <c r="A141" t="inlineStr">
        <is>
          <t>08606 Repelon</t>
        </is>
      </c>
      <c r="B141" t="inlineStr">
        <is>
          <t>08 ATLANTICO</t>
        </is>
      </c>
    </row>
    <row r="142">
      <c r="A142" t="inlineStr">
        <is>
          <t>08634 Sabanagrande</t>
        </is>
      </c>
      <c r="B142" t="inlineStr">
        <is>
          <t>08 ATLANTICO</t>
        </is>
      </c>
    </row>
    <row r="143">
      <c r="A143" t="inlineStr">
        <is>
          <t>08638 Sabanalarga</t>
        </is>
      </c>
      <c r="B143" t="inlineStr">
        <is>
          <t>08 ATLANTICO</t>
        </is>
      </c>
    </row>
    <row r="144">
      <c r="A144" t="inlineStr">
        <is>
          <t>08675 Santa Lucia</t>
        </is>
      </c>
      <c r="B144" t="inlineStr">
        <is>
          <t>08 ATLANTICO</t>
        </is>
      </c>
    </row>
    <row r="145">
      <c r="A145" t="inlineStr">
        <is>
          <t>08685 Santo Tomas</t>
        </is>
      </c>
      <c r="B145" t="inlineStr">
        <is>
          <t>08 ATLANTICO</t>
        </is>
      </c>
    </row>
    <row r="146">
      <c r="A146" t="inlineStr">
        <is>
          <t>08758 Soledad</t>
        </is>
      </c>
      <c r="B146" t="inlineStr">
        <is>
          <t>08 ATLANTICO</t>
        </is>
      </c>
    </row>
    <row r="147">
      <c r="A147" t="inlineStr">
        <is>
          <t>08770 Suan</t>
        </is>
      </c>
      <c r="B147" t="inlineStr">
        <is>
          <t>08 ATLANTICO</t>
        </is>
      </c>
    </row>
    <row r="148">
      <c r="A148" t="inlineStr">
        <is>
          <t>08832 Tubara</t>
        </is>
      </c>
      <c r="B148" t="inlineStr">
        <is>
          <t>08 ATLANTICO</t>
        </is>
      </c>
    </row>
    <row r="149">
      <c r="A149" t="inlineStr">
        <is>
          <t>08849 Usiacuri</t>
        </is>
      </c>
      <c r="B149" t="inlineStr">
        <is>
          <t>08 ATLANTICO</t>
        </is>
      </c>
    </row>
    <row r="150">
      <c r="A150" t="inlineStr">
        <is>
          <t>08001 Barranquilla</t>
        </is>
      </c>
      <c r="B150" t="inlineStr">
        <is>
          <t>08 BARRANQUILLA</t>
        </is>
      </c>
    </row>
    <row r="151">
      <c r="A151" t="inlineStr">
        <is>
          <t>11001 Bogota, D.C.</t>
        </is>
      </c>
      <c r="B151" t="inlineStr">
        <is>
          <t>11 BOGOTA D.C.</t>
        </is>
      </c>
    </row>
    <row r="152">
      <c r="A152" t="inlineStr">
        <is>
          <t>13006 Achi</t>
        </is>
      </c>
      <c r="B152" t="inlineStr">
        <is>
          <t>13 BOLIVAR</t>
        </is>
      </c>
    </row>
    <row r="153">
      <c r="A153" t="inlineStr">
        <is>
          <t>13030 Altos del Rosario</t>
        </is>
      </c>
      <c r="B153" t="inlineStr">
        <is>
          <t>13 BOLIVAR</t>
        </is>
      </c>
    </row>
    <row r="154">
      <c r="A154" t="inlineStr">
        <is>
          <t>13042 Arenal</t>
        </is>
      </c>
      <c r="B154" t="inlineStr">
        <is>
          <t>13 BOLIVAR</t>
        </is>
      </c>
    </row>
    <row r="155">
      <c r="A155" t="inlineStr">
        <is>
          <t>13052 Arjona</t>
        </is>
      </c>
      <c r="B155" t="inlineStr">
        <is>
          <t>13 BOLIVAR</t>
        </is>
      </c>
    </row>
    <row r="156">
      <c r="A156" t="inlineStr">
        <is>
          <t>13062 Arroyohondo</t>
        </is>
      </c>
      <c r="B156" t="inlineStr">
        <is>
          <t>13 BOLIVAR</t>
        </is>
      </c>
    </row>
    <row r="157">
      <c r="A157" t="inlineStr">
        <is>
          <t>13074 Barranco de Loba</t>
        </is>
      </c>
      <c r="B157" t="inlineStr">
        <is>
          <t>13 BOLIVAR</t>
        </is>
      </c>
    </row>
    <row r="158">
      <c r="A158" t="inlineStr">
        <is>
          <t>13140 Calamar</t>
        </is>
      </c>
      <c r="B158" t="inlineStr">
        <is>
          <t>13 BOLIVAR</t>
        </is>
      </c>
    </row>
    <row r="159">
      <c r="A159" t="inlineStr">
        <is>
          <t>13160 Cantagallo</t>
        </is>
      </c>
      <c r="B159" t="inlineStr">
        <is>
          <t>13 BOLIVAR</t>
        </is>
      </c>
    </row>
    <row r="160">
      <c r="A160" t="inlineStr">
        <is>
          <t>13188 Cicuco</t>
        </is>
      </c>
      <c r="B160" t="inlineStr">
        <is>
          <t>13 BOLIVAR</t>
        </is>
      </c>
    </row>
    <row r="161">
      <c r="A161" t="inlineStr">
        <is>
          <t>13212 Cordoba</t>
        </is>
      </c>
      <c r="B161" t="inlineStr">
        <is>
          <t>13 BOLIVAR</t>
        </is>
      </c>
    </row>
    <row r="162">
      <c r="A162" t="inlineStr">
        <is>
          <t>13222 Clemencia</t>
        </is>
      </c>
      <c r="B162" t="inlineStr">
        <is>
          <t>13 BOLIVAR</t>
        </is>
      </c>
    </row>
    <row r="163">
      <c r="A163" t="inlineStr">
        <is>
          <t>13244 El Carmen de Bolivar</t>
        </is>
      </c>
      <c r="B163" t="inlineStr">
        <is>
          <t>13 BOLIVAR</t>
        </is>
      </c>
    </row>
    <row r="164">
      <c r="A164" t="inlineStr">
        <is>
          <t>13248 El Guamo</t>
        </is>
      </c>
      <c r="B164" t="inlineStr">
        <is>
          <t>13 BOLIVAR</t>
        </is>
      </c>
    </row>
    <row r="165">
      <c r="A165" t="inlineStr">
        <is>
          <t>13268 El Peñon</t>
        </is>
      </c>
      <c r="B165" t="inlineStr">
        <is>
          <t>13 BOLIVAR</t>
        </is>
      </c>
    </row>
    <row r="166">
      <c r="A166" t="inlineStr">
        <is>
          <t>13300 Hatillo de Loba</t>
        </is>
      </c>
      <c r="B166" t="inlineStr">
        <is>
          <t>13 BOLIVAR</t>
        </is>
      </c>
    </row>
    <row r="167">
      <c r="A167" t="inlineStr">
        <is>
          <t>13430 Magangue</t>
        </is>
      </c>
      <c r="B167" t="inlineStr">
        <is>
          <t>13 BOLIVAR</t>
        </is>
      </c>
    </row>
    <row r="168">
      <c r="A168" t="inlineStr">
        <is>
          <t>13433 Mahates</t>
        </is>
      </c>
      <c r="B168" t="inlineStr">
        <is>
          <t>13 BOLIVAR</t>
        </is>
      </c>
    </row>
    <row r="169">
      <c r="A169" t="inlineStr">
        <is>
          <t>13440 Margarita</t>
        </is>
      </c>
      <c r="B169" t="inlineStr">
        <is>
          <t>13 BOLIVAR</t>
        </is>
      </c>
    </row>
    <row r="170">
      <c r="A170" t="inlineStr">
        <is>
          <t>13442 Maria La Baja</t>
        </is>
      </c>
      <c r="B170" t="inlineStr">
        <is>
          <t>13 BOLIVAR</t>
        </is>
      </c>
    </row>
    <row r="171">
      <c r="A171" t="inlineStr">
        <is>
          <t>13458 Montecristo</t>
        </is>
      </c>
      <c r="B171" t="inlineStr">
        <is>
          <t>13 BOLIVAR</t>
        </is>
      </c>
    </row>
    <row r="172">
      <c r="A172" t="inlineStr">
        <is>
          <t>13468 Mompos</t>
        </is>
      </c>
      <c r="B172" t="inlineStr">
        <is>
          <t>13 BOLIVAR</t>
        </is>
      </c>
    </row>
    <row r="173">
      <c r="A173" t="inlineStr">
        <is>
          <t>13473 Morales</t>
        </is>
      </c>
      <c r="B173" t="inlineStr">
        <is>
          <t>13 BOLIVAR</t>
        </is>
      </c>
    </row>
    <row r="174">
      <c r="A174" t="inlineStr">
        <is>
          <t>13490 Norosi</t>
        </is>
      </c>
      <c r="B174" t="inlineStr">
        <is>
          <t>13 BOLIVAR</t>
        </is>
      </c>
    </row>
    <row r="175">
      <c r="A175" t="inlineStr">
        <is>
          <t>13549 Pinillos</t>
        </is>
      </c>
      <c r="B175" t="inlineStr">
        <is>
          <t>13 BOLIVAR</t>
        </is>
      </c>
    </row>
    <row r="176">
      <c r="A176" t="inlineStr">
        <is>
          <t>13580 Regidor</t>
        </is>
      </c>
      <c r="B176" t="inlineStr">
        <is>
          <t>13 BOLIVAR</t>
        </is>
      </c>
    </row>
    <row r="177">
      <c r="A177" t="inlineStr">
        <is>
          <t>13600 Rio Viejo</t>
        </is>
      </c>
      <c r="B177" t="inlineStr">
        <is>
          <t>13 BOLIVAR</t>
        </is>
      </c>
    </row>
    <row r="178">
      <c r="A178" t="inlineStr">
        <is>
          <t>13620 San Cristobal</t>
        </is>
      </c>
      <c r="B178" t="inlineStr">
        <is>
          <t>13 BOLIVAR</t>
        </is>
      </c>
    </row>
    <row r="179">
      <c r="A179" t="inlineStr">
        <is>
          <t>13647 San Estanislao</t>
        </is>
      </c>
      <c r="B179" t="inlineStr">
        <is>
          <t>13 BOLIVAR</t>
        </is>
      </c>
    </row>
    <row r="180">
      <c r="A180" t="inlineStr">
        <is>
          <t>13650 San Fernando</t>
        </is>
      </c>
      <c r="B180" t="inlineStr">
        <is>
          <t>13 BOLIVAR</t>
        </is>
      </c>
    </row>
    <row r="181">
      <c r="A181" t="inlineStr">
        <is>
          <t>13654 San Jacinto</t>
        </is>
      </c>
      <c r="B181" t="inlineStr">
        <is>
          <t>13 BOLIVAR</t>
        </is>
      </c>
    </row>
    <row r="182">
      <c r="A182" t="inlineStr">
        <is>
          <t>13655 San Jacinto del Cauca</t>
        </is>
      </c>
      <c r="B182" t="inlineStr">
        <is>
          <t>13 BOLIVAR</t>
        </is>
      </c>
    </row>
    <row r="183">
      <c r="A183" t="inlineStr">
        <is>
          <t>13657 San Juan Nepomuceno</t>
        </is>
      </c>
      <c r="B183" t="inlineStr">
        <is>
          <t>13 BOLIVAR</t>
        </is>
      </c>
    </row>
    <row r="184">
      <c r="A184" t="inlineStr">
        <is>
          <t>13667 San Martin de Loba</t>
        </is>
      </c>
      <c r="B184" t="inlineStr">
        <is>
          <t>13 BOLIVAR</t>
        </is>
      </c>
    </row>
    <row r="185">
      <c r="A185" t="inlineStr">
        <is>
          <t>13670 San Pablo</t>
        </is>
      </c>
      <c r="B185" t="inlineStr">
        <is>
          <t>13 BOLIVAR</t>
        </is>
      </c>
    </row>
    <row r="186">
      <c r="A186" t="inlineStr">
        <is>
          <t>13673 Santa Catalina</t>
        </is>
      </c>
      <c r="B186" t="inlineStr">
        <is>
          <t>13 BOLIVAR</t>
        </is>
      </c>
    </row>
    <row r="187">
      <c r="A187" t="inlineStr">
        <is>
          <t>13683 Santa Rosa</t>
        </is>
      </c>
      <c r="B187" t="inlineStr">
        <is>
          <t>13 BOLIVAR</t>
        </is>
      </c>
    </row>
    <row r="188">
      <c r="A188" t="inlineStr">
        <is>
          <t>13688 Santa Rosa del Sur</t>
        </is>
      </c>
      <c r="B188" t="inlineStr">
        <is>
          <t>13 BOLIVAR</t>
        </is>
      </c>
    </row>
    <row r="189">
      <c r="A189" t="inlineStr">
        <is>
          <t>13744 Simiti</t>
        </is>
      </c>
      <c r="B189" t="inlineStr">
        <is>
          <t>13 BOLIVAR</t>
        </is>
      </c>
    </row>
    <row r="190">
      <c r="A190" t="inlineStr">
        <is>
          <t>13760 Soplaviento</t>
        </is>
      </c>
      <c r="B190" t="inlineStr">
        <is>
          <t>13 BOLIVAR</t>
        </is>
      </c>
    </row>
    <row r="191">
      <c r="A191" t="inlineStr">
        <is>
          <t>13780 Talaigua Nuevo</t>
        </is>
      </c>
      <c r="B191" t="inlineStr">
        <is>
          <t>13 BOLIVAR</t>
        </is>
      </c>
    </row>
    <row r="192">
      <c r="A192" t="inlineStr">
        <is>
          <t>13810 Tiquisio</t>
        </is>
      </c>
      <c r="B192" t="inlineStr">
        <is>
          <t>13 BOLIVAR</t>
        </is>
      </c>
    </row>
    <row r="193">
      <c r="A193" t="inlineStr">
        <is>
          <t>13836 Turbaco</t>
        </is>
      </c>
      <c r="B193" t="inlineStr">
        <is>
          <t>13 BOLIVAR</t>
        </is>
      </c>
    </row>
    <row r="194">
      <c r="A194" t="inlineStr">
        <is>
          <t>13838 Turbana</t>
        </is>
      </c>
      <c r="B194" t="inlineStr">
        <is>
          <t>13 BOLIVAR</t>
        </is>
      </c>
    </row>
    <row r="195">
      <c r="A195" t="inlineStr">
        <is>
          <t>13873 Villanueva</t>
        </is>
      </c>
      <c r="B195" t="inlineStr">
        <is>
          <t>13 BOLIVAR</t>
        </is>
      </c>
    </row>
    <row r="196">
      <c r="A196" t="inlineStr">
        <is>
          <t>13894 Zambrano</t>
        </is>
      </c>
      <c r="B196" t="inlineStr">
        <is>
          <t>13 BOLIVAR</t>
        </is>
      </c>
    </row>
    <row r="197">
      <c r="A197" t="inlineStr">
        <is>
          <t>13001 Cartagena</t>
        </is>
      </c>
      <c r="B197" t="inlineStr">
        <is>
          <t>13 CARTAGENA</t>
        </is>
      </c>
    </row>
    <row r="198">
      <c r="A198" t="inlineStr">
        <is>
          <t>15001 Tunja</t>
        </is>
      </c>
      <c r="B198" t="inlineStr">
        <is>
          <t>15 BOYACA</t>
        </is>
      </c>
    </row>
    <row r="199">
      <c r="A199" t="inlineStr">
        <is>
          <t>15022 Almeida</t>
        </is>
      </c>
      <c r="B199" t="inlineStr">
        <is>
          <t>15 BOYACA</t>
        </is>
      </c>
    </row>
    <row r="200">
      <c r="A200" t="inlineStr">
        <is>
          <t>15047 Aquitania</t>
        </is>
      </c>
      <c r="B200" t="inlineStr">
        <is>
          <t>15 BOYACA</t>
        </is>
      </c>
    </row>
    <row r="201">
      <c r="A201" t="inlineStr">
        <is>
          <t>15051 Arcabuco</t>
        </is>
      </c>
      <c r="B201" t="inlineStr">
        <is>
          <t>15 BOYACA</t>
        </is>
      </c>
    </row>
    <row r="202">
      <c r="A202" t="inlineStr">
        <is>
          <t>15087 Belen</t>
        </is>
      </c>
      <c r="B202" t="inlineStr">
        <is>
          <t>15 BOYACA</t>
        </is>
      </c>
    </row>
    <row r="203">
      <c r="A203" t="inlineStr">
        <is>
          <t>15090 Berbeo</t>
        </is>
      </c>
      <c r="B203" t="inlineStr">
        <is>
          <t>15 BOYACA</t>
        </is>
      </c>
    </row>
    <row r="204">
      <c r="A204" t="inlineStr">
        <is>
          <t>15092 Beteitiva</t>
        </is>
      </c>
      <c r="B204" t="inlineStr">
        <is>
          <t>15 BOYACA</t>
        </is>
      </c>
    </row>
    <row r="205">
      <c r="A205" t="inlineStr">
        <is>
          <t>15097 Boavita</t>
        </is>
      </c>
      <c r="B205" t="inlineStr">
        <is>
          <t>15 BOYACA</t>
        </is>
      </c>
    </row>
    <row r="206">
      <c r="A206" t="inlineStr">
        <is>
          <t>15104 Boyaca</t>
        </is>
      </c>
      <c r="B206" t="inlineStr">
        <is>
          <t>15 BOYACA</t>
        </is>
      </c>
    </row>
    <row r="207">
      <c r="A207" t="inlineStr">
        <is>
          <t>15106 Briceño</t>
        </is>
      </c>
      <c r="B207" t="inlineStr">
        <is>
          <t>15 BOYACA</t>
        </is>
      </c>
    </row>
    <row r="208">
      <c r="A208" t="inlineStr">
        <is>
          <t>15109 Buenavista</t>
        </is>
      </c>
      <c r="B208" t="inlineStr">
        <is>
          <t>15 BOYACA</t>
        </is>
      </c>
    </row>
    <row r="209">
      <c r="A209" t="inlineStr">
        <is>
          <t>15114 Busbanza</t>
        </is>
      </c>
      <c r="B209" t="inlineStr">
        <is>
          <t>15 BOYACA</t>
        </is>
      </c>
    </row>
    <row r="210">
      <c r="A210" t="inlineStr">
        <is>
          <t>15131 Caldas</t>
        </is>
      </c>
      <c r="B210" t="inlineStr">
        <is>
          <t>15 BOYACA</t>
        </is>
      </c>
    </row>
    <row r="211">
      <c r="A211" t="inlineStr">
        <is>
          <t>15135 Campohermoso</t>
        </is>
      </c>
      <c r="B211" t="inlineStr">
        <is>
          <t>15 BOYACA</t>
        </is>
      </c>
    </row>
    <row r="212">
      <c r="A212" t="inlineStr">
        <is>
          <t>15162 Cerinza</t>
        </is>
      </c>
      <c r="B212" t="inlineStr">
        <is>
          <t>15 BOYACA</t>
        </is>
      </c>
    </row>
    <row r="213">
      <c r="A213" t="inlineStr">
        <is>
          <t>15172 Chinavita</t>
        </is>
      </c>
      <c r="B213" t="inlineStr">
        <is>
          <t>15 BOYACA</t>
        </is>
      </c>
    </row>
    <row r="214">
      <c r="A214" t="inlineStr">
        <is>
          <t>15176 Chiquinquira</t>
        </is>
      </c>
      <c r="B214" t="inlineStr">
        <is>
          <t>15 BOYACA</t>
        </is>
      </c>
    </row>
    <row r="215">
      <c r="A215" t="inlineStr">
        <is>
          <t>15180 Chiscas</t>
        </is>
      </c>
      <c r="B215" t="inlineStr">
        <is>
          <t>15 BOYACA</t>
        </is>
      </c>
    </row>
    <row r="216">
      <c r="A216" t="inlineStr">
        <is>
          <t>15183 Chita</t>
        </is>
      </c>
      <c r="B216" t="inlineStr">
        <is>
          <t>15 BOYACA</t>
        </is>
      </c>
    </row>
    <row r="217">
      <c r="A217" t="inlineStr">
        <is>
          <t>15185 Chitaraque</t>
        </is>
      </c>
      <c r="B217" t="inlineStr">
        <is>
          <t>15 BOYACA</t>
        </is>
      </c>
    </row>
    <row r="218">
      <c r="A218" t="inlineStr">
        <is>
          <t>15187 Chivata</t>
        </is>
      </c>
      <c r="B218" t="inlineStr">
        <is>
          <t>15 BOYACA</t>
        </is>
      </c>
    </row>
    <row r="219">
      <c r="A219" t="inlineStr">
        <is>
          <t>15189 Cienega</t>
        </is>
      </c>
      <c r="B219" t="inlineStr">
        <is>
          <t>15 BOYACA</t>
        </is>
      </c>
    </row>
    <row r="220">
      <c r="A220" t="inlineStr">
        <is>
          <t>15204 Combita</t>
        </is>
      </c>
      <c r="B220" t="inlineStr">
        <is>
          <t>15 BOYACA</t>
        </is>
      </c>
    </row>
    <row r="221">
      <c r="A221" t="inlineStr">
        <is>
          <t>15212 Coper</t>
        </is>
      </c>
      <c r="B221" t="inlineStr">
        <is>
          <t>15 BOYACA</t>
        </is>
      </c>
    </row>
    <row r="222">
      <c r="A222" t="inlineStr">
        <is>
          <t>15215 Corrales</t>
        </is>
      </c>
      <c r="B222" t="inlineStr">
        <is>
          <t>15 BOYACA</t>
        </is>
      </c>
    </row>
    <row r="223">
      <c r="A223" t="inlineStr">
        <is>
          <t>15218 Covarachia</t>
        </is>
      </c>
      <c r="B223" t="inlineStr">
        <is>
          <t>15 BOYACA</t>
        </is>
      </c>
    </row>
    <row r="224">
      <c r="A224" t="inlineStr">
        <is>
          <t>15223 Cubara</t>
        </is>
      </c>
      <c r="B224" t="inlineStr">
        <is>
          <t>15 BOYACA</t>
        </is>
      </c>
    </row>
    <row r="225">
      <c r="A225" t="inlineStr">
        <is>
          <t>15224 Cucaita</t>
        </is>
      </c>
      <c r="B225" t="inlineStr">
        <is>
          <t>15 BOYACA</t>
        </is>
      </c>
    </row>
    <row r="226">
      <c r="A226" t="inlineStr">
        <is>
          <t>15226 Cuitiva</t>
        </is>
      </c>
      <c r="B226" t="inlineStr">
        <is>
          <t>15 BOYACA</t>
        </is>
      </c>
    </row>
    <row r="227">
      <c r="A227" t="inlineStr">
        <is>
          <t>15232 Chiquiza</t>
        </is>
      </c>
      <c r="B227" t="inlineStr">
        <is>
          <t>15 BOYACA</t>
        </is>
      </c>
    </row>
    <row r="228">
      <c r="A228" t="inlineStr">
        <is>
          <t>15236 Chivor</t>
        </is>
      </c>
      <c r="B228" t="inlineStr">
        <is>
          <t>15 BOYACA</t>
        </is>
      </c>
    </row>
    <row r="229">
      <c r="A229" t="inlineStr">
        <is>
          <t>15238 Duitama</t>
        </is>
      </c>
      <c r="B229" t="inlineStr">
        <is>
          <t>15 BOYACA</t>
        </is>
      </c>
    </row>
    <row r="230">
      <c r="A230" t="inlineStr">
        <is>
          <t>15244 El Cocuy</t>
        </is>
      </c>
      <c r="B230" t="inlineStr">
        <is>
          <t>15 BOYACA</t>
        </is>
      </c>
    </row>
    <row r="231">
      <c r="A231" t="inlineStr">
        <is>
          <t>15248 El Espino</t>
        </is>
      </c>
      <c r="B231" t="inlineStr">
        <is>
          <t>15 BOYACA</t>
        </is>
      </c>
    </row>
    <row r="232">
      <c r="A232" t="inlineStr">
        <is>
          <t>15272 Firavitoba</t>
        </is>
      </c>
      <c r="B232" t="inlineStr">
        <is>
          <t>15 BOYACA</t>
        </is>
      </c>
    </row>
    <row r="233">
      <c r="A233" t="inlineStr">
        <is>
          <t>15276 Floresta</t>
        </is>
      </c>
      <c r="B233" t="inlineStr">
        <is>
          <t>15 BOYACA</t>
        </is>
      </c>
    </row>
    <row r="234">
      <c r="A234" t="inlineStr">
        <is>
          <t>15293 Gachantiva</t>
        </is>
      </c>
      <c r="B234" t="inlineStr">
        <is>
          <t>15 BOYACA</t>
        </is>
      </c>
    </row>
    <row r="235">
      <c r="A235" t="inlineStr">
        <is>
          <t>15296 Gameza</t>
        </is>
      </c>
      <c r="B235" t="inlineStr">
        <is>
          <t>15 BOYACA</t>
        </is>
      </c>
    </row>
    <row r="236">
      <c r="A236" t="inlineStr">
        <is>
          <t>15299 Garagoa</t>
        </is>
      </c>
      <c r="B236" t="inlineStr">
        <is>
          <t>15 BOYACA</t>
        </is>
      </c>
    </row>
    <row r="237">
      <c r="A237" t="inlineStr">
        <is>
          <t>15317 Guacamayas</t>
        </is>
      </c>
      <c r="B237" t="inlineStr">
        <is>
          <t>15 BOYACA</t>
        </is>
      </c>
    </row>
    <row r="238">
      <c r="A238" t="inlineStr">
        <is>
          <t>15322 Guateque</t>
        </is>
      </c>
      <c r="B238" t="inlineStr">
        <is>
          <t>15 BOYACA</t>
        </is>
      </c>
    </row>
    <row r="239">
      <c r="A239" t="inlineStr">
        <is>
          <t>15325 Guayata</t>
        </is>
      </c>
      <c r="B239" t="inlineStr">
        <is>
          <t>15 BOYACA</t>
        </is>
      </c>
    </row>
    <row r="240">
      <c r="A240" t="inlineStr">
        <is>
          <t>15332 Güican</t>
        </is>
      </c>
      <c r="B240" t="inlineStr">
        <is>
          <t>15 BOYACA</t>
        </is>
      </c>
    </row>
    <row r="241">
      <c r="A241" t="inlineStr">
        <is>
          <t>15362 Iza</t>
        </is>
      </c>
      <c r="B241" t="inlineStr">
        <is>
          <t>15 BOYACA</t>
        </is>
      </c>
    </row>
    <row r="242">
      <c r="A242" t="inlineStr">
        <is>
          <t>15367 Jenesano</t>
        </is>
      </c>
      <c r="B242" t="inlineStr">
        <is>
          <t>15 BOYACA</t>
        </is>
      </c>
    </row>
    <row r="243">
      <c r="A243" t="inlineStr">
        <is>
          <t>15368 Jerico</t>
        </is>
      </c>
      <c r="B243" t="inlineStr">
        <is>
          <t>15 BOYACA</t>
        </is>
      </c>
    </row>
    <row r="244">
      <c r="A244" t="inlineStr">
        <is>
          <t>15377 Labranzagrande</t>
        </is>
      </c>
      <c r="B244" t="inlineStr">
        <is>
          <t>15 BOYACA</t>
        </is>
      </c>
    </row>
    <row r="245">
      <c r="A245" t="inlineStr">
        <is>
          <t>15380 La Capilla</t>
        </is>
      </c>
      <c r="B245" t="inlineStr">
        <is>
          <t>15 BOYACA</t>
        </is>
      </c>
    </row>
    <row r="246">
      <c r="A246" t="inlineStr">
        <is>
          <t>15401 La Victoria</t>
        </is>
      </c>
      <c r="B246" t="inlineStr">
        <is>
          <t>15 BOYACA</t>
        </is>
      </c>
    </row>
    <row r="247">
      <c r="A247" t="inlineStr">
        <is>
          <t>15403 La Uvita</t>
        </is>
      </c>
      <c r="B247" t="inlineStr">
        <is>
          <t>15 BOYACA</t>
        </is>
      </c>
    </row>
    <row r="248">
      <c r="A248" t="inlineStr">
        <is>
          <t>15407 Villa de Leyva</t>
        </is>
      </c>
      <c r="B248" t="inlineStr">
        <is>
          <t>15 BOYACA</t>
        </is>
      </c>
    </row>
    <row r="249">
      <c r="A249" t="inlineStr">
        <is>
          <t>15425 Macanal</t>
        </is>
      </c>
      <c r="B249" t="inlineStr">
        <is>
          <t>15 BOYACA</t>
        </is>
      </c>
    </row>
    <row r="250">
      <c r="A250" t="inlineStr">
        <is>
          <t>15442 Maripi</t>
        </is>
      </c>
      <c r="B250" t="inlineStr">
        <is>
          <t>15 BOYACA</t>
        </is>
      </c>
    </row>
    <row r="251">
      <c r="A251" t="inlineStr">
        <is>
          <t>15455 Miraflores</t>
        </is>
      </c>
      <c r="B251" t="inlineStr">
        <is>
          <t>15 BOYACA</t>
        </is>
      </c>
    </row>
    <row r="252">
      <c r="A252" t="inlineStr">
        <is>
          <t>15464 Mongua</t>
        </is>
      </c>
      <c r="B252" t="inlineStr">
        <is>
          <t>15 BOYACA</t>
        </is>
      </c>
    </row>
    <row r="253">
      <c r="A253" t="inlineStr">
        <is>
          <t>15466 Mongui</t>
        </is>
      </c>
      <c r="B253" t="inlineStr">
        <is>
          <t>15 BOYACA</t>
        </is>
      </c>
    </row>
    <row r="254">
      <c r="A254" t="inlineStr">
        <is>
          <t>15469 Moniquira</t>
        </is>
      </c>
      <c r="B254" t="inlineStr">
        <is>
          <t>15 BOYACA</t>
        </is>
      </c>
    </row>
    <row r="255">
      <c r="A255" t="inlineStr">
        <is>
          <t>15476 Motavita</t>
        </is>
      </c>
      <c r="B255" t="inlineStr">
        <is>
          <t>15 BOYACA</t>
        </is>
      </c>
    </row>
    <row r="256">
      <c r="A256" t="inlineStr">
        <is>
          <t>15480 Muzo</t>
        </is>
      </c>
      <c r="B256" t="inlineStr">
        <is>
          <t>15 BOYACA</t>
        </is>
      </c>
    </row>
    <row r="257">
      <c r="A257" t="inlineStr">
        <is>
          <t>15491 Nobsa</t>
        </is>
      </c>
      <c r="B257" t="inlineStr">
        <is>
          <t>15 BOYACA</t>
        </is>
      </c>
    </row>
    <row r="258">
      <c r="A258" t="inlineStr">
        <is>
          <t>15494 Nuevo Colon</t>
        </is>
      </c>
      <c r="B258" t="inlineStr">
        <is>
          <t>15 BOYACA</t>
        </is>
      </c>
    </row>
    <row r="259">
      <c r="A259" t="inlineStr">
        <is>
          <t>15500 Oicata</t>
        </is>
      </c>
      <c r="B259" t="inlineStr">
        <is>
          <t>15 BOYACA</t>
        </is>
      </c>
    </row>
    <row r="260">
      <c r="A260" t="inlineStr">
        <is>
          <t>15507 Otanche</t>
        </is>
      </c>
      <c r="B260" t="inlineStr">
        <is>
          <t>15 BOYACA</t>
        </is>
      </c>
    </row>
    <row r="261">
      <c r="A261" t="inlineStr">
        <is>
          <t>15511 Pachavita</t>
        </is>
      </c>
      <c r="B261" t="inlineStr">
        <is>
          <t>15 BOYACA</t>
        </is>
      </c>
    </row>
    <row r="262">
      <c r="A262" t="inlineStr">
        <is>
          <t>15514 Paez</t>
        </is>
      </c>
      <c r="B262" t="inlineStr">
        <is>
          <t>15 BOYACA</t>
        </is>
      </c>
    </row>
    <row r="263">
      <c r="A263" t="inlineStr">
        <is>
          <t>15516 Paipa</t>
        </is>
      </c>
      <c r="B263" t="inlineStr">
        <is>
          <t>15 BOYACA</t>
        </is>
      </c>
    </row>
    <row r="264">
      <c r="A264" t="inlineStr">
        <is>
          <t>15518 Pajarito</t>
        </is>
      </c>
      <c r="B264" t="inlineStr">
        <is>
          <t>15 BOYACA</t>
        </is>
      </c>
    </row>
    <row r="265">
      <c r="A265" t="inlineStr">
        <is>
          <t>15522 Panqueba</t>
        </is>
      </c>
      <c r="B265" t="inlineStr">
        <is>
          <t>15 BOYACA</t>
        </is>
      </c>
    </row>
    <row r="266">
      <c r="A266" t="inlineStr">
        <is>
          <t>15531 Pauna</t>
        </is>
      </c>
      <c r="B266" t="inlineStr">
        <is>
          <t>15 BOYACA</t>
        </is>
      </c>
    </row>
    <row r="267">
      <c r="A267" t="inlineStr">
        <is>
          <t>15533 Paya</t>
        </is>
      </c>
      <c r="B267" t="inlineStr">
        <is>
          <t>15 BOYACA</t>
        </is>
      </c>
    </row>
    <row r="268">
      <c r="A268" t="inlineStr">
        <is>
          <t>15537 Paz de Rio</t>
        </is>
      </c>
      <c r="B268" t="inlineStr">
        <is>
          <t>15 BOYACA</t>
        </is>
      </c>
    </row>
    <row r="269">
      <c r="A269" t="inlineStr">
        <is>
          <t>15542 Pesca</t>
        </is>
      </c>
      <c r="B269" t="inlineStr">
        <is>
          <t>15 BOYACA</t>
        </is>
      </c>
    </row>
    <row r="270">
      <c r="A270" t="inlineStr">
        <is>
          <t>15550 Pisba</t>
        </is>
      </c>
      <c r="B270" t="inlineStr">
        <is>
          <t>15 BOYACA</t>
        </is>
      </c>
    </row>
    <row r="271">
      <c r="A271" t="inlineStr">
        <is>
          <t>15572 Puerto Boyaca</t>
        </is>
      </c>
      <c r="B271" t="inlineStr">
        <is>
          <t>15 BOYACA</t>
        </is>
      </c>
    </row>
    <row r="272">
      <c r="A272" t="inlineStr">
        <is>
          <t>15580 Quipama</t>
        </is>
      </c>
      <c r="B272" t="inlineStr">
        <is>
          <t>15 BOYACA</t>
        </is>
      </c>
    </row>
    <row r="273">
      <c r="A273" t="inlineStr">
        <is>
          <t>15599 Ramiriqui</t>
        </is>
      </c>
      <c r="B273" t="inlineStr">
        <is>
          <t>15 BOYACA</t>
        </is>
      </c>
    </row>
    <row r="274">
      <c r="A274" t="inlineStr">
        <is>
          <t>15600 Raquira</t>
        </is>
      </c>
      <c r="B274" t="inlineStr">
        <is>
          <t>15 BOYACA</t>
        </is>
      </c>
    </row>
    <row r="275">
      <c r="A275" t="inlineStr">
        <is>
          <t>15621 Rondon</t>
        </is>
      </c>
      <c r="B275" t="inlineStr">
        <is>
          <t>15 BOYACA</t>
        </is>
      </c>
    </row>
    <row r="276">
      <c r="A276" t="inlineStr">
        <is>
          <t>15632 Saboya</t>
        </is>
      </c>
      <c r="B276" t="inlineStr">
        <is>
          <t>15 BOYACA</t>
        </is>
      </c>
    </row>
    <row r="277">
      <c r="A277" t="inlineStr">
        <is>
          <t>15638 Sachica</t>
        </is>
      </c>
      <c r="B277" t="inlineStr">
        <is>
          <t>15 BOYACA</t>
        </is>
      </c>
    </row>
    <row r="278">
      <c r="A278" t="inlineStr">
        <is>
          <t>15646 Samaca</t>
        </is>
      </c>
      <c r="B278" t="inlineStr">
        <is>
          <t>15 BOYACA</t>
        </is>
      </c>
    </row>
    <row r="279">
      <c r="A279" t="inlineStr">
        <is>
          <t>15660 San Eduardo</t>
        </is>
      </c>
      <c r="B279" t="inlineStr">
        <is>
          <t>15 BOYACA</t>
        </is>
      </c>
    </row>
    <row r="280">
      <c r="A280" t="inlineStr">
        <is>
          <t>15664 San Jose de Pare</t>
        </is>
      </c>
      <c r="B280" t="inlineStr">
        <is>
          <t>15 BOYACA</t>
        </is>
      </c>
    </row>
    <row r="281">
      <c r="A281" t="inlineStr">
        <is>
          <t>15667 San Luis de Gaceno</t>
        </is>
      </c>
      <c r="B281" t="inlineStr">
        <is>
          <t>15 BOYACA</t>
        </is>
      </c>
    </row>
    <row r="282">
      <c r="A282" t="inlineStr">
        <is>
          <t>15673 San Mateo</t>
        </is>
      </c>
      <c r="B282" t="inlineStr">
        <is>
          <t>15 BOYACA</t>
        </is>
      </c>
    </row>
    <row r="283">
      <c r="A283" t="inlineStr">
        <is>
          <t>15676 San Miguel de Sema</t>
        </is>
      </c>
      <c r="B283" t="inlineStr">
        <is>
          <t>15 BOYACA</t>
        </is>
      </c>
    </row>
    <row r="284">
      <c r="A284" t="inlineStr">
        <is>
          <t>15681 San Pablo de Borbur</t>
        </is>
      </c>
      <c r="B284" t="inlineStr">
        <is>
          <t>15 BOYACA</t>
        </is>
      </c>
    </row>
    <row r="285">
      <c r="A285" t="inlineStr">
        <is>
          <t>15686 Santana</t>
        </is>
      </c>
      <c r="B285" t="inlineStr">
        <is>
          <t>15 BOYACA</t>
        </is>
      </c>
    </row>
    <row r="286">
      <c r="A286" t="inlineStr">
        <is>
          <t>15690 Santa Maria</t>
        </is>
      </c>
      <c r="B286" t="inlineStr">
        <is>
          <t>15 BOYACA</t>
        </is>
      </c>
    </row>
    <row r="287">
      <c r="A287" t="inlineStr">
        <is>
          <t>15693 Santa Rosa de Viterbo</t>
        </is>
      </c>
      <c r="B287" t="inlineStr">
        <is>
          <t>15 BOYACA</t>
        </is>
      </c>
    </row>
    <row r="288">
      <c r="A288" t="inlineStr">
        <is>
          <t>15696 Santa Sofia</t>
        </is>
      </c>
      <c r="B288" t="inlineStr">
        <is>
          <t>15 BOYACA</t>
        </is>
      </c>
    </row>
    <row r="289">
      <c r="A289" t="inlineStr">
        <is>
          <t>15720 Sativanorte</t>
        </is>
      </c>
      <c r="B289" t="inlineStr">
        <is>
          <t>15 BOYACA</t>
        </is>
      </c>
    </row>
    <row r="290">
      <c r="A290" t="inlineStr">
        <is>
          <t>15723 Sativasur</t>
        </is>
      </c>
      <c r="B290" t="inlineStr">
        <is>
          <t>15 BOYACA</t>
        </is>
      </c>
    </row>
    <row r="291">
      <c r="A291" t="inlineStr">
        <is>
          <t>15740 Siachoque</t>
        </is>
      </c>
      <c r="B291" t="inlineStr">
        <is>
          <t>15 BOYACA</t>
        </is>
      </c>
    </row>
    <row r="292">
      <c r="A292" t="inlineStr">
        <is>
          <t>15753 Soata</t>
        </is>
      </c>
      <c r="B292" t="inlineStr">
        <is>
          <t>15 BOYACA</t>
        </is>
      </c>
    </row>
    <row r="293">
      <c r="A293" t="inlineStr">
        <is>
          <t>15755 Socota</t>
        </is>
      </c>
      <c r="B293" t="inlineStr">
        <is>
          <t>15 BOYACA</t>
        </is>
      </c>
    </row>
    <row r="294">
      <c r="A294" t="inlineStr">
        <is>
          <t>15757 Socha</t>
        </is>
      </c>
      <c r="B294" t="inlineStr">
        <is>
          <t>15 BOYACA</t>
        </is>
      </c>
    </row>
    <row r="295">
      <c r="A295" t="inlineStr">
        <is>
          <t>15759 Sogamoso</t>
        </is>
      </c>
      <c r="B295" t="inlineStr">
        <is>
          <t>15 BOYACA</t>
        </is>
      </c>
    </row>
    <row r="296">
      <c r="A296" t="inlineStr">
        <is>
          <t>15761 Somondoco</t>
        </is>
      </c>
      <c r="B296" t="inlineStr">
        <is>
          <t>15 BOYACA</t>
        </is>
      </c>
    </row>
    <row r="297">
      <c r="A297" t="inlineStr">
        <is>
          <t>15762 Sora</t>
        </is>
      </c>
      <c r="B297" t="inlineStr">
        <is>
          <t>15 BOYACA</t>
        </is>
      </c>
    </row>
    <row r="298">
      <c r="A298" t="inlineStr">
        <is>
          <t>15763 Sotaquira</t>
        </is>
      </c>
      <c r="B298" t="inlineStr">
        <is>
          <t>15 BOYACA</t>
        </is>
      </c>
    </row>
    <row r="299">
      <c r="A299" t="inlineStr">
        <is>
          <t>15764 Soraca</t>
        </is>
      </c>
      <c r="B299" t="inlineStr">
        <is>
          <t>15 BOYACA</t>
        </is>
      </c>
    </row>
    <row r="300">
      <c r="A300" t="inlineStr">
        <is>
          <t>15774 Susacon</t>
        </is>
      </c>
      <c r="B300" t="inlineStr">
        <is>
          <t>15 BOYACA</t>
        </is>
      </c>
    </row>
    <row r="301">
      <c r="A301" t="inlineStr">
        <is>
          <t>15776 Sutamarchan</t>
        </is>
      </c>
      <c r="B301" t="inlineStr">
        <is>
          <t>15 BOYACA</t>
        </is>
      </c>
    </row>
    <row r="302">
      <c r="A302" t="inlineStr">
        <is>
          <t>15778 Sutatenza</t>
        </is>
      </c>
      <c r="B302" t="inlineStr">
        <is>
          <t>15 BOYACA</t>
        </is>
      </c>
    </row>
    <row r="303">
      <c r="A303" t="inlineStr">
        <is>
          <t>15790 Tasco</t>
        </is>
      </c>
      <c r="B303" t="inlineStr">
        <is>
          <t>15 BOYACA</t>
        </is>
      </c>
    </row>
    <row r="304">
      <c r="A304" t="inlineStr">
        <is>
          <t>15798 Tenza</t>
        </is>
      </c>
      <c r="B304" t="inlineStr">
        <is>
          <t>15 BOYACA</t>
        </is>
      </c>
    </row>
    <row r="305">
      <c r="A305" t="inlineStr">
        <is>
          <t>15804 Tibana</t>
        </is>
      </c>
      <c r="B305" t="inlineStr">
        <is>
          <t>15 BOYACA</t>
        </is>
      </c>
    </row>
    <row r="306">
      <c r="A306" t="inlineStr">
        <is>
          <t>15806 Tibasosa</t>
        </is>
      </c>
      <c r="B306" t="inlineStr">
        <is>
          <t>15 BOYACA</t>
        </is>
      </c>
    </row>
    <row r="307">
      <c r="A307" t="inlineStr">
        <is>
          <t>15808 Tinjaca</t>
        </is>
      </c>
      <c r="B307" t="inlineStr">
        <is>
          <t>15 BOYACA</t>
        </is>
      </c>
    </row>
    <row r="308">
      <c r="A308" t="inlineStr">
        <is>
          <t>15810 Tipacoque</t>
        </is>
      </c>
      <c r="B308" t="inlineStr">
        <is>
          <t>15 BOYACA</t>
        </is>
      </c>
    </row>
    <row r="309">
      <c r="A309" t="inlineStr">
        <is>
          <t>15814 Toca</t>
        </is>
      </c>
      <c r="B309" t="inlineStr">
        <is>
          <t>15 BOYACA</t>
        </is>
      </c>
    </row>
    <row r="310">
      <c r="A310" t="inlineStr">
        <is>
          <t>15816 Togüi</t>
        </is>
      </c>
      <c r="B310" t="inlineStr">
        <is>
          <t>15 BOYACA</t>
        </is>
      </c>
    </row>
    <row r="311">
      <c r="A311" t="inlineStr">
        <is>
          <t>15820 Topaga</t>
        </is>
      </c>
      <c r="B311" t="inlineStr">
        <is>
          <t>15 BOYACA</t>
        </is>
      </c>
    </row>
    <row r="312">
      <c r="A312" t="inlineStr">
        <is>
          <t>15822 Tota</t>
        </is>
      </c>
      <c r="B312" t="inlineStr">
        <is>
          <t>15 BOYACA</t>
        </is>
      </c>
    </row>
    <row r="313">
      <c r="A313" t="inlineStr">
        <is>
          <t>15832 Tunungua</t>
        </is>
      </c>
      <c r="B313" t="inlineStr">
        <is>
          <t>15 BOYACA</t>
        </is>
      </c>
    </row>
    <row r="314">
      <c r="A314" t="inlineStr">
        <is>
          <t>15835 Turmeque</t>
        </is>
      </c>
      <c r="B314" t="inlineStr">
        <is>
          <t>15 BOYACA</t>
        </is>
      </c>
    </row>
    <row r="315">
      <c r="A315" t="inlineStr">
        <is>
          <t>15837 Tuta</t>
        </is>
      </c>
      <c r="B315" t="inlineStr">
        <is>
          <t>15 BOYACA</t>
        </is>
      </c>
    </row>
    <row r="316">
      <c r="A316" t="inlineStr">
        <is>
          <t>15839 Tutaza</t>
        </is>
      </c>
      <c r="B316" t="inlineStr">
        <is>
          <t>15 BOYACA</t>
        </is>
      </c>
    </row>
    <row r="317">
      <c r="A317" t="inlineStr">
        <is>
          <t>15842 Umbita</t>
        </is>
      </c>
      <c r="B317" t="inlineStr">
        <is>
          <t>15 BOYACA</t>
        </is>
      </c>
    </row>
    <row r="318">
      <c r="A318" t="inlineStr">
        <is>
          <t>15861 Ventaquemada</t>
        </is>
      </c>
      <c r="B318" t="inlineStr">
        <is>
          <t>15 BOYACA</t>
        </is>
      </c>
    </row>
    <row r="319">
      <c r="A319" t="inlineStr">
        <is>
          <t>15879 Viracacha</t>
        </is>
      </c>
      <c r="B319" t="inlineStr">
        <is>
          <t>15 BOYACA</t>
        </is>
      </c>
    </row>
    <row r="320">
      <c r="A320" t="inlineStr">
        <is>
          <t>15897 Zetaquira</t>
        </is>
      </c>
      <c r="B320" t="inlineStr">
        <is>
          <t>15 BOYACA</t>
        </is>
      </c>
    </row>
    <row r="321">
      <c r="A321" t="inlineStr">
        <is>
          <t>17001 Manizales</t>
        </is>
      </c>
      <c r="B321" t="inlineStr">
        <is>
          <t>17 CALDAS</t>
        </is>
      </c>
    </row>
    <row r="322">
      <c r="A322" t="inlineStr">
        <is>
          <t>17013 Aguadas</t>
        </is>
      </c>
      <c r="B322" t="inlineStr">
        <is>
          <t>17 CALDAS</t>
        </is>
      </c>
    </row>
    <row r="323">
      <c r="A323" t="inlineStr">
        <is>
          <t>17042 Anserma</t>
        </is>
      </c>
      <c r="B323" t="inlineStr">
        <is>
          <t>17 CALDAS</t>
        </is>
      </c>
    </row>
    <row r="324">
      <c r="A324" t="inlineStr">
        <is>
          <t>17050 Aranzazu</t>
        </is>
      </c>
      <c r="B324" t="inlineStr">
        <is>
          <t>17 CALDAS</t>
        </is>
      </c>
    </row>
    <row r="325">
      <c r="A325" t="inlineStr">
        <is>
          <t>17088 Belalcazar</t>
        </is>
      </c>
      <c r="B325" t="inlineStr">
        <is>
          <t>17 CALDAS</t>
        </is>
      </c>
    </row>
    <row r="326">
      <c r="A326" t="inlineStr">
        <is>
          <t>17174 Chinchina</t>
        </is>
      </c>
      <c r="B326" t="inlineStr">
        <is>
          <t>17 CALDAS</t>
        </is>
      </c>
    </row>
    <row r="327">
      <c r="A327" t="inlineStr">
        <is>
          <t>17272 Filadelfia</t>
        </is>
      </c>
      <c r="B327" t="inlineStr">
        <is>
          <t>17 CALDAS</t>
        </is>
      </c>
    </row>
    <row r="328">
      <c r="A328" t="inlineStr">
        <is>
          <t>17380 La Dorada</t>
        </is>
      </c>
      <c r="B328" t="inlineStr">
        <is>
          <t>17 CALDAS</t>
        </is>
      </c>
    </row>
    <row r="329">
      <c r="A329" t="inlineStr">
        <is>
          <t>17388 La Merced</t>
        </is>
      </c>
      <c r="B329" t="inlineStr">
        <is>
          <t>17 CALDAS</t>
        </is>
      </c>
    </row>
    <row r="330">
      <c r="A330" t="inlineStr">
        <is>
          <t>17433 Manzanares</t>
        </is>
      </c>
      <c r="B330" t="inlineStr">
        <is>
          <t>17 CALDAS</t>
        </is>
      </c>
    </row>
    <row r="331">
      <c r="A331" t="inlineStr">
        <is>
          <t>17442 Marmato</t>
        </is>
      </c>
      <c r="B331" t="inlineStr">
        <is>
          <t>17 CALDAS</t>
        </is>
      </c>
    </row>
    <row r="332">
      <c r="A332" t="inlineStr">
        <is>
          <t>17444 Marquetalia</t>
        </is>
      </c>
      <c r="B332" t="inlineStr">
        <is>
          <t>17 CALDAS</t>
        </is>
      </c>
    </row>
    <row r="333">
      <c r="A333" t="inlineStr">
        <is>
          <t>17446 Marulanda</t>
        </is>
      </c>
      <c r="B333" t="inlineStr">
        <is>
          <t>17 CALDAS</t>
        </is>
      </c>
    </row>
    <row r="334">
      <c r="A334" t="inlineStr">
        <is>
          <t>17486 Neira</t>
        </is>
      </c>
      <c r="B334" t="inlineStr">
        <is>
          <t>17 CALDAS</t>
        </is>
      </c>
    </row>
    <row r="335">
      <c r="A335" t="inlineStr">
        <is>
          <t>17495 Norcasia</t>
        </is>
      </c>
      <c r="B335" t="inlineStr">
        <is>
          <t>17 CALDAS</t>
        </is>
      </c>
    </row>
    <row r="336">
      <c r="A336" t="inlineStr">
        <is>
          <t>17513 Pacora</t>
        </is>
      </c>
      <c r="B336" t="inlineStr">
        <is>
          <t>17 CALDAS</t>
        </is>
      </c>
    </row>
    <row r="337">
      <c r="A337" t="inlineStr">
        <is>
          <t>17524 Palestina</t>
        </is>
      </c>
      <c r="B337" t="inlineStr">
        <is>
          <t>17 CALDAS</t>
        </is>
      </c>
    </row>
    <row r="338">
      <c r="A338" t="inlineStr">
        <is>
          <t>17541 Pensilvania</t>
        </is>
      </c>
      <c r="B338" t="inlineStr">
        <is>
          <t>17 CALDAS</t>
        </is>
      </c>
    </row>
    <row r="339">
      <c r="A339" t="inlineStr">
        <is>
          <t>17614 Riosucio</t>
        </is>
      </c>
      <c r="B339" t="inlineStr">
        <is>
          <t>17 CALDAS</t>
        </is>
      </c>
    </row>
    <row r="340">
      <c r="A340" t="inlineStr">
        <is>
          <t>17616 Risaralda</t>
        </is>
      </c>
      <c r="B340" t="inlineStr">
        <is>
          <t>17 CALDAS</t>
        </is>
      </c>
    </row>
    <row r="341">
      <c r="A341" t="inlineStr">
        <is>
          <t>17653 Salamina</t>
        </is>
      </c>
      <c r="B341" t="inlineStr">
        <is>
          <t>17 CALDAS</t>
        </is>
      </c>
    </row>
    <row r="342">
      <c r="A342" t="inlineStr">
        <is>
          <t>17662 Samana</t>
        </is>
      </c>
      <c r="B342" t="inlineStr">
        <is>
          <t>17 CALDAS</t>
        </is>
      </c>
    </row>
    <row r="343">
      <c r="A343" t="inlineStr">
        <is>
          <t>17665 San Jose</t>
        </is>
      </c>
      <c r="B343" t="inlineStr">
        <is>
          <t>17 CALDAS</t>
        </is>
      </c>
    </row>
    <row r="344">
      <c r="A344" t="inlineStr">
        <is>
          <t>17777 Supia</t>
        </is>
      </c>
      <c r="B344" t="inlineStr">
        <is>
          <t>17 CALDAS</t>
        </is>
      </c>
    </row>
    <row r="345">
      <c r="A345" t="inlineStr">
        <is>
          <t>17867 Victoria</t>
        </is>
      </c>
      <c r="B345" t="inlineStr">
        <is>
          <t>17 CALDAS</t>
        </is>
      </c>
    </row>
    <row r="346">
      <c r="A346" t="inlineStr">
        <is>
          <t>17873 Villamaria</t>
        </is>
      </c>
      <c r="B346" t="inlineStr">
        <is>
          <t>17 CALDAS</t>
        </is>
      </c>
    </row>
    <row r="347">
      <c r="A347" t="inlineStr">
        <is>
          <t>17877 Viterbo</t>
        </is>
      </c>
      <c r="B347" t="inlineStr">
        <is>
          <t>17 CALDAS</t>
        </is>
      </c>
    </row>
    <row r="348">
      <c r="A348" t="inlineStr">
        <is>
          <t>18001 Florencia</t>
        </is>
      </c>
      <c r="B348" t="inlineStr">
        <is>
          <t>18 CAQUETA</t>
        </is>
      </c>
    </row>
    <row r="349">
      <c r="A349" t="inlineStr">
        <is>
          <t>18029 Albania</t>
        </is>
      </c>
      <c r="B349" t="inlineStr">
        <is>
          <t>18 CAQUETA</t>
        </is>
      </c>
    </row>
    <row r="350">
      <c r="A350" t="inlineStr">
        <is>
          <t>18094 Belen de Los Andaquies</t>
        </is>
      </c>
      <c r="B350" t="inlineStr">
        <is>
          <t>18 CAQUETA</t>
        </is>
      </c>
    </row>
    <row r="351">
      <c r="A351" t="inlineStr">
        <is>
          <t>18150 Cartagena del Chaira</t>
        </is>
      </c>
      <c r="B351" t="inlineStr">
        <is>
          <t>18 CAQUETA</t>
        </is>
      </c>
    </row>
    <row r="352">
      <c r="A352" t="inlineStr">
        <is>
          <t>18205 Curillo</t>
        </is>
      </c>
      <c r="B352" t="inlineStr">
        <is>
          <t>18 CAQUETA</t>
        </is>
      </c>
    </row>
    <row r="353">
      <c r="A353" t="inlineStr">
        <is>
          <t>18247 El Doncello</t>
        </is>
      </c>
      <c r="B353" t="inlineStr">
        <is>
          <t>18 CAQUETA</t>
        </is>
      </c>
    </row>
    <row r="354">
      <c r="A354" t="inlineStr">
        <is>
          <t>18256 El Paujil</t>
        </is>
      </c>
      <c r="B354" t="inlineStr">
        <is>
          <t>18 CAQUETA</t>
        </is>
      </c>
    </row>
    <row r="355">
      <c r="A355" t="inlineStr">
        <is>
          <t>18410 La Montañita</t>
        </is>
      </c>
      <c r="B355" t="inlineStr">
        <is>
          <t>18 CAQUETA</t>
        </is>
      </c>
    </row>
    <row r="356">
      <c r="A356" t="inlineStr">
        <is>
          <t>18460 Milan</t>
        </is>
      </c>
      <c r="B356" t="inlineStr">
        <is>
          <t>18 CAQUETA</t>
        </is>
      </c>
    </row>
    <row r="357">
      <c r="A357" t="inlineStr">
        <is>
          <t>18479 Morelia</t>
        </is>
      </c>
      <c r="B357" t="inlineStr">
        <is>
          <t>18 CAQUETA</t>
        </is>
      </c>
    </row>
    <row r="358">
      <c r="A358" t="inlineStr">
        <is>
          <t>18592 Puerto Rico</t>
        </is>
      </c>
      <c r="B358" t="inlineStr">
        <is>
          <t>18 CAQUETA</t>
        </is>
      </c>
    </row>
    <row r="359">
      <c r="A359" t="inlineStr">
        <is>
          <t>18610 San Jose del Fragua</t>
        </is>
      </c>
      <c r="B359" t="inlineStr">
        <is>
          <t>18 CAQUETA</t>
        </is>
      </c>
    </row>
    <row r="360">
      <c r="A360" t="inlineStr">
        <is>
          <t>18753 San Vicente del Caguan</t>
        </is>
      </c>
      <c r="B360" t="inlineStr">
        <is>
          <t>18 CAQUETA</t>
        </is>
      </c>
    </row>
    <row r="361">
      <c r="A361" t="inlineStr">
        <is>
          <t>18756 Solano</t>
        </is>
      </c>
      <c r="B361" t="inlineStr">
        <is>
          <t>18 CAQUETA</t>
        </is>
      </c>
    </row>
    <row r="362">
      <c r="A362" t="inlineStr">
        <is>
          <t>18785 Solita</t>
        </is>
      </c>
      <c r="B362" t="inlineStr">
        <is>
          <t>18 CAQUETA</t>
        </is>
      </c>
    </row>
    <row r="363">
      <c r="A363" t="inlineStr">
        <is>
          <t>18860 Valparaiso</t>
        </is>
      </c>
      <c r="B363" t="inlineStr">
        <is>
          <t>18 CAQUETA</t>
        </is>
      </c>
    </row>
    <row r="364">
      <c r="A364" t="inlineStr">
        <is>
          <t>19001 Popayan</t>
        </is>
      </c>
      <c r="B364" t="inlineStr">
        <is>
          <t>19 CAUCA</t>
        </is>
      </c>
    </row>
    <row r="365">
      <c r="A365" t="inlineStr">
        <is>
          <t>19022 Almaguer</t>
        </is>
      </c>
      <c r="B365" t="inlineStr">
        <is>
          <t>19 CAUCA</t>
        </is>
      </c>
    </row>
    <row r="366">
      <c r="A366" t="inlineStr">
        <is>
          <t>19050 Argelia</t>
        </is>
      </c>
      <c r="B366" t="inlineStr">
        <is>
          <t>19 CAUCA</t>
        </is>
      </c>
    </row>
    <row r="367">
      <c r="A367" t="inlineStr">
        <is>
          <t>19075 Balboa</t>
        </is>
      </c>
      <c r="B367" t="inlineStr">
        <is>
          <t>19 CAUCA</t>
        </is>
      </c>
    </row>
    <row r="368">
      <c r="A368" t="inlineStr">
        <is>
          <t>19100 Bolivar</t>
        </is>
      </c>
      <c r="B368" t="inlineStr">
        <is>
          <t>19 CAUCA</t>
        </is>
      </c>
    </row>
    <row r="369">
      <c r="A369" t="inlineStr">
        <is>
          <t>19110 Buenos Aires</t>
        </is>
      </c>
      <c r="B369" t="inlineStr">
        <is>
          <t>19 CAUCA</t>
        </is>
      </c>
    </row>
    <row r="370">
      <c r="A370" t="inlineStr">
        <is>
          <t>19130 Cajibio</t>
        </is>
      </c>
      <c r="B370" t="inlineStr">
        <is>
          <t>19 CAUCA</t>
        </is>
      </c>
    </row>
    <row r="371">
      <c r="A371" t="inlineStr">
        <is>
          <t>19137 Caldono</t>
        </is>
      </c>
      <c r="B371" t="inlineStr">
        <is>
          <t>19 CAUCA</t>
        </is>
      </c>
    </row>
    <row r="372">
      <c r="A372" t="inlineStr">
        <is>
          <t>19142 Caloto</t>
        </is>
      </c>
      <c r="B372" t="inlineStr">
        <is>
          <t>19 CAUCA</t>
        </is>
      </c>
    </row>
    <row r="373">
      <c r="A373" t="inlineStr">
        <is>
          <t>19212 Corinto</t>
        </is>
      </c>
      <c r="B373" t="inlineStr">
        <is>
          <t>19 CAUCA</t>
        </is>
      </c>
    </row>
    <row r="374">
      <c r="A374" t="inlineStr">
        <is>
          <t>19256 El Tambo</t>
        </is>
      </c>
      <c r="B374" t="inlineStr">
        <is>
          <t>19 CAUCA</t>
        </is>
      </c>
    </row>
    <row r="375">
      <c r="A375" t="inlineStr">
        <is>
          <t>19290 Florencia</t>
        </is>
      </c>
      <c r="B375" t="inlineStr">
        <is>
          <t>19 CAUCA</t>
        </is>
      </c>
    </row>
    <row r="376">
      <c r="A376" t="inlineStr">
        <is>
          <t>19300 Guachene</t>
        </is>
      </c>
      <c r="B376" t="inlineStr">
        <is>
          <t>19 CAUCA</t>
        </is>
      </c>
    </row>
    <row r="377">
      <c r="A377" t="inlineStr">
        <is>
          <t>19318 Guapi</t>
        </is>
      </c>
      <c r="B377" t="inlineStr">
        <is>
          <t>19 CAUCA</t>
        </is>
      </c>
    </row>
    <row r="378">
      <c r="A378" t="inlineStr">
        <is>
          <t>19355 Inza</t>
        </is>
      </c>
      <c r="B378" t="inlineStr">
        <is>
          <t>19 CAUCA</t>
        </is>
      </c>
    </row>
    <row r="379">
      <c r="A379" t="inlineStr">
        <is>
          <t>19364 Jambalo</t>
        </is>
      </c>
      <c r="B379" t="inlineStr">
        <is>
          <t>19 CAUCA</t>
        </is>
      </c>
    </row>
    <row r="380">
      <c r="A380" t="inlineStr">
        <is>
          <t>19392 La Sierra</t>
        </is>
      </c>
      <c r="B380" t="inlineStr">
        <is>
          <t>19 CAUCA</t>
        </is>
      </c>
    </row>
    <row r="381">
      <c r="A381" t="inlineStr">
        <is>
          <t>19397 La Vega</t>
        </is>
      </c>
      <c r="B381" t="inlineStr">
        <is>
          <t>19 CAUCA</t>
        </is>
      </c>
    </row>
    <row r="382">
      <c r="A382" t="inlineStr">
        <is>
          <t>19418 Lopez</t>
        </is>
      </c>
      <c r="B382" t="inlineStr">
        <is>
          <t>19 CAUCA</t>
        </is>
      </c>
    </row>
    <row r="383">
      <c r="A383" t="inlineStr">
        <is>
          <t>19450 Mercaderes</t>
        </is>
      </c>
      <c r="B383" t="inlineStr">
        <is>
          <t>19 CAUCA</t>
        </is>
      </c>
    </row>
    <row r="384">
      <c r="A384" t="inlineStr">
        <is>
          <t>19455 Miranda</t>
        </is>
      </c>
      <c r="B384" t="inlineStr">
        <is>
          <t>19 CAUCA</t>
        </is>
      </c>
    </row>
    <row r="385">
      <c r="A385" t="inlineStr">
        <is>
          <t>19473 Morales</t>
        </is>
      </c>
      <c r="B385" t="inlineStr">
        <is>
          <t>19 CAUCA</t>
        </is>
      </c>
    </row>
    <row r="386">
      <c r="A386" t="inlineStr">
        <is>
          <t>19513 Padilla</t>
        </is>
      </c>
      <c r="B386" t="inlineStr">
        <is>
          <t>19 CAUCA</t>
        </is>
      </c>
    </row>
    <row r="387">
      <c r="A387" t="inlineStr">
        <is>
          <t>19517 Paez</t>
        </is>
      </c>
      <c r="B387" t="inlineStr">
        <is>
          <t>19 CAUCA</t>
        </is>
      </c>
    </row>
    <row r="388">
      <c r="A388" t="inlineStr">
        <is>
          <t>19532 Patia</t>
        </is>
      </c>
      <c r="B388" t="inlineStr">
        <is>
          <t>19 CAUCA</t>
        </is>
      </c>
    </row>
    <row r="389">
      <c r="A389" t="inlineStr">
        <is>
          <t>19533 Piamonte</t>
        </is>
      </c>
      <c r="B389" t="inlineStr">
        <is>
          <t>19 CAUCA</t>
        </is>
      </c>
    </row>
    <row r="390">
      <c r="A390" t="inlineStr">
        <is>
          <t>19548 Piendamo</t>
        </is>
      </c>
      <c r="B390" t="inlineStr">
        <is>
          <t>19 CAUCA</t>
        </is>
      </c>
    </row>
    <row r="391">
      <c r="A391" t="inlineStr">
        <is>
          <t>19573 Puerto Tejada</t>
        </is>
      </c>
      <c r="B391" t="inlineStr">
        <is>
          <t>19 CAUCA</t>
        </is>
      </c>
    </row>
    <row r="392">
      <c r="A392" t="inlineStr">
        <is>
          <t>19585 Purace</t>
        </is>
      </c>
      <c r="B392" t="inlineStr">
        <is>
          <t>19 CAUCA</t>
        </is>
      </c>
    </row>
    <row r="393">
      <c r="A393" t="inlineStr">
        <is>
          <t>19622 Rosas</t>
        </is>
      </c>
      <c r="B393" t="inlineStr">
        <is>
          <t>19 CAUCA</t>
        </is>
      </c>
    </row>
    <row r="394">
      <c r="A394" t="inlineStr">
        <is>
          <t>19693 San Sebastian</t>
        </is>
      </c>
      <c r="B394" t="inlineStr">
        <is>
          <t>19 CAUCA</t>
        </is>
      </c>
    </row>
    <row r="395">
      <c r="A395" t="inlineStr">
        <is>
          <t>19698 Santander de Quilichao</t>
        </is>
      </c>
      <c r="B395" t="inlineStr">
        <is>
          <t>19 CAUCA</t>
        </is>
      </c>
    </row>
    <row r="396">
      <c r="A396" t="inlineStr">
        <is>
          <t>19701 Santa Rosa</t>
        </is>
      </c>
      <c r="B396" t="inlineStr">
        <is>
          <t>19 CAUCA</t>
        </is>
      </c>
    </row>
    <row r="397">
      <c r="A397" t="inlineStr">
        <is>
          <t>19743 Silvia</t>
        </is>
      </c>
      <c r="B397" t="inlineStr">
        <is>
          <t>19 CAUCA</t>
        </is>
      </c>
    </row>
    <row r="398">
      <c r="A398" t="inlineStr">
        <is>
          <t>19760 Sotara</t>
        </is>
      </c>
      <c r="B398" t="inlineStr">
        <is>
          <t>19 CAUCA</t>
        </is>
      </c>
    </row>
    <row r="399">
      <c r="A399" t="inlineStr">
        <is>
          <t>19780 Suarez</t>
        </is>
      </c>
      <c r="B399" t="inlineStr">
        <is>
          <t>19 CAUCA</t>
        </is>
      </c>
    </row>
    <row r="400">
      <c r="A400" t="inlineStr">
        <is>
          <t>19785 Sucre</t>
        </is>
      </c>
      <c r="B400" t="inlineStr">
        <is>
          <t>19 CAUCA</t>
        </is>
      </c>
    </row>
    <row r="401">
      <c r="A401" t="inlineStr">
        <is>
          <t>19807 Timbio</t>
        </is>
      </c>
      <c r="B401" t="inlineStr">
        <is>
          <t>19 CAUCA</t>
        </is>
      </c>
    </row>
    <row r="402">
      <c r="A402" t="inlineStr">
        <is>
          <t>19809 Timbiqui</t>
        </is>
      </c>
      <c r="B402" t="inlineStr">
        <is>
          <t>19 CAUCA</t>
        </is>
      </c>
    </row>
    <row r="403">
      <c r="A403" t="inlineStr">
        <is>
          <t>19821 Toribio</t>
        </is>
      </c>
      <c r="B403" t="inlineStr">
        <is>
          <t>19 CAUCA</t>
        </is>
      </c>
    </row>
    <row r="404">
      <c r="A404" t="inlineStr">
        <is>
          <t>19824 Totoro</t>
        </is>
      </c>
      <c r="B404" t="inlineStr">
        <is>
          <t>19 CAUCA</t>
        </is>
      </c>
    </row>
    <row r="405">
      <c r="A405" t="inlineStr">
        <is>
          <t>19845 Villa Rica</t>
        </is>
      </c>
      <c r="B405" t="inlineStr">
        <is>
          <t>19 CAUCA</t>
        </is>
      </c>
    </row>
    <row r="406">
      <c r="A406" t="inlineStr">
        <is>
          <t>20001 Valledupar</t>
        </is>
      </c>
      <c r="B406" t="inlineStr">
        <is>
          <t>20 CESAR</t>
        </is>
      </c>
    </row>
    <row r="407">
      <c r="A407" t="inlineStr">
        <is>
          <t>20011 Aguachica</t>
        </is>
      </c>
      <c r="B407" t="inlineStr">
        <is>
          <t>20 CESAR</t>
        </is>
      </c>
    </row>
    <row r="408">
      <c r="A408" t="inlineStr">
        <is>
          <t>20013 Agustin Codazzi</t>
        </is>
      </c>
      <c r="B408" t="inlineStr">
        <is>
          <t>20 CESAR</t>
        </is>
      </c>
    </row>
    <row r="409">
      <c r="A409" t="inlineStr">
        <is>
          <t>20032 Astrea</t>
        </is>
      </c>
      <c r="B409" t="inlineStr">
        <is>
          <t>20 CESAR</t>
        </is>
      </c>
    </row>
    <row r="410">
      <c r="A410" t="inlineStr">
        <is>
          <t>20045 Becerril</t>
        </is>
      </c>
      <c r="B410" t="inlineStr">
        <is>
          <t>20 CESAR</t>
        </is>
      </c>
    </row>
    <row r="411">
      <c r="A411" t="inlineStr">
        <is>
          <t>20060 Bosconia</t>
        </is>
      </c>
      <c r="B411" t="inlineStr">
        <is>
          <t>20 CESAR</t>
        </is>
      </c>
    </row>
    <row r="412">
      <c r="A412" t="inlineStr">
        <is>
          <t>20175 Chimichagua</t>
        </is>
      </c>
      <c r="B412" t="inlineStr">
        <is>
          <t>20 CESAR</t>
        </is>
      </c>
    </row>
    <row r="413">
      <c r="A413" t="inlineStr">
        <is>
          <t>20178 Chiriguana</t>
        </is>
      </c>
      <c r="B413" t="inlineStr">
        <is>
          <t>20 CESAR</t>
        </is>
      </c>
    </row>
    <row r="414">
      <c r="A414" t="inlineStr">
        <is>
          <t>20228 Curumani</t>
        </is>
      </c>
      <c r="B414" t="inlineStr">
        <is>
          <t>20 CESAR</t>
        </is>
      </c>
    </row>
    <row r="415">
      <c r="A415" t="inlineStr">
        <is>
          <t>20238 El Copey</t>
        </is>
      </c>
      <c r="B415" t="inlineStr">
        <is>
          <t>20 CESAR</t>
        </is>
      </c>
    </row>
    <row r="416">
      <c r="A416" t="inlineStr">
        <is>
          <t>20250 El Paso</t>
        </is>
      </c>
      <c r="B416" t="inlineStr">
        <is>
          <t>20 CESAR</t>
        </is>
      </c>
    </row>
    <row r="417">
      <c r="A417" t="inlineStr">
        <is>
          <t>20295 Gamarra</t>
        </is>
      </c>
      <c r="B417" t="inlineStr">
        <is>
          <t>20 CESAR</t>
        </is>
      </c>
    </row>
    <row r="418">
      <c r="A418" t="inlineStr">
        <is>
          <t>20310 Gonzalez</t>
        </is>
      </c>
      <c r="B418" t="inlineStr">
        <is>
          <t>20 CESAR</t>
        </is>
      </c>
    </row>
    <row r="419">
      <c r="A419" t="inlineStr">
        <is>
          <t>20383 La Gloria</t>
        </is>
      </c>
      <c r="B419" t="inlineStr">
        <is>
          <t>20 CESAR</t>
        </is>
      </c>
    </row>
    <row r="420">
      <c r="A420" t="inlineStr">
        <is>
          <t>20400 La Jagua de Ibirico</t>
        </is>
      </c>
      <c r="B420" t="inlineStr">
        <is>
          <t>20 CESAR</t>
        </is>
      </c>
    </row>
    <row r="421">
      <c r="A421" t="inlineStr">
        <is>
          <t>20443 Manaure</t>
        </is>
      </c>
      <c r="B421" t="inlineStr">
        <is>
          <t>20 CESAR</t>
        </is>
      </c>
    </row>
    <row r="422">
      <c r="A422" t="inlineStr">
        <is>
          <t>20517 Pailitas</t>
        </is>
      </c>
      <c r="B422" t="inlineStr">
        <is>
          <t>20 CESAR</t>
        </is>
      </c>
    </row>
    <row r="423">
      <c r="A423" t="inlineStr">
        <is>
          <t>20550 Pelaya</t>
        </is>
      </c>
      <c r="B423" t="inlineStr">
        <is>
          <t>20 CESAR</t>
        </is>
      </c>
    </row>
    <row r="424">
      <c r="A424" t="inlineStr">
        <is>
          <t>20570 Pueblo Bello</t>
        </is>
      </c>
      <c r="B424" t="inlineStr">
        <is>
          <t>20 CESAR</t>
        </is>
      </c>
    </row>
    <row r="425">
      <c r="A425" t="inlineStr">
        <is>
          <t>20614 Rio de Oro</t>
        </is>
      </c>
      <c r="B425" t="inlineStr">
        <is>
          <t>20 CESAR</t>
        </is>
      </c>
    </row>
    <row r="426">
      <c r="A426" t="inlineStr">
        <is>
          <t>20621 La Paz</t>
        </is>
      </c>
      <c r="B426" t="inlineStr">
        <is>
          <t>20 CESAR</t>
        </is>
      </c>
    </row>
    <row r="427">
      <c r="A427" t="inlineStr">
        <is>
          <t>20710 San Alberto</t>
        </is>
      </c>
      <c r="B427" t="inlineStr">
        <is>
          <t>20 CESAR</t>
        </is>
      </c>
    </row>
    <row r="428">
      <c r="A428" t="inlineStr">
        <is>
          <t>20750 San Diego</t>
        </is>
      </c>
      <c r="B428" t="inlineStr">
        <is>
          <t>20 CESAR</t>
        </is>
      </c>
    </row>
    <row r="429">
      <c r="A429" t="inlineStr">
        <is>
          <t>20770 San Martin</t>
        </is>
      </c>
      <c r="B429" t="inlineStr">
        <is>
          <t>20 CESAR</t>
        </is>
      </c>
    </row>
    <row r="430">
      <c r="A430" t="inlineStr">
        <is>
          <t>20787 Tamalameque</t>
        </is>
      </c>
      <c r="B430" t="inlineStr">
        <is>
          <t>20 CESAR</t>
        </is>
      </c>
    </row>
    <row r="431">
      <c r="A431" t="inlineStr">
        <is>
          <t>23001 Monteria</t>
        </is>
      </c>
      <c r="B431" t="inlineStr">
        <is>
          <t>23 CORDOBA</t>
        </is>
      </c>
    </row>
    <row r="432">
      <c r="A432" t="inlineStr">
        <is>
          <t>23068 Ayapel</t>
        </is>
      </c>
      <c r="B432" t="inlineStr">
        <is>
          <t>23 CORDOBA</t>
        </is>
      </c>
    </row>
    <row r="433">
      <c r="A433" t="inlineStr">
        <is>
          <t>23079 Buenavista</t>
        </is>
      </c>
      <c r="B433" t="inlineStr">
        <is>
          <t>23 CORDOBA</t>
        </is>
      </c>
    </row>
    <row r="434">
      <c r="A434" t="inlineStr">
        <is>
          <t>23090 Canalete</t>
        </is>
      </c>
      <c r="B434" t="inlineStr">
        <is>
          <t>23 CORDOBA</t>
        </is>
      </c>
    </row>
    <row r="435">
      <c r="A435" t="inlineStr">
        <is>
          <t>23162 Cerete</t>
        </is>
      </c>
      <c r="B435" t="inlineStr">
        <is>
          <t>23 CORDOBA</t>
        </is>
      </c>
    </row>
    <row r="436">
      <c r="A436" t="inlineStr">
        <is>
          <t>23168 Chima</t>
        </is>
      </c>
      <c r="B436" t="inlineStr">
        <is>
          <t>23 CORDOBA</t>
        </is>
      </c>
    </row>
    <row r="437">
      <c r="A437" t="inlineStr">
        <is>
          <t>23182 Chinu</t>
        </is>
      </c>
      <c r="B437" t="inlineStr">
        <is>
          <t>23 CORDOBA</t>
        </is>
      </c>
    </row>
    <row r="438">
      <c r="A438" t="inlineStr">
        <is>
          <t>23189 Cienaga de Oro</t>
        </is>
      </c>
      <c r="B438" t="inlineStr">
        <is>
          <t>23 CORDOBA</t>
        </is>
      </c>
    </row>
    <row r="439">
      <c r="A439" t="inlineStr">
        <is>
          <t>23300 Cotorra</t>
        </is>
      </c>
      <c r="B439" t="inlineStr">
        <is>
          <t>23 CORDOBA</t>
        </is>
      </c>
    </row>
    <row r="440">
      <c r="A440" t="inlineStr">
        <is>
          <t>23350 La Apartada</t>
        </is>
      </c>
      <c r="B440" t="inlineStr">
        <is>
          <t>23 CORDOBA</t>
        </is>
      </c>
    </row>
    <row r="441">
      <c r="A441" t="inlineStr">
        <is>
          <t>23417 Lorica</t>
        </is>
      </c>
      <c r="B441" t="inlineStr">
        <is>
          <t>23 CORDOBA</t>
        </is>
      </c>
    </row>
    <row r="442">
      <c r="A442" t="inlineStr">
        <is>
          <t>23419 Los Cordobas</t>
        </is>
      </c>
      <c r="B442" t="inlineStr">
        <is>
          <t>23 CORDOBA</t>
        </is>
      </c>
    </row>
    <row r="443">
      <c r="A443" t="inlineStr">
        <is>
          <t>23464 Momil</t>
        </is>
      </c>
      <c r="B443" t="inlineStr">
        <is>
          <t>23 CORDOBA</t>
        </is>
      </c>
    </row>
    <row r="444">
      <c r="A444" t="inlineStr">
        <is>
          <t>23466 Montelibano</t>
        </is>
      </c>
      <c r="B444" t="inlineStr">
        <is>
          <t>23 CORDOBA</t>
        </is>
      </c>
    </row>
    <row r="445">
      <c r="A445" t="inlineStr">
        <is>
          <t>23500 Moñitos</t>
        </is>
      </c>
      <c r="B445" t="inlineStr">
        <is>
          <t>23 CORDOBA</t>
        </is>
      </c>
    </row>
    <row r="446">
      <c r="A446" t="inlineStr">
        <is>
          <t>23555 Planeta Rica</t>
        </is>
      </c>
      <c r="B446" t="inlineStr">
        <is>
          <t>23 CORDOBA</t>
        </is>
      </c>
    </row>
    <row r="447">
      <c r="A447" t="inlineStr">
        <is>
          <t>23570 Pueblo Nuevo</t>
        </is>
      </c>
      <c r="B447" t="inlineStr">
        <is>
          <t>23 CORDOBA</t>
        </is>
      </c>
    </row>
    <row r="448">
      <c r="A448" t="inlineStr">
        <is>
          <t>23574 Puerto Escondido</t>
        </is>
      </c>
      <c r="B448" t="inlineStr">
        <is>
          <t>23 CORDOBA</t>
        </is>
      </c>
    </row>
    <row r="449">
      <c r="A449" t="inlineStr">
        <is>
          <t>23580 Puerto Libertador</t>
        </is>
      </c>
      <c r="B449" t="inlineStr">
        <is>
          <t>23 CORDOBA</t>
        </is>
      </c>
    </row>
    <row r="450">
      <c r="A450" t="inlineStr">
        <is>
          <t>23586 Purisima</t>
        </is>
      </c>
      <c r="B450" t="inlineStr">
        <is>
          <t>23 CORDOBA</t>
        </is>
      </c>
    </row>
    <row r="451">
      <c r="A451" t="inlineStr">
        <is>
          <t>23660 Sahagun</t>
        </is>
      </c>
      <c r="B451" t="inlineStr">
        <is>
          <t>23 CORDOBA</t>
        </is>
      </c>
    </row>
    <row r="452">
      <c r="A452" t="inlineStr">
        <is>
          <t>23670 San Andres Sotavento</t>
        </is>
      </c>
      <c r="B452" t="inlineStr">
        <is>
          <t>23 CORDOBA</t>
        </is>
      </c>
    </row>
    <row r="453">
      <c r="A453" t="inlineStr">
        <is>
          <t>23672 San Antero</t>
        </is>
      </c>
      <c r="B453" t="inlineStr">
        <is>
          <t>23 CORDOBA</t>
        </is>
      </c>
    </row>
    <row r="454">
      <c r="A454" t="inlineStr">
        <is>
          <t>23675 San Bernardo del Viento</t>
        </is>
      </c>
      <c r="B454" t="inlineStr">
        <is>
          <t>23 CORDOBA</t>
        </is>
      </c>
    </row>
    <row r="455">
      <c r="A455" t="inlineStr">
        <is>
          <t>23678 San Carlos</t>
        </is>
      </c>
      <c r="B455" t="inlineStr">
        <is>
          <t>23 CORDOBA</t>
        </is>
      </c>
    </row>
    <row r="456">
      <c r="A456" t="inlineStr">
        <is>
          <t>23682 San Jose de Ure</t>
        </is>
      </c>
      <c r="B456" t="inlineStr">
        <is>
          <t>23 CORDOBA</t>
        </is>
      </c>
    </row>
    <row r="457">
      <c r="A457" t="inlineStr">
        <is>
          <t>23686 San Pelayo</t>
        </is>
      </c>
      <c r="B457" t="inlineStr">
        <is>
          <t>23 CORDOBA</t>
        </is>
      </c>
    </row>
    <row r="458">
      <c r="A458" t="inlineStr">
        <is>
          <t>23807 Tierralta</t>
        </is>
      </c>
      <c r="B458" t="inlineStr">
        <is>
          <t>23 CORDOBA</t>
        </is>
      </c>
    </row>
    <row r="459">
      <c r="A459" t="inlineStr">
        <is>
          <t>23815 Tuchin</t>
        </is>
      </c>
      <c r="B459" t="inlineStr">
        <is>
          <t>23 CORDOBA</t>
        </is>
      </c>
    </row>
    <row r="460">
      <c r="A460" t="inlineStr">
        <is>
          <t>23855 Valencia</t>
        </is>
      </c>
      <c r="B460" t="inlineStr">
        <is>
          <t>23 CORDOBA</t>
        </is>
      </c>
    </row>
    <row r="461">
      <c r="A461" t="inlineStr">
        <is>
          <t>25001 Agua de Dios</t>
        </is>
      </c>
      <c r="B461" t="inlineStr">
        <is>
          <t>25 CUNDINAMARCA</t>
        </is>
      </c>
    </row>
    <row r="462">
      <c r="A462" t="inlineStr">
        <is>
          <t>25019 Alban</t>
        </is>
      </c>
      <c r="B462" t="inlineStr">
        <is>
          <t>25 CUNDINAMARCA</t>
        </is>
      </c>
    </row>
    <row r="463">
      <c r="A463" t="inlineStr">
        <is>
          <t>25035 Anapoima</t>
        </is>
      </c>
      <c r="B463" t="inlineStr">
        <is>
          <t>25 CUNDINAMARCA</t>
        </is>
      </c>
    </row>
    <row r="464">
      <c r="A464" t="inlineStr">
        <is>
          <t>25040 Anolaima</t>
        </is>
      </c>
      <c r="B464" t="inlineStr">
        <is>
          <t>25 CUNDINAMARCA</t>
        </is>
      </c>
    </row>
    <row r="465">
      <c r="A465" t="inlineStr">
        <is>
          <t>25053 Arbelaez</t>
        </is>
      </c>
      <c r="B465" t="inlineStr">
        <is>
          <t>25 CUNDINAMARCA</t>
        </is>
      </c>
    </row>
    <row r="466">
      <c r="A466" t="inlineStr">
        <is>
          <t>25086 Beltran</t>
        </is>
      </c>
      <c r="B466" t="inlineStr">
        <is>
          <t>25 CUNDINAMARCA</t>
        </is>
      </c>
    </row>
    <row r="467">
      <c r="A467" t="inlineStr">
        <is>
          <t>25095 Bituima</t>
        </is>
      </c>
      <c r="B467" t="inlineStr">
        <is>
          <t>25 CUNDINAMARCA</t>
        </is>
      </c>
    </row>
    <row r="468">
      <c r="A468" t="inlineStr">
        <is>
          <t>25099 Bojaca</t>
        </is>
      </c>
      <c r="B468" t="inlineStr">
        <is>
          <t>25 CUNDINAMARCA</t>
        </is>
      </c>
    </row>
    <row r="469">
      <c r="A469" t="inlineStr">
        <is>
          <t>25120 Cabrera</t>
        </is>
      </c>
      <c r="B469" t="inlineStr">
        <is>
          <t>25 CUNDINAMARCA</t>
        </is>
      </c>
    </row>
    <row r="470">
      <c r="A470" t="inlineStr">
        <is>
          <t>25123 Cachipay</t>
        </is>
      </c>
      <c r="B470" t="inlineStr">
        <is>
          <t>25 CUNDINAMARCA</t>
        </is>
      </c>
    </row>
    <row r="471">
      <c r="A471" t="inlineStr">
        <is>
          <t>25126 Cajica</t>
        </is>
      </c>
      <c r="B471" t="inlineStr">
        <is>
          <t>25 CUNDINAMARCA</t>
        </is>
      </c>
    </row>
    <row r="472">
      <c r="A472" t="inlineStr">
        <is>
          <t>25148 Caparrapi</t>
        </is>
      </c>
      <c r="B472" t="inlineStr">
        <is>
          <t>25 CUNDINAMARCA</t>
        </is>
      </c>
    </row>
    <row r="473">
      <c r="A473" t="inlineStr">
        <is>
          <t>25151 Caqueza</t>
        </is>
      </c>
      <c r="B473" t="inlineStr">
        <is>
          <t>25 CUNDINAMARCA</t>
        </is>
      </c>
    </row>
    <row r="474">
      <c r="A474" t="inlineStr">
        <is>
          <t>25154 Carmen de Carupa</t>
        </is>
      </c>
      <c r="B474" t="inlineStr">
        <is>
          <t>25 CUNDINAMARCA</t>
        </is>
      </c>
    </row>
    <row r="475">
      <c r="A475" t="inlineStr">
        <is>
          <t>25168 Chaguani</t>
        </is>
      </c>
      <c r="B475" t="inlineStr">
        <is>
          <t>25 CUNDINAMARCA</t>
        </is>
      </c>
    </row>
    <row r="476">
      <c r="A476" t="inlineStr">
        <is>
          <t>25175 Chia</t>
        </is>
      </c>
      <c r="B476" t="inlineStr">
        <is>
          <t>25 CUNDINAMARCA</t>
        </is>
      </c>
    </row>
    <row r="477">
      <c r="A477" t="inlineStr">
        <is>
          <t>25178 Chipaque</t>
        </is>
      </c>
      <c r="B477" t="inlineStr">
        <is>
          <t>25 CUNDINAMARCA</t>
        </is>
      </c>
    </row>
    <row r="478">
      <c r="A478" t="inlineStr">
        <is>
          <t>25181 Choachi</t>
        </is>
      </c>
      <c r="B478" t="inlineStr">
        <is>
          <t>25 CUNDINAMARCA</t>
        </is>
      </c>
    </row>
    <row r="479">
      <c r="A479" t="inlineStr">
        <is>
          <t>25183 Choconta</t>
        </is>
      </c>
      <c r="B479" t="inlineStr">
        <is>
          <t>25 CUNDINAMARCA</t>
        </is>
      </c>
    </row>
    <row r="480">
      <c r="A480" t="inlineStr">
        <is>
          <t>25200 Cogua</t>
        </is>
      </c>
      <c r="B480" t="inlineStr">
        <is>
          <t>25 CUNDINAMARCA</t>
        </is>
      </c>
    </row>
    <row r="481">
      <c r="A481" t="inlineStr">
        <is>
          <t>25214 Cota</t>
        </is>
      </c>
      <c r="B481" t="inlineStr">
        <is>
          <t>25 CUNDINAMARCA</t>
        </is>
      </c>
    </row>
    <row r="482">
      <c r="A482" t="inlineStr">
        <is>
          <t>25224 Cucunuba</t>
        </is>
      </c>
      <c r="B482" t="inlineStr">
        <is>
          <t>25 CUNDINAMARCA</t>
        </is>
      </c>
    </row>
    <row r="483">
      <c r="A483" t="inlineStr">
        <is>
          <t>25245 El Colegio</t>
        </is>
      </c>
      <c r="B483" t="inlineStr">
        <is>
          <t>25 CUNDINAMARCA</t>
        </is>
      </c>
    </row>
    <row r="484">
      <c r="A484" t="inlineStr">
        <is>
          <t>25258 El Peñon</t>
        </is>
      </c>
      <c r="B484" t="inlineStr">
        <is>
          <t>25 CUNDINAMARCA</t>
        </is>
      </c>
    </row>
    <row r="485">
      <c r="A485" t="inlineStr">
        <is>
          <t>25260 El Rosal</t>
        </is>
      </c>
      <c r="B485" t="inlineStr">
        <is>
          <t>25 CUNDINAMARCA</t>
        </is>
      </c>
    </row>
    <row r="486">
      <c r="A486" t="inlineStr">
        <is>
          <t>25269 Facatativa</t>
        </is>
      </c>
      <c r="B486" t="inlineStr">
        <is>
          <t>25 CUNDINAMARCA</t>
        </is>
      </c>
    </row>
    <row r="487">
      <c r="A487" t="inlineStr">
        <is>
          <t>25279 Fomeque</t>
        </is>
      </c>
      <c r="B487" t="inlineStr">
        <is>
          <t>25 CUNDINAMARCA</t>
        </is>
      </c>
    </row>
    <row r="488">
      <c r="A488" t="inlineStr">
        <is>
          <t>25281 Fosca</t>
        </is>
      </c>
      <c r="B488" t="inlineStr">
        <is>
          <t>25 CUNDINAMARCA</t>
        </is>
      </c>
    </row>
    <row r="489">
      <c r="A489" t="inlineStr">
        <is>
          <t>25286 Funza</t>
        </is>
      </c>
      <c r="B489" t="inlineStr">
        <is>
          <t>25 CUNDINAMARCA</t>
        </is>
      </c>
    </row>
    <row r="490">
      <c r="A490" t="inlineStr">
        <is>
          <t>25288 Fuquene</t>
        </is>
      </c>
      <c r="B490" t="inlineStr">
        <is>
          <t>25 CUNDINAMARCA</t>
        </is>
      </c>
    </row>
    <row r="491">
      <c r="A491" t="inlineStr">
        <is>
          <t>25290 Fusagasuga</t>
        </is>
      </c>
      <c r="B491" t="inlineStr">
        <is>
          <t>25 CUNDINAMARCA</t>
        </is>
      </c>
    </row>
    <row r="492">
      <c r="A492" t="inlineStr">
        <is>
          <t>25293 Gachala</t>
        </is>
      </c>
      <c r="B492" t="inlineStr">
        <is>
          <t>25 CUNDINAMARCA</t>
        </is>
      </c>
    </row>
    <row r="493">
      <c r="A493" t="inlineStr">
        <is>
          <t>25295 Gachancipa</t>
        </is>
      </c>
      <c r="B493" t="inlineStr">
        <is>
          <t>25 CUNDINAMARCA</t>
        </is>
      </c>
    </row>
    <row r="494">
      <c r="A494" t="inlineStr">
        <is>
          <t>25297 Gacheta</t>
        </is>
      </c>
      <c r="B494" t="inlineStr">
        <is>
          <t>25 CUNDINAMARCA</t>
        </is>
      </c>
    </row>
    <row r="495">
      <c r="A495" t="inlineStr">
        <is>
          <t>25299 Gama</t>
        </is>
      </c>
      <c r="B495" t="inlineStr">
        <is>
          <t>25 CUNDINAMARCA</t>
        </is>
      </c>
    </row>
    <row r="496">
      <c r="A496" t="inlineStr">
        <is>
          <t>25307 Girardot</t>
        </is>
      </c>
      <c r="B496" t="inlineStr">
        <is>
          <t>25 CUNDINAMARCA</t>
        </is>
      </c>
    </row>
    <row r="497">
      <c r="A497" t="inlineStr">
        <is>
          <t>25312 Granada</t>
        </is>
      </c>
      <c r="B497" t="inlineStr">
        <is>
          <t>25 CUNDINAMARCA</t>
        </is>
      </c>
    </row>
    <row r="498">
      <c r="A498" t="inlineStr">
        <is>
          <t>25317 Guacheta</t>
        </is>
      </c>
      <c r="B498" t="inlineStr">
        <is>
          <t>25 CUNDINAMARCA</t>
        </is>
      </c>
    </row>
    <row r="499">
      <c r="A499" t="inlineStr">
        <is>
          <t>25320 Guaduas</t>
        </is>
      </c>
      <c r="B499" t="inlineStr">
        <is>
          <t>25 CUNDINAMARCA</t>
        </is>
      </c>
    </row>
    <row r="500">
      <c r="A500" t="inlineStr">
        <is>
          <t>25322 Guasca</t>
        </is>
      </c>
      <c r="B500" t="inlineStr">
        <is>
          <t>25 CUNDINAMARCA</t>
        </is>
      </c>
    </row>
    <row r="501">
      <c r="A501" t="inlineStr">
        <is>
          <t>25324 Guataqui</t>
        </is>
      </c>
      <c r="B501" t="inlineStr">
        <is>
          <t>25 CUNDINAMARCA</t>
        </is>
      </c>
    </row>
    <row r="502">
      <c r="A502" t="inlineStr">
        <is>
          <t>25326 Guatavita</t>
        </is>
      </c>
      <c r="B502" t="inlineStr">
        <is>
          <t>25 CUNDINAMARCA</t>
        </is>
      </c>
    </row>
    <row r="503">
      <c r="A503" t="inlineStr">
        <is>
          <t>25328 Guayabal de Siquima</t>
        </is>
      </c>
      <c r="B503" t="inlineStr">
        <is>
          <t>25 CUNDINAMARCA</t>
        </is>
      </c>
    </row>
    <row r="504">
      <c r="A504" t="inlineStr">
        <is>
          <t>25335 Guayabetal</t>
        </is>
      </c>
      <c r="B504" t="inlineStr">
        <is>
          <t>25 CUNDINAMARCA</t>
        </is>
      </c>
    </row>
    <row r="505">
      <c r="A505" t="inlineStr">
        <is>
          <t>25339 Gutierrez</t>
        </is>
      </c>
      <c r="B505" t="inlineStr">
        <is>
          <t>25 CUNDINAMARCA</t>
        </is>
      </c>
    </row>
    <row r="506">
      <c r="A506" t="inlineStr">
        <is>
          <t>25368 Jerusalen</t>
        </is>
      </c>
      <c r="B506" t="inlineStr">
        <is>
          <t>25 CUNDINAMARCA</t>
        </is>
      </c>
    </row>
    <row r="507">
      <c r="A507" t="inlineStr">
        <is>
          <t>25372 Junin</t>
        </is>
      </c>
      <c r="B507" t="inlineStr">
        <is>
          <t>25 CUNDINAMARCA</t>
        </is>
      </c>
    </row>
    <row r="508">
      <c r="A508" t="inlineStr">
        <is>
          <t>25377 La Calera</t>
        </is>
      </c>
      <c r="B508" t="inlineStr">
        <is>
          <t>25 CUNDINAMARCA</t>
        </is>
      </c>
    </row>
    <row r="509">
      <c r="A509" t="inlineStr">
        <is>
          <t>25386 La Mesa</t>
        </is>
      </c>
      <c r="B509" t="inlineStr">
        <is>
          <t>25 CUNDINAMARCA</t>
        </is>
      </c>
    </row>
    <row r="510">
      <c r="A510" t="inlineStr">
        <is>
          <t>25394 La Palma</t>
        </is>
      </c>
      <c r="B510" t="inlineStr">
        <is>
          <t>25 CUNDINAMARCA</t>
        </is>
      </c>
    </row>
    <row r="511">
      <c r="A511" t="inlineStr">
        <is>
          <t>25398 La Peña</t>
        </is>
      </c>
      <c r="B511" t="inlineStr">
        <is>
          <t>25 CUNDINAMARCA</t>
        </is>
      </c>
    </row>
    <row r="512">
      <c r="A512" t="inlineStr">
        <is>
          <t>25402 La Vega</t>
        </is>
      </c>
      <c r="B512" t="inlineStr">
        <is>
          <t>25 CUNDINAMARCA</t>
        </is>
      </c>
    </row>
    <row r="513">
      <c r="A513" t="inlineStr">
        <is>
          <t>25407 Lenguazaque</t>
        </is>
      </c>
      <c r="B513" t="inlineStr">
        <is>
          <t>25 CUNDINAMARCA</t>
        </is>
      </c>
    </row>
    <row r="514">
      <c r="A514" t="inlineStr">
        <is>
          <t>25426 Macheta</t>
        </is>
      </c>
      <c r="B514" t="inlineStr">
        <is>
          <t>25 CUNDINAMARCA</t>
        </is>
      </c>
    </row>
    <row r="515">
      <c r="A515" t="inlineStr">
        <is>
          <t>25430 Madrid</t>
        </is>
      </c>
      <c r="B515" t="inlineStr">
        <is>
          <t>25 CUNDINAMARCA</t>
        </is>
      </c>
    </row>
    <row r="516">
      <c r="A516" t="inlineStr">
        <is>
          <t>25436 Manta</t>
        </is>
      </c>
      <c r="B516" t="inlineStr">
        <is>
          <t>25 CUNDINAMARCA</t>
        </is>
      </c>
    </row>
    <row r="517">
      <c r="A517" t="inlineStr">
        <is>
          <t>25438 Medina</t>
        </is>
      </c>
      <c r="B517" t="inlineStr">
        <is>
          <t>25 CUNDINAMARCA</t>
        </is>
      </c>
    </row>
    <row r="518">
      <c r="A518" t="inlineStr">
        <is>
          <t>25473 Mosquera</t>
        </is>
      </c>
      <c r="B518" t="inlineStr">
        <is>
          <t>25 CUNDINAMARCA</t>
        </is>
      </c>
    </row>
    <row r="519">
      <c r="A519" t="inlineStr">
        <is>
          <t>25483 Nariño</t>
        </is>
      </c>
      <c r="B519" t="inlineStr">
        <is>
          <t>25 CUNDINAMARCA</t>
        </is>
      </c>
    </row>
    <row r="520">
      <c r="A520" t="inlineStr">
        <is>
          <t>25486 Nemocon</t>
        </is>
      </c>
      <c r="B520" t="inlineStr">
        <is>
          <t>25 CUNDINAMARCA</t>
        </is>
      </c>
    </row>
    <row r="521">
      <c r="A521" t="inlineStr">
        <is>
          <t>25488 Nilo</t>
        </is>
      </c>
      <c r="B521" t="inlineStr">
        <is>
          <t>25 CUNDINAMARCA</t>
        </is>
      </c>
    </row>
    <row r="522">
      <c r="A522" t="inlineStr">
        <is>
          <t>25489 Nimaima</t>
        </is>
      </c>
      <c r="B522" t="inlineStr">
        <is>
          <t>25 CUNDINAMARCA</t>
        </is>
      </c>
    </row>
    <row r="523">
      <c r="A523" t="inlineStr">
        <is>
          <t>25491 Nocaima</t>
        </is>
      </c>
      <c r="B523" t="inlineStr">
        <is>
          <t>25 CUNDINAMARCA</t>
        </is>
      </c>
    </row>
    <row r="524">
      <c r="A524" t="inlineStr">
        <is>
          <t>25506 Venecia</t>
        </is>
      </c>
      <c r="B524" t="inlineStr">
        <is>
          <t>25 CUNDINAMARCA</t>
        </is>
      </c>
    </row>
    <row r="525">
      <c r="A525" t="inlineStr">
        <is>
          <t>25513 Pacho</t>
        </is>
      </c>
      <c r="B525" t="inlineStr">
        <is>
          <t>25 CUNDINAMARCA</t>
        </is>
      </c>
    </row>
    <row r="526">
      <c r="A526" t="inlineStr">
        <is>
          <t>25518 Paime</t>
        </is>
      </c>
      <c r="B526" t="inlineStr">
        <is>
          <t>25 CUNDINAMARCA</t>
        </is>
      </c>
    </row>
    <row r="527">
      <c r="A527" t="inlineStr">
        <is>
          <t>25524 Pandi</t>
        </is>
      </c>
      <c r="B527" t="inlineStr">
        <is>
          <t>25 CUNDINAMARCA</t>
        </is>
      </c>
    </row>
    <row r="528">
      <c r="A528" t="inlineStr">
        <is>
          <t>25530 Paratebueno</t>
        </is>
      </c>
      <c r="B528" t="inlineStr">
        <is>
          <t>25 CUNDINAMARCA</t>
        </is>
      </c>
    </row>
    <row r="529">
      <c r="A529" t="inlineStr">
        <is>
          <t>25535 Pasca</t>
        </is>
      </c>
      <c r="B529" t="inlineStr">
        <is>
          <t>25 CUNDINAMARCA</t>
        </is>
      </c>
    </row>
    <row r="530">
      <c r="A530" t="inlineStr">
        <is>
          <t>25572 Puerto Salgar</t>
        </is>
      </c>
      <c r="B530" t="inlineStr">
        <is>
          <t>25 CUNDINAMARCA</t>
        </is>
      </c>
    </row>
    <row r="531">
      <c r="A531" t="inlineStr">
        <is>
          <t>25580 Puli</t>
        </is>
      </c>
      <c r="B531" t="inlineStr">
        <is>
          <t>25 CUNDINAMARCA</t>
        </is>
      </c>
    </row>
    <row r="532">
      <c r="A532" t="inlineStr">
        <is>
          <t>25592 Quebradanegra</t>
        </is>
      </c>
      <c r="B532" t="inlineStr">
        <is>
          <t>25 CUNDINAMARCA</t>
        </is>
      </c>
    </row>
    <row r="533">
      <c r="A533" t="inlineStr">
        <is>
          <t>25594 Quetame</t>
        </is>
      </c>
      <c r="B533" t="inlineStr">
        <is>
          <t>25 CUNDINAMARCA</t>
        </is>
      </c>
    </row>
    <row r="534">
      <c r="A534" t="inlineStr">
        <is>
          <t>25596 Quipile</t>
        </is>
      </c>
      <c r="B534" t="inlineStr">
        <is>
          <t>25 CUNDINAMARCA</t>
        </is>
      </c>
    </row>
    <row r="535">
      <c r="A535" t="inlineStr">
        <is>
          <t>25599 Apulo</t>
        </is>
      </c>
      <c r="B535" t="inlineStr">
        <is>
          <t>25 CUNDINAMARCA</t>
        </is>
      </c>
    </row>
    <row r="536">
      <c r="A536" t="inlineStr">
        <is>
          <t>25612 Ricaurte</t>
        </is>
      </c>
      <c r="B536" t="inlineStr">
        <is>
          <t>25 CUNDINAMARCA</t>
        </is>
      </c>
    </row>
    <row r="537">
      <c r="A537" t="inlineStr">
        <is>
          <t>25645 San Antonio del Tequendama</t>
        </is>
      </c>
      <c r="B537" t="inlineStr">
        <is>
          <t>25 CUNDINAMARCA</t>
        </is>
      </c>
    </row>
    <row r="538">
      <c r="A538" t="inlineStr">
        <is>
          <t>25649 San Bernardo</t>
        </is>
      </c>
      <c r="B538" t="inlineStr">
        <is>
          <t>25 CUNDINAMARCA</t>
        </is>
      </c>
    </row>
    <row r="539">
      <c r="A539" t="inlineStr">
        <is>
          <t>25653 San Cayetano</t>
        </is>
      </c>
      <c r="B539" t="inlineStr">
        <is>
          <t>25 CUNDINAMARCA</t>
        </is>
      </c>
    </row>
    <row r="540">
      <c r="A540" t="inlineStr">
        <is>
          <t>25658 San Francisco</t>
        </is>
      </c>
      <c r="B540" t="inlineStr">
        <is>
          <t>25 CUNDINAMARCA</t>
        </is>
      </c>
    </row>
    <row r="541">
      <c r="A541" t="inlineStr">
        <is>
          <t>25662 San Juan de Rio Seco</t>
        </is>
      </c>
      <c r="B541" t="inlineStr">
        <is>
          <t>25 CUNDINAMARCA</t>
        </is>
      </c>
    </row>
    <row r="542">
      <c r="A542" t="inlineStr">
        <is>
          <t>25718 Sasaima</t>
        </is>
      </c>
      <c r="B542" t="inlineStr">
        <is>
          <t>25 CUNDINAMARCA</t>
        </is>
      </c>
    </row>
    <row r="543">
      <c r="A543" t="inlineStr">
        <is>
          <t>25736 Sesquile</t>
        </is>
      </c>
      <c r="B543" t="inlineStr">
        <is>
          <t>25 CUNDINAMARCA</t>
        </is>
      </c>
    </row>
    <row r="544">
      <c r="A544" t="inlineStr">
        <is>
          <t>25740 Sibate</t>
        </is>
      </c>
      <c r="B544" t="inlineStr">
        <is>
          <t>25 CUNDINAMARCA</t>
        </is>
      </c>
    </row>
    <row r="545">
      <c r="A545" t="inlineStr">
        <is>
          <t>25743 Silvania</t>
        </is>
      </c>
      <c r="B545" t="inlineStr">
        <is>
          <t>25 CUNDINAMARCA</t>
        </is>
      </c>
    </row>
    <row r="546">
      <c r="A546" t="inlineStr">
        <is>
          <t>25745 Simijaca</t>
        </is>
      </c>
      <c r="B546" t="inlineStr">
        <is>
          <t>25 CUNDINAMARCA</t>
        </is>
      </c>
    </row>
    <row r="547">
      <c r="A547" t="inlineStr">
        <is>
          <t>25754 Soacha</t>
        </is>
      </c>
      <c r="B547" t="inlineStr">
        <is>
          <t>25 CUNDINAMARCA</t>
        </is>
      </c>
    </row>
    <row r="548">
      <c r="A548" t="inlineStr">
        <is>
          <t>25758 Sopo</t>
        </is>
      </c>
      <c r="B548" t="inlineStr">
        <is>
          <t>25 CUNDINAMARCA</t>
        </is>
      </c>
    </row>
    <row r="549">
      <c r="A549" t="inlineStr">
        <is>
          <t>25769 Subachoque</t>
        </is>
      </c>
      <c r="B549" t="inlineStr">
        <is>
          <t>25 CUNDINAMARCA</t>
        </is>
      </c>
    </row>
    <row r="550">
      <c r="A550" t="inlineStr">
        <is>
          <t>25772 Suesca</t>
        </is>
      </c>
      <c r="B550" t="inlineStr">
        <is>
          <t>25 CUNDINAMARCA</t>
        </is>
      </c>
    </row>
    <row r="551">
      <c r="A551" t="inlineStr">
        <is>
          <t>25777 Supata</t>
        </is>
      </c>
      <c r="B551" t="inlineStr">
        <is>
          <t>25 CUNDINAMARCA</t>
        </is>
      </c>
    </row>
    <row r="552">
      <c r="A552" t="inlineStr">
        <is>
          <t>25779 Susa</t>
        </is>
      </c>
      <c r="B552" t="inlineStr">
        <is>
          <t>25 CUNDINAMARCA</t>
        </is>
      </c>
    </row>
    <row r="553">
      <c r="A553" t="inlineStr">
        <is>
          <t>25781 Sutatausa</t>
        </is>
      </c>
      <c r="B553" t="inlineStr">
        <is>
          <t>25 CUNDINAMARCA</t>
        </is>
      </c>
    </row>
    <row r="554">
      <c r="A554" t="inlineStr">
        <is>
          <t>25785 Tabio</t>
        </is>
      </c>
      <c r="B554" t="inlineStr">
        <is>
          <t>25 CUNDINAMARCA</t>
        </is>
      </c>
    </row>
    <row r="555">
      <c r="A555" t="inlineStr">
        <is>
          <t>25793 Tausa</t>
        </is>
      </c>
      <c r="B555" t="inlineStr">
        <is>
          <t>25 CUNDINAMARCA</t>
        </is>
      </c>
    </row>
    <row r="556">
      <c r="A556" t="inlineStr">
        <is>
          <t>25797 Tena</t>
        </is>
      </c>
      <c r="B556" t="inlineStr">
        <is>
          <t>25 CUNDINAMARCA</t>
        </is>
      </c>
    </row>
    <row r="557">
      <c r="A557" t="inlineStr">
        <is>
          <t>25799 Tenjo</t>
        </is>
      </c>
      <c r="B557" t="inlineStr">
        <is>
          <t>25 CUNDINAMARCA</t>
        </is>
      </c>
    </row>
    <row r="558">
      <c r="A558" t="inlineStr">
        <is>
          <t>25805 Tibacuy</t>
        </is>
      </c>
      <c r="B558" t="inlineStr">
        <is>
          <t>25 CUNDINAMARCA</t>
        </is>
      </c>
    </row>
    <row r="559">
      <c r="A559" t="inlineStr">
        <is>
          <t>25807 Tibirita</t>
        </is>
      </c>
      <c r="B559" t="inlineStr">
        <is>
          <t>25 CUNDINAMARCA</t>
        </is>
      </c>
    </row>
    <row r="560">
      <c r="A560" t="inlineStr">
        <is>
          <t>25815 Tocaima</t>
        </is>
      </c>
      <c r="B560" t="inlineStr">
        <is>
          <t>25 CUNDINAMARCA</t>
        </is>
      </c>
    </row>
    <row r="561">
      <c r="A561" t="inlineStr">
        <is>
          <t>25817 Tocancipa</t>
        </is>
      </c>
      <c r="B561" t="inlineStr">
        <is>
          <t>25 CUNDINAMARCA</t>
        </is>
      </c>
    </row>
    <row r="562">
      <c r="A562" t="inlineStr">
        <is>
          <t>25823 Topaipi</t>
        </is>
      </c>
      <c r="B562" t="inlineStr">
        <is>
          <t>25 CUNDINAMARCA</t>
        </is>
      </c>
    </row>
    <row r="563">
      <c r="A563" t="inlineStr">
        <is>
          <t>25839 Ubala</t>
        </is>
      </c>
      <c r="B563" t="inlineStr">
        <is>
          <t>25 CUNDINAMARCA</t>
        </is>
      </c>
    </row>
    <row r="564">
      <c r="A564" t="inlineStr">
        <is>
          <t>25841 Ubaque</t>
        </is>
      </c>
      <c r="B564" t="inlineStr">
        <is>
          <t>25 CUNDINAMARCA</t>
        </is>
      </c>
    </row>
    <row r="565">
      <c r="A565" t="inlineStr">
        <is>
          <t>25843 Villa de San Diego de Ubate</t>
        </is>
      </c>
      <c r="B565" t="inlineStr">
        <is>
          <t>25 CUNDINAMARCA</t>
        </is>
      </c>
    </row>
    <row r="566">
      <c r="A566" t="inlineStr">
        <is>
          <t>25845 Une</t>
        </is>
      </c>
      <c r="B566" t="inlineStr">
        <is>
          <t>25 CUNDINAMARCA</t>
        </is>
      </c>
    </row>
    <row r="567">
      <c r="A567" t="inlineStr">
        <is>
          <t>25851 utica</t>
        </is>
      </c>
      <c r="B567" t="inlineStr">
        <is>
          <t>25 CUNDINAMARCA</t>
        </is>
      </c>
    </row>
    <row r="568">
      <c r="A568" t="inlineStr">
        <is>
          <t>25862 Vergara</t>
        </is>
      </c>
      <c r="B568" t="inlineStr">
        <is>
          <t>25 CUNDINAMARCA</t>
        </is>
      </c>
    </row>
    <row r="569">
      <c r="A569" t="inlineStr">
        <is>
          <t>25867 Viani</t>
        </is>
      </c>
      <c r="B569" t="inlineStr">
        <is>
          <t>25 CUNDINAMARCA</t>
        </is>
      </c>
    </row>
    <row r="570">
      <c r="A570" t="inlineStr">
        <is>
          <t>25871 Villagomez</t>
        </is>
      </c>
      <c r="B570" t="inlineStr">
        <is>
          <t>25 CUNDINAMARCA</t>
        </is>
      </c>
    </row>
    <row r="571">
      <c r="A571" t="inlineStr">
        <is>
          <t>25873 Villapinzon</t>
        </is>
      </c>
      <c r="B571" t="inlineStr">
        <is>
          <t>25 CUNDINAMARCA</t>
        </is>
      </c>
    </row>
    <row r="572">
      <c r="A572" t="inlineStr">
        <is>
          <t>25875 Villeta</t>
        </is>
      </c>
      <c r="B572" t="inlineStr">
        <is>
          <t>25 CUNDINAMARCA</t>
        </is>
      </c>
    </row>
    <row r="573">
      <c r="A573" t="inlineStr">
        <is>
          <t>25878 Viota</t>
        </is>
      </c>
      <c r="B573" t="inlineStr">
        <is>
          <t>25 CUNDINAMARCA</t>
        </is>
      </c>
    </row>
    <row r="574">
      <c r="A574" t="inlineStr">
        <is>
          <t>25885 Yacopi</t>
        </is>
      </c>
      <c r="B574" t="inlineStr">
        <is>
          <t>25 CUNDINAMARCA</t>
        </is>
      </c>
    </row>
    <row r="575">
      <c r="A575" t="inlineStr">
        <is>
          <t>25898 Zipacon</t>
        </is>
      </c>
      <c r="B575" t="inlineStr">
        <is>
          <t>25 CUNDINAMARCA</t>
        </is>
      </c>
    </row>
    <row r="576">
      <c r="A576" t="inlineStr">
        <is>
          <t>25899 Zipaquira</t>
        </is>
      </c>
      <c r="B576" t="inlineStr">
        <is>
          <t>25 CUNDINAMARCA</t>
        </is>
      </c>
    </row>
    <row r="577">
      <c r="A577" t="inlineStr">
        <is>
          <t>27001 Quibdo</t>
        </is>
      </c>
      <c r="B577" t="inlineStr">
        <is>
          <t>27 CHOCO</t>
        </is>
      </c>
    </row>
    <row r="578">
      <c r="A578" t="inlineStr">
        <is>
          <t>27006 Acandi</t>
        </is>
      </c>
      <c r="B578" t="inlineStr">
        <is>
          <t>27 CHOCO</t>
        </is>
      </c>
    </row>
    <row r="579">
      <c r="A579" t="inlineStr">
        <is>
          <t>27025 Alto Baudo</t>
        </is>
      </c>
      <c r="B579" t="inlineStr">
        <is>
          <t>27 CHOCO</t>
        </is>
      </c>
    </row>
    <row r="580">
      <c r="A580" t="inlineStr">
        <is>
          <t>27050 Atrato</t>
        </is>
      </c>
      <c r="B580" t="inlineStr">
        <is>
          <t>27 CHOCO</t>
        </is>
      </c>
    </row>
    <row r="581">
      <c r="A581" t="inlineStr">
        <is>
          <t>27073 Bagado</t>
        </is>
      </c>
      <c r="B581" t="inlineStr">
        <is>
          <t>27 CHOCO</t>
        </is>
      </c>
    </row>
    <row r="582">
      <c r="A582" t="inlineStr">
        <is>
          <t>27075 Bahia Solano</t>
        </is>
      </c>
      <c r="B582" t="inlineStr">
        <is>
          <t>27 CHOCO</t>
        </is>
      </c>
    </row>
    <row r="583">
      <c r="A583" t="inlineStr">
        <is>
          <t>27077 Bajo Baudo</t>
        </is>
      </c>
      <c r="B583" t="inlineStr">
        <is>
          <t>27 CHOCO</t>
        </is>
      </c>
    </row>
    <row r="584">
      <c r="A584" t="inlineStr">
        <is>
          <t>27099 Bojaya</t>
        </is>
      </c>
      <c r="B584" t="inlineStr">
        <is>
          <t>27 CHOCO</t>
        </is>
      </c>
    </row>
    <row r="585">
      <c r="A585" t="inlineStr">
        <is>
          <t>27135 El Canton del San Pablo</t>
        </is>
      </c>
      <c r="B585" t="inlineStr">
        <is>
          <t>27 CHOCO</t>
        </is>
      </c>
    </row>
    <row r="586">
      <c r="A586" t="inlineStr">
        <is>
          <t>27150 Carmen del Darien</t>
        </is>
      </c>
      <c r="B586" t="inlineStr">
        <is>
          <t>27 CHOCO</t>
        </is>
      </c>
    </row>
    <row r="587">
      <c r="A587" t="inlineStr">
        <is>
          <t>27160 Certegui</t>
        </is>
      </c>
      <c r="B587" t="inlineStr">
        <is>
          <t>27 CHOCO</t>
        </is>
      </c>
    </row>
    <row r="588">
      <c r="A588" t="inlineStr">
        <is>
          <t>27205 Condoto</t>
        </is>
      </c>
      <c r="B588" t="inlineStr">
        <is>
          <t>27 CHOCO</t>
        </is>
      </c>
    </row>
    <row r="589">
      <c r="A589" t="inlineStr">
        <is>
          <t>27245 El Carmen de Atrato</t>
        </is>
      </c>
      <c r="B589" t="inlineStr">
        <is>
          <t>27 CHOCO</t>
        </is>
      </c>
    </row>
    <row r="590">
      <c r="A590" t="inlineStr">
        <is>
          <t>27250 El Litoral del San Juan</t>
        </is>
      </c>
      <c r="B590" t="inlineStr">
        <is>
          <t>27 CHOCO</t>
        </is>
      </c>
    </row>
    <row r="591">
      <c r="A591" t="inlineStr">
        <is>
          <t>27361 Istmina</t>
        </is>
      </c>
      <c r="B591" t="inlineStr">
        <is>
          <t>27 CHOCO</t>
        </is>
      </c>
    </row>
    <row r="592">
      <c r="A592" t="inlineStr">
        <is>
          <t>27372 Jurado</t>
        </is>
      </c>
      <c r="B592" t="inlineStr">
        <is>
          <t>27 CHOCO</t>
        </is>
      </c>
    </row>
    <row r="593">
      <c r="A593" t="inlineStr">
        <is>
          <t>27413 Lloro</t>
        </is>
      </c>
      <c r="B593" t="inlineStr">
        <is>
          <t>27 CHOCO</t>
        </is>
      </c>
    </row>
    <row r="594">
      <c r="A594" t="inlineStr">
        <is>
          <t>27425 Medio Atrato</t>
        </is>
      </c>
      <c r="B594" t="inlineStr">
        <is>
          <t>27 CHOCO</t>
        </is>
      </c>
    </row>
    <row r="595">
      <c r="A595" t="inlineStr">
        <is>
          <t>27430 Medio Baudo</t>
        </is>
      </c>
      <c r="B595" t="inlineStr">
        <is>
          <t>27 CHOCO</t>
        </is>
      </c>
    </row>
    <row r="596">
      <c r="A596" t="inlineStr">
        <is>
          <t>27450 Medio San Juan</t>
        </is>
      </c>
      <c r="B596" t="inlineStr">
        <is>
          <t>27 CHOCO</t>
        </is>
      </c>
    </row>
    <row r="597">
      <c r="A597" t="inlineStr">
        <is>
          <t>27491 Novita</t>
        </is>
      </c>
      <c r="B597" t="inlineStr">
        <is>
          <t>27 CHOCO</t>
        </is>
      </c>
    </row>
    <row r="598">
      <c r="A598" t="inlineStr">
        <is>
          <t>27495 Nuqui</t>
        </is>
      </c>
      <c r="B598" t="inlineStr">
        <is>
          <t>27 CHOCO</t>
        </is>
      </c>
    </row>
    <row r="599">
      <c r="A599" t="inlineStr">
        <is>
          <t>27580 Rio Iro</t>
        </is>
      </c>
      <c r="B599" t="inlineStr">
        <is>
          <t>27 CHOCO</t>
        </is>
      </c>
    </row>
    <row r="600">
      <c r="A600" t="inlineStr">
        <is>
          <t>27600 Rio Quito</t>
        </is>
      </c>
      <c r="B600" t="inlineStr">
        <is>
          <t>27 CHOCO</t>
        </is>
      </c>
    </row>
    <row r="601">
      <c r="A601" t="inlineStr">
        <is>
          <t>27615 Riosucio</t>
        </is>
      </c>
      <c r="B601" t="inlineStr">
        <is>
          <t>27 CHOCO</t>
        </is>
      </c>
    </row>
    <row r="602">
      <c r="A602" t="inlineStr">
        <is>
          <t>27660 San Jose del Palmar</t>
        </is>
      </c>
      <c r="B602" t="inlineStr">
        <is>
          <t>27 CHOCO</t>
        </is>
      </c>
    </row>
    <row r="603">
      <c r="A603" t="inlineStr">
        <is>
          <t>27745 Sipi</t>
        </is>
      </c>
      <c r="B603" t="inlineStr">
        <is>
          <t>27 CHOCO</t>
        </is>
      </c>
    </row>
    <row r="604">
      <c r="A604" t="inlineStr">
        <is>
          <t>27787 Tado</t>
        </is>
      </c>
      <c r="B604" t="inlineStr">
        <is>
          <t>27 CHOCO</t>
        </is>
      </c>
    </row>
    <row r="605">
      <c r="A605" t="inlineStr">
        <is>
          <t>27800 Unguia</t>
        </is>
      </c>
      <c r="B605" t="inlineStr">
        <is>
          <t>27 CHOCO</t>
        </is>
      </c>
    </row>
    <row r="606">
      <c r="A606" t="inlineStr">
        <is>
          <t>27810 Union Panamericana</t>
        </is>
      </c>
      <c r="B606" t="inlineStr">
        <is>
          <t>27 CHOCO</t>
        </is>
      </c>
    </row>
    <row r="607">
      <c r="A607" t="inlineStr">
        <is>
          <t>41001 Neiva</t>
        </is>
      </c>
      <c r="B607" t="inlineStr">
        <is>
          <t>41 HUILA</t>
        </is>
      </c>
    </row>
    <row r="608">
      <c r="A608" t="inlineStr">
        <is>
          <t>41006 Acevedo</t>
        </is>
      </c>
      <c r="B608" t="inlineStr">
        <is>
          <t>41 HUILA</t>
        </is>
      </c>
    </row>
    <row r="609">
      <c r="A609" t="inlineStr">
        <is>
          <t>41013 Agrado</t>
        </is>
      </c>
      <c r="B609" t="inlineStr">
        <is>
          <t>41 HUILA</t>
        </is>
      </c>
    </row>
    <row r="610">
      <c r="A610" t="inlineStr">
        <is>
          <t>41016 Aipe</t>
        </is>
      </c>
      <c r="B610" t="inlineStr">
        <is>
          <t>41 HUILA</t>
        </is>
      </c>
    </row>
    <row r="611">
      <c r="A611" t="inlineStr">
        <is>
          <t>41020 Algeciras</t>
        </is>
      </c>
      <c r="B611" t="inlineStr">
        <is>
          <t>41 HUILA</t>
        </is>
      </c>
    </row>
    <row r="612">
      <c r="A612" t="inlineStr">
        <is>
          <t>41026 Altamira</t>
        </is>
      </c>
      <c r="B612" t="inlineStr">
        <is>
          <t>41 HUILA</t>
        </is>
      </c>
    </row>
    <row r="613">
      <c r="A613" t="inlineStr">
        <is>
          <t>41078 Baraya</t>
        </is>
      </c>
      <c r="B613" t="inlineStr">
        <is>
          <t>41 HUILA</t>
        </is>
      </c>
    </row>
    <row r="614">
      <c r="A614" t="inlineStr">
        <is>
          <t>41132 Campoalegre</t>
        </is>
      </c>
      <c r="B614" t="inlineStr">
        <is>
          <t>41 HUILA</t>
        </is>
      </c>
    </row>
    <row r="615">
      <c r="A615" t="inlineStr">
        <is>
          <t>41206 Colombia</t>
        </is>
      </c>
      <c r="B615" t="inlineStr">
        <is>
          <t>41 HUILA</t>
        </is>
      </c>
    </row>
    <row r="616">
      <c r="A616" t="inlineStr">
        <is>
          <t>41244 Elias</t>
        </is>
      </c>
      <c r="B616" t="inlineStr">
        <is>
          <t>41 HUILA</t>
        </is>
      </c>
    </row>
    <row r="617">
      <c r="A617" t="inlineStr">
        <is>
          <t>41298 Garzon</t>
        </is>
      </c>
      <c r="B617" t="inlineStr">
        <is>
          <t>41 HUILA</t>
        </is>
      </c>
    </row>
    <row r="618">
      <c r="A618" t="inlineStr">
        <is>
          <t>41306 Gigante</t>
        </is>
      </c>
      <c r="B618" t="inlineStr">
        <is>
          <t>41 HUILA</t>
        </is>
      </c>
    </row>
    <row r="619">
      <c r="A619" t="inlineStr">
        <is>
          <t>41319 Guadalupe</t>
        </is>
      </c>
      <c r="B619" t="inlineStr">
        <is>
          <t>41 HUILA</t>
        </is>
      </c>
    </row>
    <row r="620">
      <c r="A620" t="inlineStr">
        <is>
          <t>41349 Hobo</t>
        </is>
      </c>
      <c r="B620" t="inlineStr">
        <is>
          <t>41 HUILA</t>
        </is>
      </c>
    </row>
    <row r="621">
      <c r="A621" t="inlineStr">
        <is>
          <t>41357 Iquira</t>
        </is>
      </c>
      <c r="B621" t="inlineStr">
        <is>
          <t>41 HUILA</t>
        </is>
      </c>
    </row>
    <row r="622">
      <c r="A622" t="inlineStr">
        <is>
          <t>41359 Isnos</t>
        </is>
      </c>
      <c r="B622" t="inlineStr">
        <is>
          <t>41 HUILA</t>
        </is>
      </c>
    </row>
    <row r="623">
      <c r="A623" t="inlineStr">
        <is>
          <t>41378 La Argentina</t>
        </is>
      </c>
      <c r="B623" t="inlineStr">
        <is>
          <t>41 HUILA</t>
        </is>
      </c>
    </row>
    <row r="624">
      <c r="A624" t="inlineStr">
        <is>
          <t>41396 La Plata</t>
        </is>
      </c>
      <c r="B624" t="inlineStr">
        <is>
          <t>41 HUILA</t>
        </is>
      </c>
    </row>
    <row r="625">
      <c r="A625" t="inlineStr">
        <is>
          <t>41483 Nataga</t>
        </is>
      </c>
      <c r="B625" t="inlineStr">
        <is>
          <t>41 HUILA</t>
        </is>
      </c>
    </row>
    <row r="626">
      <c r="A626" t="inlineStr">
        <is>
          <t>41503 Oporapa</t>
        </is>
      </c>
      <c r="B626" t="inlineStr">
        <is>
          <t>41 HUILA</t>
        </is>
      </c>
    </row>
    <row r="627">
      <c r="A627" t="inlineStr">
        <is>
          <t>41518 Paicol</t>
        </is>
      </c>
      <c r="B627" t="inlineStr">
        <is>
          <t>41 HUILA</t>
        </is>
      </c>
    </row>
    <row r="628">
      <c r="A628" t="inlineStr">
        <is>
          <t>41524 Palermo</t>
        </is>
      </c>
      <c r="B628" t="inlineStr">
        <is>
          <t>41 HUILA</t>
        </is>
      </c>
    </row>
    <row r="629">
      <c r="A629" t="inlineStr">
        <is>
          <t>41530 Palestina</t>
        </is>
      </c>
      <c r="B629" t="inlineStr">
        <is>
          <t>41 HUILA</t>
        </is>
      </c>
    </row>
    <row r="630">
      <c r="A630" t="inlineStr">
        <is>
          <t>41548 Pital</t>
        </is>
      </c>
      <c r="B630" t="inlineStr">
        <is>
          <t>41 HUILA</t>
        </is>
      </c>
    </row>
    <row r="631">
      <c r="A631" t="inlineStr">
        <is>
          <t>41551 Pitalito</t>
        </is>
      </c>
      <c r="B631" t="inlineStr">
        <is>
          <t>41 HUILA</t>
        </is>
      </c>
    </row>
    <row r="632">
      <c r="A632" t="inlineStr">
        <is>
          <t>41615 Rivera</t>
        </is>
      </c>
      <c r="B632" t="inlineStr">
        <is>
          <t>41 HUILA</t>
        </is>
      </c>
    </row>
    <row r="633">
      <c r="A633" t="inlineStr">
        <is>
          <t>41660 Saladoblanco</t>
        </is>
      </c>
      <c r="B633" t="inlineStr">
        <is>
          <t>41 HUILA</t>
        </is>
      </c>
    </row>
    <row r="634">
      <c r="A634" t="inlineStr">
        <is>
          <t>41668 San Agustin</t>
        </is>
      </c>
      <c r="B634" t="inlineStr">
        <is>
          <t>41 HUILA</t>
        </is>
      </c>
    </row>
    <row r="635">
      <c r="A635" t="inlineStr">
        <is>
          <t>41676 Santa Maria</t>
        </is>
      </c>
      <c r="B635" t="inlineStr">
        <is>
          <t>41 HUILA</t>
        </is>
      </c>
    </row>
    <row r="636">
      <c r="A636" t="inlineStr">
        <is>
          <t>41770 Suaza</t>
        </is>
      </c>
      <c r="B636" t="inlineStr">
        <is>
          <t>41 HUILA</t>
        </is>
      </c>
    </row>
    <row r="637">
      <c r="A637" t="inlineStr">
        <is>
          <t>41791 Tarqui</t>
        </is>
      </c>
      <c r="B637" t="inlineStr">
        <is>
          <t>41 HUILA</t>
        </is>
      </c>
    </row>
    <row r="638">
      <c r="A638" t="inlineStr">
        <is>
          <t>41797 Tesalia</t>
        </is>
      </c>
      <c r="B638" t="inlineStr">
        <is>
          <t>41 HUILA</t>
        </is>
      </c>
    </row>
    <row r="639">
      <c r="A639" t="inlineStr">
        <is>
          <t>41799 Tello</t>
        </is>
      </c>
      <c r="B639" t="inlineStr">
        <is>
          <t>41 HUILA</t>
        </is>
      </c>
    </row>
    <row r="640">
      <c r="A640" t="inlineStr">
        <is>
          <t>41801 Teruel</t>
        </is>
      </c>
      <c r="B640" t="inlineStr">
        <is>
          <t>41 HUILA</t>
        </is>
      </c>
    </row>
    <row r="641">
      <c r="A641" t="inlineStr">
        <is>
          <t>41807 Timana</t>
        </is>
      </c>
      <c r="B641" t="inlineStr">
        <is>
          <t>41 HUILA</t>
        </is>
      </c>
    </row>
    <row r="642">
      <c r="A642" t="inlineStr">
        <is>
          <t>41872 Villavieja</t>
        </is>
      </c>
      <c r="B642" t="inlineStr">
        <is>
          <t>41 HUILA</t>
        </is>
      </c>
    </row>
    <row r="643">
      <c r="A643" t="inlineStr">
        <is>
          <t>41885 Yaguara</t>
        </is>
      </c>
      <c r="B643" t="inlineStr">
        <is>
          <t>41 HUILA</t>
        </is>
      </c>
    </row>
    <row r="644">
      <c r="A644" t="inlineStr">
        <is>
          <t>44001 Riohacha</t>
        </is>
      </c>
      <c r="B644" t="inlineStr">
        <is>
          <t>44 LA_GUAJIRA</t>
        </is>
      </c>
    </row>
    <row r="645">
      <c r="A645" t="inlineStr">
        <is>
          <t>44035 Albania</t>
        </is>
      </c>
      <c r="B645" t="inlineStr">
        <is>
          <t>44 LA_GUAJIRA</t>
        </is>
      </c>
    </row>
    <row r="646">
      <c r="A646" t="inlineStr">
        <is>
          <t>44078 Barrancas</t>
        </is>
      </c>
      <c r="B646" t="inlineStr">
        <is>
          <t>44 LA_GUAJIRA</t>
        </is>
      </c>
    </row>
    <row r="647">
      <c r="A647" t="inlineStr">
        <is>
          <t>44090 Dibulla</t>
        </is>
      </c>
      <c r="B647" t="inlineStr">
        <is>
          <t>44 LA_GUAJIRA</t>
        </is>
      </c>
    </row>
    <row r="648">
      <c r="A648" t="inlineStr">
        <is>
          <t>44098 Distraccion</t>
        </is>
      </c>
      <c r="B648" t="inlineStr">
        <is>
          <t>44 LA_GUAJIRA</t>
        </is>
      </c>
    </row>
    <row r="649">
      <c r="A649" t="inlineStr">
        <is>
          <t>44110 El Molino</t>
        </is>
      </c>
      <c r="B649" t="inlineStr">
        <is>
          <t>44 LA_GUAJIRA</t>
        </is>
      </c>
    </row>
    <row r="650">
      <c r="A650" t="inlineStr">
        <is>
          <t>44279 Fonseca</t>
        </is>
      </c>
      <c r="B650" t="inlineStr">
        <is>
          <t>44 LA_GUAJIRA</t>
        </is>
      </c>
    </row>
    <row r="651">
      <c r="A651" t="inlineStr">
        <is>
          <t>44378 Hatonuevo</t>
        </is>
      </c>
      <c r="B651" t="inlineStr">
        <is>
          <t>44 LA_GUAJIRA</t>
        </is>
      </c>
    </row>
    <row r="652">
      <c r="A652" t="inlineStr">
        <is>
          <t>44420 La Jagua del Pilar</t>
        </is>
      </c>
      <c r="B652" t="inlineStr">
        <is>
          <t>44 LA_GUAJIRA</t>
        </is>
      </c>
    </row>
    <row r="653">
      <c r="A653" t="inlineStr">
        <is>
          <t>44430 Maicao</t>
        </is>
      </c>
      <c r="B653" t="inlineStr">
        <is>
          <t>44 LA_GUAJIRA</t>
        </is>
      </c>
    </row>
    <row r="654">
      <c r="A654" t="inlineStr">
        <is>
          <t>44560 Manaure</t>
        </is>
      </c>
      <c r="B654" t="inlineStr">
        <is>
          <t>44 LA_GUAJIRA</t>
        </is>
      </c>
    </row>
    <row r="655">
      <c r="A655" t="inlineStr">
        <is>
          <t>44650 San Juan del Cesar</t>
        </is>
      </c>
      <c r="B655" t="inlineStr">
        <is>
          <t>44 LA_GUAJIRA</t>
        </is>
      </c>
    </row>
    <row r="656">
      <c r="A656" t="inlineStr">
        <is>
          <t>44847 Uribia</t>
        </is>
      </c>
      <c r="B656" t="inlineStr">
        <is>
          <t>44 LA_GUAJIRA</t>
        </is>
      </c>
    </row>
    <row r="657">
      <c r="A657" t="inlineStr">
        <is>
          <t>44855 Urumita</t>
        </is>
      </c>
      <c r="B657" t="inlineStr">
        <is>
          <t>44 LA_GUAJIRA</t>
        </is>
      </c>
    </row>
    <row r="658">
      <c r="A658" t="inlineStr">
        <is>
          <t>44874 Villanueva</t>
        </is>
      </c>
      <c r="B658" t="inlineStr">
        <is>
          <t>44 LA_GUAJIRA</t>
        </is>
      </c>
    </row>
    <row r="659">
      <c r="A659" t="inlineStr">
        <is>
          <t>47030 Algarrobo</t>
        </is>
      </c>
      <c r="B659" t="inlineStr">
        <is>
          <t>47 MAGDALENA</t>
        </is>
      </c>
    </row>
    <row r="660">
      <c r="A660" t="inlineStr">
        <is>
          <t>47053 Aracataca</t>
        </is>
      </c>
      <c r="B660" t="inlineStr">
        <is>
          <t>47 MAGDALENA</t>
        </is>
      </c>
    </row>
    <row r="661">
      <c r="A661" t="inlineStr">
        <is>
          <t>47058 Ariguani</t>
        </is>
      </c>
      <c r="B661" t="inlineStr">
        <is>
          <t>47 MAGDALENA</t>
        </is>
      </c>
    </row>
    <row r="662">
      <c r="A662" t="inlineStr">
        <is>
          <t>47161 Cerro San Antonio</t>
        </is>
      </c>
      <c r="B662" t="inlineStr">
        <is>
          <t>47 MAGDALENA</t>
        </is>
      </c>
    </row>
    <row r="663">
      <c r="A663" t="inlineStr">
        <is>
          <t>47170 Chivolo</t>
        </is>
      </c>
      <c r="B663" t="inlineStr">
        <is>
          <t>47 MAGDALENA</t>
        </is>
      </c>
    </row>
    <row r="664">
      <c r="A664" t="inlineStr">
        <is>
          <t>47189 Cienaga</t>
        </is>
      </c>
      <c r="B664" t="inlineStr">
        <is>
          <t>47 MAGDALENA</t>
        </is>
      </c>
    </row>
    <row r="665">
      <c r="A665" t="inlineStr">
        <is>
          <t>47205 Concordia</t>
        </is>
      </c>
      <c r="B665" t="inlineStr">
        <is>
          <t>47 MAGDALENA</t>
        </is>
      </c>
    </row>
    <row r="666">
      <c r="A666" t="inlineStr">
        <is>
          <t>47245 El Banco</t>
        </is>
      </c>
      <c r="B666" t="inlineStr">
        <is>
          <t>47 MAGDALENA</t>
        </is>
      </c>
    </row>
    <row r="667">
      <c r="A667" t="inlineStr">
        <is>
          <t>47258 El Piñon</t>
        </is>
      </c>
      <c r="B667" t="inlineStr">
        <is>
          <t>47 MAGDALENA</t>
        </is>
      </c>
    </row>
    <row r="668">
      <c r="A668" t="inlineStr">
        <is>
          <t>47268 El Reten</t>
        </is>
      </c>
      <c r="B668" t="inlineStr">
        <is>
          <t>47 MAGDALENA</t>
        </is>
      </c>
    </row>
    <row r="669">
      <c r="A669" t="inlineStr">
        <is>
          <t>47288 Fundacion</t>
        </is>
      </c>
      <c r="B669" t="inlineStr">
        <is>
          <t>47 MAGDALENA</t>
        </is>
      </c>
    </row>
    <row r="670">
      <c r="A670" t="inlineStr">
        <is>
          <t>47318 Guamal</t>
        </is>
      </c>
      <c r="B670" t="inlineStr">
        <is>
          <t>47 MAGDALENA</t>
        </is>
      </c>
    </row>
    <row r="671">
      <c r="A671" t="inlineStr">
        <is>
          <t>47460 Nueva Granada</t>
        </is>
      </c>
      <c r="B671" t="inlineStr">
        <is>
          <t>47 MAGDALENA</t>
        </is>
      </c>
    </row>
    <row r="672">
      <c r="A672" t="inlineStr">
        <is>
          <t>47541 Pedraza</t>
        </is>
      </c>
      <c r="B672" t="inlineStr">
        <is>
          <t>47 MAGDALENA</t>
        </is>
      </c>
    </row>
    <row r="673">
      <c r="A673" t="inlineStr">
        <is>
          <t>47545 Pijiño del Carmen</t>
        </is>
      </c>
      <c r="B673" t="inlineStr">
        <is>
          <t>47 MAGDALENA</t>
        </is>
      </c>
    </row>
    <row r="674">
      <c r="A674" t="inlineStr">
        <is>
          <t>47551 Pivijay</t>
        </is>
      </c>
      <c r="B674" t="inlineStr">
        <is>
          <t>47 MAGDALENA</t>
        </is>
      </c>
    </row>
    <row r="675">
      <c r="A675" t="inlineStr">
        <is>
          <t>47555 Plato</t>
        </is>
      </c>
      <c r="B675" t="inlineStr">
        <is>
          <t>47 MAGDALENA</t>
        </is>
      </c>
    </row>
    <row r="676">
      <c r="A676" t="inlineStr">
        <is>
          <t>47570 Puebloviejo</t>
        </is>
      </c>
      <c r="B676" t="inlineStr">
        <is>
          <t>47 MAGDALENA</t>
        </is>
      </c>
    </row>
    <row r="677">
      <c r="A677" t="inlineStr">
        <is>
          <t>47605 Remolino</t>
        </is>
      </c>
      <c r="B677" t="inlineStr">
        <is>
          <t>47 MAGDALENA</t>
        </is>
      </c>
    </row>
    <row r="678">
      <c r="A678" t="inlineStr">
        <is>
          <t>47660 Sabanas de San Angel</t>
        </is>
      </c>
      <c r="B678" t="inlineStr">
        <is>
          <t>47 MAGDALENA</t>
        </is>
      </c>
    </row>
    <row r="679">
      <c r="A679" t="inlineStr">
        <is>
          <t>47675 Salamina</t>
        </is>
      </c>
      <c r="B679" t="inlineStr">
        <is>
          <t>47 MAGDALENA</t>
        </is>
      </c>
    </row>
    <row r="680">
      <c r="A680" t="inlineStr">
        <is>
          <t>47692 San Sebastian de Buenavista</t>
        </is>
      </c>
      <c r="B680" t="inlineStr">
        <is>
          <t>47 MAGDALENA</t>
        </is>
      </c>
    </row>
    <row r="681">
      <c r="A681" t="inlineStr">
        <is>
          <t>47703 San Zenon</t>
        </is>
      </c>
      <c r="B681" t="inlineStr">
        <is>
          <t>47 MAGDALENA</t>
        </is>
      </c>
    </row>
    <row r="682">
      <c r="A682" t="inlineStr">
        <is>
          <t>47707 Santa Ana</t>
        </is>
      </c>
      <c r="B682" t="inlineStr">
        <is>
          <t>47 MAGDALENA</t>
        </is>
      </c>
    </row>
    <row r="683">
      <c r="A683" t="inlineStr">
        <is>
          <t>47720 Santa Barbara de Pinto</t>
        </is>
      </c>
      <c r="B683" t="inlineStr">
        <is>
          <t>47 MAGDALENA</t>
        </is>
      </c>
    </row>
    <row r="684">
      <c r="A684" t="inlineStr">
        <is>
          <t>47745 Sitionuevo</t>
        </is>
      </c>
      <c r="B684" t="inlineStr">
        <is>
          <t>47 MAGDALENA</t>
        </is>
      </c>
    </row>
    <row r="685">
      <c r="A685" t="inlineStr">
        <is>
          <t>47798 Tenerife</t>
        </is>
      </c>
      <c r="B685" t="inlineStr">
        <is>
          <t>47 MAGDALENA</t>
        </is>
      </c>
    </row>
    <row r="686">
      <c r="A686" t="inlineStr">
        <is>
          <t>47960 Zapayan</t>
        </is>
      </c>
      <c r="B686" t="inlineStr">
        <is>
          <t>47 MAGDALENA</t>
        </is>
      </c>
    </row>
    <row r="687">
      <c r="A687" t="inlineStr">
        <is>
          <t>47980 Zona Bananera</t>
        </is>
      </c>
      <c r="B687" t="inlineStr">
        <is>
          <t>47 MAGDALENA</t>
        </is>
      </c>
    </row>
    <row r="688">
      <c r="A688" t="inlineStr">
        <is>
          <t>47001 Santa Marta</t>
        </is>
      </c>
      <c r="B688" t="inlineStr">
        <is>
          <t>47 SANTA MARTHA</t>
        </is>
      </c>
    </row>
    <row r="689">
      <c r="A689" t="inlineStr">
        <is>
          <t>50001 Villavicencio</t>
        </is>
      </c>
      <c r="B689" t="inlineStr">
        <is>
          <t>50 META</t>
        </is>
      </c>
    </row>
    <row r="690">
      <c r="A690" t="inlineStr">
        <is>
          <t>50006 Acacias</t>
        </is>
      </c>
      <c r="B690" t="inlineStr">
        <is>
          <t>50 META</t>
        </is>
      </c>
    </row>
    <row r="691">
      <c r="A691" t="inlineStr">
        <is>
          <t>50110 Barranca de Upia</t>
        </is>
      </c>
      <c r="B691" t="inlineStr">
        <is>
          <t>50 META</t>
        </is>
      </c>
    </row>
    <row r="692">
      <c r="A692" t="inlineStr">
        <is>
          <t>50124 Cabuyaro</t>
        </is>
      </c>
      <c r="B692" t="inlineStr">
        <is>
          <t>50 META</t>
        </is>
      </c>
    </row>
    <row r="693">
      <c r="A693" t="inlineStr">
        <is>
          <t>50150 Castilla la Nueva</t>
        </is>
      </c>
      <c r="B693" t="inlineStr">
        <is>
          <t>50 META</t>
        </is>
      </c>
    </row>
    <row r="694">
      <c r="A694" t="inlineStr">
        <is>
          <t>50223 Cubarral</t>
        </is>
      </c>
      <c r="B694" t="inlineStr">
        <is>
          <t>50 META</t>
        </is>
      </c>
    </row>
    <row r="695">
      <c r="A695" t="inlineStr">
        <is>
          <t>50226 Cumaral</t>
        </is>
      </c>
      <c r="B695" t="inlineStr">
        <is>
          <t>50 META</t>
        </is>
      </c>
    </row>
    <row r="696">
      <c r="A696" t="inlineStr">
        <is>
          <t>50245 El Calvario</t>
        </is>
      </c>
      <c r="B696" t="inlineStr">
        <is>
          <t>50 META</t>
        </is>
      </c>
    </row>
    <row r="697">
      <c r="A697" t="inlineStr">
        <is>
          <t>50251 El Castillo</t>
        </is>
      </c>
      <c r="B697" t="inlineStr">
        <is>
          <t>50 META</t>
        </is>
      </c>
    </row>
    <row r="698">
      <c r="A698" t="inlineStr">
        <is>
          <t>50270 El Dorado</t>
        </is>
      </c>
      <c r="B698" t="inlineStr">
        <is>
          <t>50 META</t>
        </is>
      </c>
    </row>
    <row r="699">
      <c r="A699" t="inlineStr">
        <is>
          <t>50287 Fuente de Oro</t>
        </is>
      </c>
      <c r="B699" t="inlineStr">
        <is>
          <t>50 META</t>
        </is>
      </c>
    </row>
    <row r="700">
      <c r="A700" t="inlineStr">
        <is>
          <t>50313 Granada</t>
        </is>
      </c>
      <c r="B700" t="inlineStr">
        <is>
          <t>50 META</t>
        </is>
      </c>
    </row>
    <row r="701">
      <c r="A701" t="inlineStr">
        <is>
          <t>50318 Guamal</t>
        </is>
      </c>
      <c r="B701" t="inlineStr">
        <is>
          <t>50 META</t>
        </is>
      </c>
    </row>
    <row r="702">
      <c r="A702" t="inlineStr">
        <is>
          <t>50325 Mapiripan</t>
        </is>
      </c>
      <c r="B702" t="inlineStr">
        <is>
          <t>50 META</t>
        </is>
      </c>
    </row>
    <row r="703">
      <c r="A703" t="inlineStr">
        <is>
          <t>50330 Mesetas</t>
        </is>
      </c>
      <c r="B703" t="inlineStr">
        <is>
          <t>50 META</t>
        </is>
      </c>
    </row>
    <row r="704">
      <c r="A704" t="inlineStr">
        <is>
          <t>50350 La Macarena</t>
        </is>
      </c>
      <c r="B704" t="inlineStr">
        <is>
          <t>50 META</t>
        </is>
      </c>
    </row>
    <row r="705">
      <c r="A705" t="inlineStr">
        <is>
          <t>50370 Uribe</t>
        </is>
      </c>
      <c r="B705" t="inlineStr">
        <is>
          <t>50 META</t>
        </is>
      </c>
    </row>
    <row r="706">
      <c r="A706" t="inlineStr">
        <is>
          <t>50400 Lejanias</t>
        </is>
      </c>
      <c r="B706" t="inlineStr">
        <is>
          <t>50 META</t>
        </is>
      </c>
    </row>
    <row r="707">
      <c r="A707" t="inlineStr">
        <is>
          <t>50450 Puerto Concordia</t>
        </is>
      </c>
      <c r="B707" t="inlineStr">
        <is>
          <t>50 META</t>
        </is>
      </c>
    </row>
    <row r="708">
      <c r="A708" t="inlineStr">
        <is>
          <t>50568 Puerto Gaitan</t>
        </is>
      </c>
      <c r="B708" t="inlineStr">
        <is>
          <t>50 META</t>
        </is>
      </c>
    </row>
    <row r="709">
      <c r="A709" t="inlineStr">
        <is>
          <t>50573 Puerto Lopez</t>
        </is>
      </c>
      <c r="B709" t="inlineStr">
        <is>
          <t>50 META</t>
        </is>
      </c>
    </row>
    <row r="710">
      <c r="A710" t="inlineStr">
        <is>
          <t>50577 Puerto Lleras</t>
        </is>
      </c>
      <c r="B710" t="inlineStr">
        <is>
          <t>50 META</t>
        </is>
      </c>
    </row>
    <row r="711">
      <c r="A711" t="inlineStr">
        <is>
          <t>50590 Puerto Rico</t>
        </is>
      </c>
      <c r="B711" t="inlineStr">
        <is>
          <t>50 META</t>
        </is>
      </c>
    </row>
    <row r="712">
      <c r="A712" t="inlineStr">
        <is>
          <t>50606 Restrepo</t>
        </is>
      </c>
      <c r="B712" t="inlineStr">
        <is>
          <t>50 META</t>
        </is>
      </c>
    </row>
    <row r="713">
      <c r="A713" t="inlineStr">
        <is>
          <t>50680 San Carlos de Guaroa</t>
        </is>
      </c>
      <c r="B713" t="inlineStr">
        <is>
          <t>50 META</t>
        </is>
      </c>
    </row>
    <row r="714">
      <c r="A714" t="inlineStr">
        <is>
          <t>50683 San Juan de Arama</t>
        </is>
      </c>
      <c r="B714" t="inlineStr">
        <is>
          <t>50 META</t>
        </is>
      </c>
    </row>
    <row r="715">
      <c r="A715" t="inlineStr">
        <is>
          <t>50686 San Juanito</t>
        </is>
      </c>
      <c r="B715" t="inlineStr">
        <is>
          <t>50 META</t>
        </is>
      </c>
    </row>
    <row r="716">
      <c r="A716" t="inlineStr">
        <is>
          <t>50689 San Martin</t>
        </is>
      </c>
      <c r="B716" t="inlineStr">
        <is>
          <t>50 META</t>
        </is>
      </c>
    </row>
    <row r="717">
      <c r="A717" t="inlineStr">
        <is>
          <t>50711 Vistahermosa</t>
        </is>
      </c>
      <c r="B717" t="inlineStr">
        <is>
          <t>50 META</t>
        </is>
      </c>
    </row>
    <row r="718">
      <c r="A718" t="inlineStr">
        <is>
          <t>52001 Pasto</t>
        </is>
      </c>
      <c r="B718" t="inlineStr">
        <is>
          <t>52 NARIÑO</t>
        </is>
      </c>
    </row>
    <row r="719">
      <c r="A719" t="inlineStr">
        <is>
          <t>52019 Alban</t>
        </is>
      </c>
      <c r="B719" t="inlineStr">
        <is>
          <t>52 NARIÑO</t>
        </is>
      </c>
    </row>
    <row r="720">
      <c r="A720" t="inlineStr">
        <is>
          <t>52022 Aldana</t>
        </is>
      </c>
      <c r="B720" t="inlineStr">
        <is>
          <t>52 NARIÑO</t>
        </is>
      </c>
    </row>
    <row r="721">
      <c r="A721" t="inlineStr">
        <is>
          <t>52036 Ancuya</t>
        </is>
      </c>
      <c r="B721" t="inlineStr">
        <is>
          <t>52 NARIÑO</t>
        </is>
      </c>
    </row>
    <row r="722">
      <c r="A722" t="inlineStr">
        <is>
          <t>52051 Arboleda</t>
        </is>
      </c>
      <c r="B722" t="inlineStr">
        <is>
          <t>52 NARIÑO</t>
        </is>
      </c>
    </row>
    <row r="723">
      <c r="A723" t="inlineStr">
        <is>
          <t>52079 Barbacoas</t>
        </is>
      </c>
      <c r="B723" t="inlineStr">
        <is>
          <t>52 NARIÑO</t>
        </is>
      </c>
    </row>
    <row r="724">
      <c r="A724" t="inlineStr">
        <is>
          <t>52083 Belen</t>
        </is>
      </c>
      <c r="B724" t="inlineStr">
        <is>
          <t>52 NARIÑO</t>
        </is>
      </c>
    </row>
    <row r="725">
      <c r="A725" t="inlineStr">
        <is>
          <t>52110 Buesaco</t>
        </is>
      </c>
      <c r="B725" t="inlineStr">
        <is>
          <t>52 NARIÑO</t>
        </is>
      </c>
    </row>
    <row r="726">
      <c r="A726" t="inlineStr">
        <is>
          <t>52203 Colon</t>
        </is>
      </c>
      <c r="B726" t="inlineStr">
        <is>
          <t>52 NARIÑO</t>
        </is>
      </c>
    </row>
    <row r="727">
      <c r="A727" t="inlineStr">
        <is>
          <t>52207 Consaca</t>
        </is>
      </c>
      <c r="B727" t="inlineStr">
        <is>
          <t>52 NARIÑO</t>
        </is>
      </c>
    </row>
    <row r="728">
      <c r="A728" t="inlineStr">
        <is>
          <t>52210 Contadero</t>
        </is>
      </c>
      <c r="B728" t="inlineStr">
        <is>
          <t>52 NARIÑO</t>
        </is>
      </c>
    </row>
    <row r="729">
      <c r="A729" t="inlineStr">
        <is>
          <t>52215 Cordoba</t>
        </is>
      </c>
      <c r="B729" t="inlineStr">
        <is>
          <t>52 NARIÑO</t>
        </is>
      </c>
    </row>
    <row r="730">
      <c r="A730" t="inlineStr">
        <is>
          <t>52224 Cuaspud</t>
        </is>
      </c>
      <c r="B730" t="inlineStr">
        <is>
          <t>52 NARIÑO</t>
        </is>
      </c>
    </row>
    <row r="731">
      <c r="A731" t="inlineStr">
        <is>
          <t>52227 Cumbal</t>
        </is>
      </c>
      <c r="B731" t="inlineStr">
        <is>
          <t>52 NARIÑO</t>
        </is>
      </c>
    </row>
    <row r="732">
      <c r="A732" t="inlineStr">
        <is>
          <t>52233 Cumbitara</t>
        </is>
      </c>
      <c r="B732" t="inlineStr">
        <is>
          <t>52 NARIÑO</t>
        </is>
      </c>
    </row>
    <row r="733">
      <c r="A733" t="inlineStr">
        <is>
          <t>52240 Chachagüi</t>
        </is>
      </c>
      <c r="B733" t="inlineStr">
        <is>
          <t>52 NARIÑO</t>
        </is>
      </c>
    </row>
    <row r="734">
      <c r="A734" t="inlineStr">
        <is>
          <t>52250 El Charco</t>
        </is>
      </c>
      <c r="B734" t="inlineStr">
        <is>
          <t>52 NARIÑO</t>
        </is>
      </c>
    </row>
    <row r="735">
      <c r="A735" t="inlineStr">
        <is>
          <t>52254 El Peñol</t>
        </is>
      </c>
      <c r="B735" t="inlineStr">
        <is>
          <t>52 NARIÑO</t>
        </is>
      </c>
    </row>
    <row r="736">
      <c r="A736" t="inlineStr">
        <is>
          <t>52256 El Rosario</t>
        </is>
      </c>
      <c r="B736" t="inlineStr">
        <is>
          <t>52 NARIÑO</t>
        </is>
      </c>
    </row>
    <row r="737">
      <c r="A737" t="inlineStr">
        <is>
          <t>52258 El Tablon de Gomez</t>
        </is>
      </c>
      <c r="B737" t="inlineStr">
        <is>
          <t>52 NARIÑO</t>
        </is>
      </c>
    </row>
    <row r="738">
      <c r="A738" t="inlineStr">
        <is>
          <t>52260 El Tambo</t>
        </is>
      </c>
      <c r="B738" t="inlineStr">
        <is>
          <t>52 NARIÑO</t>
        </is>
      </c>
    </row>
    <row r="739">
      <c r="A739" t="inlineStr">
        <is>
          <t>52287 Funes</t>
        </is>
      </c>
      <c r="B739" t="inlineStr">
        <is>
          <t>52 NARIÑO</t>
        </is>
      </c>
    </row>
    <row r="740">
      <c r="A740" t="inlineStr">
        <is>
          <t>52317 Guachucal</t>
        </is>
      </c>
      <c r="B740" t="inlineStr">
        <is>
          <t>52 NARIÑO</t>
        </is>
      </c>
    </row>
    <row r="741">
      <c r="A741" t="inlineStr">
        <is>
          <t>52320 Guaitarilla</t>
        </is>
      </c>
      <c r="B741" t="inlineStr">
        <is>
          <t>52 NARIÑO</t>
        </is>
      </c>
    </row>
    <row r="742">
      <c r="A742" t="inlineStr">
        <is>
          <t>52323 Gualmatan</t>
        </is>
      </c>
      <c r="B742" t="inlineStr">
        <is>
          <t>52 NARIÑO</t>
        </is>
      </c>
    </row>
    <row r="743">
      <c r="A743" t="inlineStr">
        <is>
          <t>52352 Iles</t>
        </is>
      </c>
      <c r="B743" t="inlineStr">
        <is>
          <t>52 NARIÑO</t>
        </is>
      </c>
    </row>
    <row r="744">
      <c r="A744" t="inlineStr">
        <is>
          <t>52354 Imues</t>
        </is>
      </c>
      <c r="B744" t="inlineStr">
        <is>
          <t>52 NARIÑO</t>
        </is>
      </c>
    </row>
    <row r="745">
      <c r="A745" t="inlineStr">
        <is>
          <t>52356 Ipiales</t>
        </is>
      </c>
      <c r="B745" t="inlineStr">
        <is>
          <t>52 NARIÑO</t>
        </is>
      </c>
    </row>
    <row r="746">
      <c r="A746" t="inlineStr">
        <is>
          <t>52378 La Cruz</t>
        </is>
      </c>
      <c r="B746" t="inlineStr">
        <is>
          <t>52 NARIÑO</t>
        </is>
      </c>
    </row>
    <row r="747">
      <c r="A747" t="inlineStr">
        <is>
          <t>52381 La Florida</t>
        </is>
      </c>
      <c r="B747" t="inlineStr">
        <is>
          <t>52 NARIÑO</t>
        </is>
      </c>
    </row>
    <row r="748">
      <c r="A748" t="inlineStr">
        <is>
          <t>52385 La Llanada</t>
        </is>
      </c>
      <c r="B748" t="inlineStr">
        <is>
          <t>52 NARIÑO</t>
        </is>
      </c>
    </row>
    <row r="749">
      <c r="A749" t="inlineStr">
        <is>
          <t>52390 La Tola</t>
        </is>
      </c>
      <c r="B749" t="inlineStr">
        <is>
          <t>52 NARIÑO</t>
        </is>
      </c>
    </row>
    <row r="750">
      <c r="A750" t="inlineStr">
        <is>
          <t>52399 La Union</t>
        </is>
      </c>
      <c r="B750" t="inlineStr">
        <is>
          <t>52 NARIÑO</t>
        </is>
      </c>
    </row>
    <row r="751">
      <c r="A751" t="inlineStr">
        <is>
          <t>52405 Leiva</t>
        </is>
      </c>
      <c r="B751" t="inlineStr">
        <is>
          <t>52 NARIÑO</t>
        </is>
      </c>
    </row>
    <row r="752">
      <c r="A752" t="inlineStr">
        <is>
          <t>52411 Linares</t>
        </is>
      </c>
      <c r="B752" t="inlineStr">
        <is>
          <t>52 NARIÑO</t>
        </is>
      </c>
    </row>
    <row r="753">
      <c r="A753" t="inlineStr">
        <is>
          <t>52418 Los Andes</t>
        </is>
      </c>
      <c r="B753" t="inlineStr">
        <is>
          <t>52 NARIÑO</t>
        </is>
      </c>
    </row>
    <row r="754">
      <c r="A754" t="inlineStr">
        <is>
          <t>52427 Magüi</t>
        </is>
      </c>
      <c r="B754" t="inlineStr">
        <is>
          <t>52 NARIÑO</t>
        </is>
      </c>
    </row>
    <row r="755">
      <c r="A755" t="inlineStr">
        <is>
          <t>52435 Mallama</t>
        </is>
      </c>
      <c r="B755" t="inlineStr">
        <is>
          <t>52 NARIÑO</t>
        </is>
      </c>
    </row>
    <row r="756">
      <c r="A756" t="inlineStr">
        <is>
          <t>52473 Mosquera</t>
        </is>
      </c>
      <c r="B756" t="inlineStr">
        <is>
          <t>52 NARIÑO</t>
        </is>
      </c>
    </row>
    <row r="757">
      <c r="A757" t="inlineStr">
        <is>
          <t>52480 Nariño</t>
        </is>
      </c>
      <c r="B757" t="inlineStr">
        <is>
          <t>52 NARIÑO</t>
        </is>
      </c>
    </row>
    <row r="758">
      <c r="A758" t="inlineStr">
        <is>
          <t>52490 Olaya Herrera</t>
        </is>
      </c>
      <c r="B758" t="inlineStr">
        <is>
          <t>52 NARIÑO</t>
        </is>
      </c>
    </row>
    <row r="759">
      <c r="A759" t="inlineStr">
        <is>
          <t>52506 Ospina</t>
        </is>
      </c>
      <c r="B759" t="inlineStr">
        <is>
          <t>52 NARIÑO</t>
        </is>
      </c>
    </row>
    <row r="760">
      <c r="A760" t="inlineStr">
        <is>
          <t>52520 Francisco Pizarro</t>
        </is>
      </c>
      <c r="B760" t="inlineStr">
        <is>
          <t>52 NARIÑO</t>
        </is>
      </c>
    </row>
    <row r="761">
      <c r="A761" t="inlineStr">
        <is>
          <t>52540 Policarpa</t>
        </is>
      </c>
      <c r="B761" t="inlineStr">
        <is>
          <t>52 NARIÑO</t>
        </is>
      </c>
    </row>
    <row r="762">
      <c r="A762" t="inlineStr">
        <is>
          <t>52560 Potosi</t>
        </is>
      </c>
      <c r="B762" t="inlineStr">
        <is>
          <t>52 NARIÑO</t>
        </is>
      </c>
    </row>
    <row r="763">
      <c r="A763" t="inlineStr">
        <is>
          <t>52565 Providencia</t>
        </is>
      </c>
      <c r="B763" t="inlineStr">
        <is>
          <t>52 NARIÑO</t>
        </is>
      </c>
    </row>
    <row r="764">
      <c r="A764" t="inlineStr">
        <is>
          <t>52573 Puerres</t>
        </is>
      </c>
      <c r="B764" t="inlineStr">
        <is>
          <t>52 NARIÑO</t>
        </is>
      </c>
    </row>
    <row r="765">
      <c r="A765" t="inlineStr">
        <is>
          <t>52585 Pupiales</t>
        </is>
      </c>
      <c r="B765" t="inlineStr">
        <is>
          <t>52 NARIÑO</t>
        </is>
      </c>
    </row>
    <row r="766">
      <c r="A766" t="inlineStr">
        <is>
          <t>52612 Ricaurte</t>
        </is>
      </c>
      <c r="B766" t="inlineStr">
        <is>
          <t>52 NARIÑO</t>
        </is>
      </c>
    </row>
    <row r="767">
      <c r="A767" t="inlineStr">
        <is>
          <t>52621 Roberto Payan</t>
        </is>
      </c>
      <c r="B767" t="inlineStr">
        <is>
          <t>52 NARIÑO</t>
        </is>
      </c>
    </row>
    <row r="768">
      <c r="A768" t="inlineStr">
        <is>
          <t>52678 Samaniego</t>
        </is>
      </c>
      <c r="B768" t="inlineStr">
        <is>
          <t>52 NARIÑO</t>
        </is>
      </c>
    </row>
    <row r="769">
      <c r="A769" t="inlineStr">
        <is>
          <t>52683 Sandona</t>
        </is>
      </c>
      <c r="B769" t="inlineStr">
        <is>
          <t>52 NARIÑO</t>
        </is>
      </c>
    </row>
    <row r="770">
      <c r="A770" t="inlineStr">
        <is>
          <t>52685 San Bernardo</t>
        </is>
      </c>
      <c r="B770" t="inlineStr">
        <is>
          <t>52 NARIÑO</t>
        </is>
      </c>
    </row>
    <row r="771">
      <c r="A771" t="inlineStr">
        <is>
          <t>52687 San Lorenzo</t>
        </is>
      </c>
      <c r="B771" t="inlineStr">
        <is>
          <t>52 NARIÑO</t>
        </is>
      </c>
    </row>
    <row r="772">
      <c r="A772" t="inlineStr">
        <is>
          <t>52693 San Pablo</t>
        </is>
      </c>
      <c r="B772" t="inlineStr">
        <is>
          <t>52 NARIÑO</t>
        </is>
      </c>
    </row>
    <row r="773">
      <c r="A773" t="inlineStr">
        <is>
          <t>52694 San Pedro de Cartago</t>
        </is>
      </c>
      <c r="B773" t="inlineStr">
        <is>
          <t>52 NARIÑO</t>
        </is>
      </c>
    </row>
    <row r="774">
      <c r="A774" t="inlineStr">
        <is>
          <t>52696 Santa Barbara</t>
        </is>
      </c>
      <c r="B774" t="inlineStr">
        <is>
          <t>52 NARIÑO</t>
        </is>
      </c>
    </row>
    <row r="775">
      <c r="A775" t="inlineStr">
        <is>
          <t>52699 Santacruz</t>
        </is>
      </c>
      <c r="B775" t="inlineStr">
        <is>
          <t>52 NARIÑO</t>
        </is>
      </c>
    </row>
    <row r="776">
      <c r="A776" t="inlineStr">
        <is>
          <t>52720 Sapuyes</t>
        </is>
      </c>
      <c r="B776" t="inlineStr">
        <is>
          <t>52 NARIÑO</t>
        </is>
      </c>
    </row>
    <row r="777">
      <c r="A777" t="inlineStr">
        <is>
          <t>52786 Taminango</t>
        </is>
      </c>
      <c r="B777" t="inlineStr">
        <is>
          <t>52 NARIÑO</t>
        </is>
      </c>
    </row>
    <row r="778">
      <c r="A778" t="inlineStr">
        <is>
          <t>52788 Tangua</t>
        </is>
      </c>
      <c r="B778" t="inlineStr">
        <is>
          <t>52 NARIÑO</t>
        </is>
      </c>
    </row>
    <row r="779">
      <c r="A779" t="inlineStr">
        <is>
          <t>52835 San Andres de Tumaco</t>
        </is>
      </c>
      <c r="B779" t="inlineStr">
        <is>
          <t>52 NARIÑO</t>
        </is>
      </c>
    </row>
    <row r="780">
      <c r="A780" t="inlineStr">
        <is>
          <t>52838 Tuquerres</t>
        </is>
      </c>
      <c r="B780" t="inlineStr">
        <is>
          <t>52 NARIÑO</t>
        </is>
      </c>
    </row>
    <row r="781">
      <c r="A781" t="inlineStr">
        <is>
          <t>52885 Yacuanquer</t>
        </is>
      </c>
      <c r="B781" t="inlineStr">
        <is>
          <t>52 NARIÑO</t>
        </is>
      </c>
    </row>
    <row r="782">
      <c r="A782" t="inlineStr">
        <is>
          <t>54001 Cucuta</t>
        </is>
      </c>
      <c r="B782" t="inlineStr">
        <is>
          <t>54 NORTE DE SANTANDER</t>
        </is>
      </c>
    </row>
    <row r="783">
      <c r="A783" t="inlineStr">
        <is>
          <t>54003 Abrego</t>
        </is>
      </c>
      <c r="B783" t="inlineStr">
        <is>
          <t>54 NORTE DE SANTANDER</t>
        </is>
      </c>
    </row>
    <row r="784">
      <c r="A784" t="inlineStr">
        <is>
          <t>54051 Arboledas</t>
        </is>
      </c>
      <c r="B784" t="inlineStr">
        <is>
          <t>54 NORTE DE SANTANDER</t>
        </is>
      </c>
    </row>
    <row r="785">
      <c r="A785" t="inlineStr">
        <is>
          <t>54099 Bochalema</t>
        </is>
      </c>
      <c r="B785" t="inlineStr">
        <is>
          <t>54 NORTE DE SANTANDER</t>
        </is>
      </c>
    </row>
    <row r="786">
      <c r="A786" t="inlineStr">
        <is>
          <t>54109 Bucarasica</t>
        </is>
      </c>
      <c r="B786" t="inlineStr">
        <is>
          <t>54 NORTE DE SANTANDER</t>
        </is>
      </c>
    </row>
    <row r="787">
      <c r="A787" t="inlineStr">
        <is>
          <t>54125 Cacota</t>
        </is>
      </c>
      <c r="B787" t="inlineStr">
        <is>
          <t>54 NORTE DE SANTANDER</t>
        </is>
      </c>
    </row>
    <row r="788">
      <c r="A788" t="inlineStr">
        <is>
          <t>54128 Cachira</t>
        </is>
      </c>
      <c r="B788" t="inlineStr">
        <is>
          <t>54 NORTE DE SANTANDER</t>
        </is>
      </c>
    </row>
    <row r="789">
      <c r="A789" t="inlineStr">
        <is>
          <t>54172 Chinacota</t>
        </is>
      </c>
      <c r="B789" t="inlineStr">
        <is>
          <t>54 NORTE DE SANTANDER</t>
        </is>
      </c>
    </row>
    <row r="790">
      <c r="A790" t="inlineStr">
        <is>
          <t>54174 Chitaga</t>
        </is>
      </c>
      <c r="B790" t="inlineStr">
        <is>
          <t>54 NORTE DE SANTANDER</t>
        </is>
      </c>
    </row>
    <row r="791">
      <c r="A791" t="inlineStr">
        <is>
          <t>54206 Convencion</t>
        </is>
      </c>
      <c r="B791" t="inlineStr">
        <is>
          <t>54 NORTE DE SANTANDER</t>
        </is>
      </c>
    </row>
    <row r="792">
      <c r="A792" t="inlineStr">
        <is>
          <t>54223 Cucutilla</t>
        </is>
      </c>
      <c r="B792" t="inlineStr">
        <is>
          <t>54 NORTE DE SANTANDER</t>
        </is>
      </c>
    </row>
    <row r="793">
      <c r="A793" t="inlineStr">
        <is>
          <t>54239 Durania</t>
        </is>
      </c>
      <c r="B793" t="inlineStr">
        <is>
          <t>54 NORTE DE SANTANDER</t>
        </is>
      </c>
    </row>
    <row r="794">
      <c r="A794" t="inlineStr">
        <is>
          <t>54245 El Carmen</t>
        </is>
      </c>
      <c r="B794" t="inlineStr">
        <is>
          <t>54 NORTE DE SANTANDER</t>
        </is>
      </c>
    </row>
    <row r="795">
      <c r="A795" t="inlineStr">
        <is>
          <t>54250 El Tarra</t>
        </is>
      </c>
      <c r="B795" t="inlineStr">
        <is>
          <t>54 NORTE DE SANTANDER</t>
        </is>
      </c>
    </row>
    <row r="796">
      <c r="A796" t="inlineStr">
        <is>
          <t>54261 El Zulia</t>
        </is>
      </c>
      <c r="B796" t="inlineStr">
        <is>
          <t>54 NORTE DE SANTANDER</t>
        </is>
      </c>
    </row>
    <row r="797">
      <c r="A797" t="inlineStr">
        <is>
          <t>54313 Gramalote</t>
        </is>
      </c>
      <c r="B797" t="inlineStr">
        <is>
          <t>54 NORTE DE SANTANDER</t>
        </is>
      </c>
    </row>
    <row r="798">
      <c r="A798" t="inlineStr">
        <is>
          <t>54344 Hacari</t>
        </is>
      </c>
      <c r="B798" t="inlineStr">
        <is>
          <t>54 NORTE DE SANTANDER</t>
        </is>
      </c>
    </row>
    <row r="799">
      <c r="A799" t="inlineStr">
        <is>
          <t>54347 Herran</t>
        </is>
      </c>
      <c r="B799" t="inlineStr">
        <is>
          <t>54 NORTE DE SANTANDER</t>
        </is>
      </c>
    </row>
    <row r="800">
      <c r="A800" t="inlineStr">
        <is>
          <t>54377 Labateca</t>
        </is>
      </c>
      <c r="B800" t="inlineStr">
        <is>
          <t>54 NORTE DE SANTANDER</t>
        </is>
      </c>
    </row>
    <row r="801">
      <c r="A801" t="inlineStr">
        <is>
          <t>54385 La Esperanza</t>
        </is>
      </c>
      <c r="B801" t="inlineStr">
        <is>
          <t>54 NORTE DE SANTANDER</t>
        </is>
      </c>
    </row>
    <row r="802">
      <c r="A802" t="inlineStr">
        <is>
          <t>54398 La Playa</t>
        </is>
      </c>
      <c r="B802" t="inlineStr">
        <is>
          <t>54 NORTE DE SANTANDER</t>
        </is>
      </c>
    </row>
    <row r="803">
      <c r="A803" t="inlineStr">
        <is>
          <t>54405 Los Patios</t>
        </is>
      </c>
      <c r="B803" t="inlineStr">
        <is>
          <t>54 NORTE DE SANTANDER</t>
        </is>
      </c>
    </row>
    <row r="804">
      <c r="A804" t="inlineStr">
        <is>
          <t>54418 Lourdes</t>
        </is>
      </c>
      <c r="B804" t="inlineStr">
        <is>
          <t>54 NORTE DE SANTANDER</t>
        </is>
      </c>
    </row>
    <row r="805">
      <c r="A805" t="inlineStr">
        <is>
          <t>54480 Mutiscua</t>
        </is>
      </c>
      <c r="B805" t="inlineStr">
        <is>
          <t>54 NORTE DE SANTANDER</t>
        </is>
      </c>
    </row>
    <row r="806">
      <c r="A806" t="inlineStr">
        <is>
          <t>54498 Ocaña</t>
        </is>
      </c>
      <c r="B806" t="inlineStr">
        <is>
          <t>54 NORTE DE SANTANDER</t>
        </is>
      </c>
    </row>
    <row r="807">
      <c r="A807" t="inlineStr">
        <is>
          <t>54518 Pamplona</t>
        </is>
      </c>
      <c r="B807" t="inlineStr">
        <is>
          <t>54 NORTE DE SANTANDER</t>
        </is>
      </c>
    </row>
    <row r="808">
      <c r="A808" t="inlineStr">
        <is>
          <t>54520 Pamplonita</t>
        </is>
      </c>
      <c r="B808" t="inlineStr">
        <is>
          <t>54 NORTE DE SANTANDER</t>
        </is>
      </c>
    </row>
    <row r="809">
      <c r="A809" t="inlineStr">
        <is>
          <t>54553 Puerto Santander</t>
        </is>
      </c>
      <c r="B809" t="inlineStr">
        <is>
          <t>54 NORTE DE SANTANDER</t>
        </is>
      </c>
    </row>
    <row r="810">
      <c r="A810" t="inlineStr">
        <is>
          <t>54599 Ragonvalia</t>
        </is>
      </c>
      <c r="B810" t="inlineStr">
        <is>
          <t>54 NORTE DE SANTANDER</t>
        </is>
      </c>
    </row>
    <row r="811">
      <c r="A811" t="inlineStr">
        <is>
          <t>54660 Salazar</t>
        </is>
      </c>
      <c r="B811" t="inlineStr">
        <is>
          <t>54 NORTE DE SANTANDER</t>
        </is>
      </c>
    </row>
    <row r="812">
      <c r="A812" t="inlineStr">
        <is>
          <t>54670 San Calixto</t>
        </is>
      </c>
      <c r="B812" t="inlineStr">
        <is>
          <t>54 NORTE DE SANTANDER</t>
        </is>
      </c>
    </row>
    <row r="813">
      <c r="A813" t="inlineStr">
        <is>
          <t>54673 San Cayetano</t>
        </is>
      </c>
      <c r="B813" t="inlineStr">
        <is>
          <t>54 NORTE DE SANTANDER</t>
        </is>
      </c>
    </row>
    <row r="814">
      <c r="A814" t="inlineStr">
        <is>
          <t>54680 Santiago</t>
        </is>
      </c>
      <c r="B814" t="inlineStr">
        <is>
          <t>54 NORTE DE SANTANDER</t>
        </is>
      </c>
    </row>
    <row r="815">
      <c r="A815" t="inlineStr">
        <is>
          <t>54720 Sardinata</t>
        </is>
      </c>
      <c r="B815" t="inlineStr">
        <is>
          <t>54 NORTE DE SANTANDER</t>
        </is>
      </c>
    </row>
    <row r="816">
      <c r="A816" t="inlineStr">
        <is>
          <t>54743 Silos</t>
        </is>
      </c>
      <c r="B816" t="inlineStr">
        <is>
          <t>54 NORTE DE SANTANDER</t>
        </is>
      </c>
    </row>
    <row r="817">
      <c r="A817" t="inlineStr">
        <is>
          <t>54800 Teorama</t>
        </is>
      </c>
      <c r="B817" t="inlineStr">
        <is>
          <t>54 NORTE DE SANTANDER</t>
        </is>
      </c>
    </row>
    <row r="818">
      <c r="A818" t="inlineStr">
        <is>
          <t>54810 Tibu</t>
        </is>
      </c>
      <c r="B818" t="inlineStr">
        <is>
          <t>54 NORTE DE SANTANDER</t>
        </is>
      </c>
    </row>
    <row r="819">
      <c r="A819" t="inlineStr">
        <is>
          <t>54820 Toledo</t>
        </is>
      </c>
      <c r="B819" t="inlineStr">
        <is>
          <t>54 NORTE DE SANTANDER</t>
        </is>
      </c>
    </row>
    <row r="820">
      <c r="A820" t="inlineStr">
        <is>
          <t>54871 Villa Caro</t>
        </is>
      </c>
      <c r="B820" t="inlineStr">
        <is>
          <t>54 NORTE DE SANTANDER</t>
        </is>
      </c>
    </row>
    <row r="821">
      <c r="A821" t="inlineStr">
        <is>
          <t>54874 Villa del Rosario</t>
        </is>
      </c>
      <c r="B821" t="inlineStr">
        <is>
          <t>54 NORTE DE SANTANDER</t>
        </is>
      </c>
    </row>
    <row r="822">
      <c r="A822" t="inlineStr">
        <is>
          <t>63001 Armenia</t>
        </is>
      </c>
      <c r="B822" t="inlineStr">
        <is>
          <t>63 QUINDIO</t>
        </is>
      </c>
    </row>
    <row r="823">
      <c r="A823" t="inlineStr">
        <is>
          <t>63111 Buenavista</t>
        </is>
      </c>
      <c r="B823" t="inlineStr">
        <is>
          <t>63 QUINDIO</t>
        </is>
      </c>
    </row>
    <row r="824">
      <c r="A824" t="inlineStr">
        <is>
          <t>63130 Calarca</t>
        </is>
      </c>
      <c r="B824" t="inlineStr">
        <is>
          <t>63 QUINDIO</t>
        </is>
      </c>
    </row>
    <row r="825">
      <c r="A825" t="inlineStr">
        <is>
          <t>63190 Circasia</t>
        </is>
      </c>
      <c r="B825" t="inlineStr">
        <is>
          <t>63 QUINDIO</t>
        </is>
      </c>
    </row>
    <row r="826">
      <c r="A826" t="inlineStr">
        <is>
          <t>63212 Cordoba</t>
        </is>
      </c>
      <c r="B826" t="inlineStr">
        <is>
          <t>63 QUINDIO</t>
        </is>
      </c>
    </row>
    <row r="827">
      <c r="A827" t="inlineStr">
        <is>
          <t>63272 Filandia</t>
        </is>
      </c>
      <c r="B827" t="inlineStr">
        <is>
          <t>63 QUINDIO</t>
        </is>
      </c>
    </row>
    <row r="828">
      <c r="A828" t="inlineStr">
        <is>
          <t>63302 Genova</t>
        </is>
      </c>
      <c r="B828" t="inlineStr">
        <is>
          <t>63 QUINDIO</t>
        </is>
      </c>
    </row>
    <row r="829">
      <c r="A829" t="inlineStr">
        <is>
          <t>63401 La Tebaida</t>
        </is>
      </c>
      <c r="B829" t="inlineStr">
        <is>
          <t>63 QUINDIO</t>
        </is>
      </c>
    </row>
    <row r="830">
      <c r="A830" t="inlineStr">
        <is>
          <t>63470 Montenegro</t>
        </is>
      </c>
      <c r="B830" t="inlineStr">
        <is>
          <t>63 QUINDIO</t>
        </is>
      </c>
    </row>
    <row r="831">
      <c r="A831" t="inlineStr">
        <is>
          <t>63548 Pijao</t>
        </is>
      </c>
      <c r="B831" t="inlineStr">
        <is>
          <t>63 QUINDIO</t>
        </is>
      </c>
    </row>
    <row r="832">
      <c r="A832" t="inlineStr">
        <is>
          <t>63594 Quimbaya</t>
        </is>
      </c>
      <c r="B832" t="inlineStr">
        <is>
          <t>63 QUINDIO</t>
        </is>
      </c>
    </row>
    <row r="833">
      <c r="A833" t="inlineStr">
        <is>
          <t>63690 Salento</t>
        </is>
      </c>
      <c r="B833" t="inlineStr">
        <is>
          <t>63 QUINDIO</t>
        </is>
      </c>
    </row>
    <row r="834">
      <c r="A834" t="inlineStr">
        <is>
          <t>66001 Pereira</t>
        </is>
      </c>
      <c r="B834" t="inlineStr">
        <is>
          <t>66 RISARALDA</t>
        </is>
      </c>
    </row>
    <row r="835">
      <c r="A835" t="inlineStr">
        <is>
          <t>66045 Apia</t>
        </is>
      </c>
      <c r="B835" t="inlineStr">
        <is>
          <t>66 RISARALDA</t>
        </is>
      </c>
    </row>
    <row r="836">
      <c r="A836" t="inlineStr">
        <is>
          <t>66075 Balboa</t>
        </is>
      </c>
      <c r="B836" t="inlineStr">
        <is>
          <t>66 RISARALDA</t>
        </is>
      </c>
    </row>
    <row r="837">
      <c r="A837" t="inlineStr">
        <is>
          <t>66088 Belen de Umbria</t>
        </is>
      </c>
      <c r="B837" t="inlineStr">
        <is>
          <t>66 RISARALDA</t>
        </is>
      </c>
    </row>
    <row r="838">
      <c r="A838" t="inlineStr">
        <is>
          <t>66170 Dosquebradas</t>
        </is>
      </c>
      <c r="B838" t="inlineStr">
        <is>
          <t>66 RISARALDA</t>
        </is>
      </c>
    </row>
    <row r="839">
      <c r="A839" t="inlineStr">
        <is>
          <t>66318 Guatica</t>
        </is>
      </c>
      <c r="B839" t="inlineStr">
        <is>
          <t>66 RISARALDA</t>
        </is>
      </c>
    </row>
    <row r="840">
      <c r="A840" t="inlineStr">
        <is>
          <t>66383 La Celia</t>
        </is>
      </c>
      <c r="B840" t="inlineStr">
        <is>
          <t>66 RISARALDA</t>
        </is>
      </c>
    </row>
    <row r="841">
      <c r="A841" t="inlineStr">
        <is>
          <t>66400 La Virginia</t>
        </is>
      </c>
      <c r="B841" t="inlineStr">
        <is>
          <t>66 RISARALDA</t>
        </is>
      </c>
    </row>
    <row r="842">
      <c r="A842" t="inlineStr">
        <is>
          <t>66440 Marsella</t>
        </is>
      </c>
      <c r="B842" t="inlineStr">
        <is>
          <t>66 RISARALDA</t>
        </is>
      </c>
    </row>
    <row r="843">
      <c r="A843" t="inlineStr">
        <is>
          <t>66456 Mistrato</t>
        </is>
      </c>
      <c r="B843" t="inlineStr">
        <is>
          <t>66 RISARALDA</t>
        </is>
      </c>
    </row>
    <row r="844">
      <c r="A844" t="inlineStr">
        <is>
          <t>66572 Pueblo Rico</t>
        </is>
      </c>
      <c r="B844" t="inlineStr">
        <is>
          <t>66 RISARALDA</t>
        </is>
      </c>
    </row>
    <row r="845">
      <c r="A845" t="inlineStr">
        <is>
          <t>66594 Quinchia</t>
        </is>
      </c>
      <c r="B845" t="inlineStr">
        <is>
          <t>66 RISARALDA</t>
        </is>
      </c>
    </row>
    <row r="846">
      <c r="A846" t="inlineStr">
        <is>
          <t>66682 Santa Rosa de Cabal</t>
        </is>
      </c>
      <c r="B846" t="inlineStr">
        <is>
          <t>66 RISARALDA</t>
        </is>
      </c>
    </row>
    <row r="847">
      <c r="A847" t="inlineStr">
        <is>
          <t>66687 Santuario</t>
        </is>
      </c>
      <c r="B847" t="inlineStr">
        <is>
          <t>66 RISARALDA</t>
        </is>
      </c>
    </row>
    <row r="848">
      <c r="A848" t="inlineStr">
        <is>
          <t>68001 Bucaramanga</t>
        </is>
      </c>
      <c r="B848" t="inlineStr">
        <is>
          <t>68 SANTANDER</t>
        </is>
      </c>
    </row>
    <row r="849">
      <c r="A849" t="inlineStr">
        <is>
          <t>68013 Aguada</t>
        </is>
      </c>
      <c r="B849" t="inlineStr">
        <is>
          <t>68 SANTANDER</t>
        </is>
      </c>
    </row>
    <row r="850">
      <c r="A850" t="inlineStr">
        <is>
          <t>68020 Albania</t>
        </is>
      </c>
      <c r="B850" t="inlineStr">
        <is>
          <t>68 SANTANDER</t>
        </is>
      </c>
    </row>
    <row r="851">
      <c r="A851" t="inlineStr">
        <is>
          <t>68051 Aratoca</t>
        </is>
      </c>
      <c r="B851" t="inlineStr">
        <is>
          <t>68 SANTANDER</t>
        </is>
      </c>
    </row>
    <row r="852">
      <c r="A852" t="inlineStr">
        <is>
          <t>68077 Barbosa</t>
        </is>
      </c>
      <c r="B852" t="inlineStr">
        <is>
          <t>68 SANTANDER</t>
        </is>
      </c>
    </row>
    <row r="853">
      <c r="A853" t="inlineStr">
        <is>
          <t>68079 Barichara</t>
        </is>
      </c>
      <c r="B853" t="inlineStr">
        <is>
          <t>68 SANTANDER</t>
        </is>
      </c>
    </row>
    <row r="854">
      <c r="A854" t="inlineStr">
        <is>
          <t>68081 Barrancabermeja</t>
        </is>
      </c>
      <c r="B854" t="inlineStr">
        <is>
          <t>68 SANTANDER</t>
        </is>
      </c>
    </row>
    <row r="855">
      <c r="A855" t="inlineStr">
        <is>
          <t>68092 Betulia</t>
        </is>
      </c>
      <c r="B855" t="inlineStr">
        <is>
          <t>68 SANTANDER</t>
        </is>
      </c>
    </row>
    <row r="856">
      <c r="A856" t="inlineStr">
        <is>
          <t>68101 Bolivar</t>
        </is>
      </c>
      <c r="B856" t="inlineStr">
        <is>
          <t>68 SANTANDER</t>
        </is>
      </c>
    </row>
    <row r="857">
      <c r="A857" t="inlineStr">
        <is>
          <t>68121 Cabrera</t>
        </is>
      </c>
      <c r="B857" t="inlineStr">
        <is>
          <t>68 SANTANDER</t>
        </is>
      </c>
    </row>
    <row r="858">
      <c r="A858" t="inlineStr">
        <is>
          <t>68132 California</t>
        </is>
      </c>
      <c r="B858" t="inlineStr">
        <is>
          <t>68 SANTANDER</t>
        </is>
      </c>
    </row>
    <row r="859">
      <c r="A859" t="inlineStr">
        <is>
          <t>68147 Capitanejo</t>
        </is>
      </c>
      <c r="B859" t="inlineStr">
        <is>
          <t>68 SANTANDER</t>
        </is>
      </c>
    </row>
    <row r="860">
      <c r="A860" t="inlineStr">
        <is>
          <t>68152 Carcasi</t>
        </is>
      </c>
      <c r="B860" t="inlineStr">
        <is>
          <t>68 SANTANDER</t>
        </is>
      </c>
    </row>
    <row r="861">
      <c r="A861" t="inlineStr">
        <is>
          <t>68160 Cepita</t>
        </is>
      </c>
      <c r="B861" t="inlineStr">
        <is>
          <t>68 SANTANDER</t>
        </is>
      </c>
    </row>
    <row r="862">
      <c r="A862" t="inlineStr">
        <is>
          <t>68162 Cerrito</t>
        </is>
      </c>
      <c r="B862" t="inlineStr">
        <is>
          <t>68 SANTANDER</t>
        </is>
      </c>
    </row>
    <row r="863">
      <c r="A863" t="inlineStr">
        <is>
          <t>68167 Charala</t>
        </is>
      </c>
      <c r="B863" t="inlineStr">
        <is>
          <t>68 SANTANDER</t>
        </is>
      </c>
    </row>
    <row r="864">
      <c r="A864" t="inlineStr">
        <is>
          <t>68169 Charta</t>
        </is>
      </c>
      <c r="B864" t="inlineStr">
        <is>
          <t>68 SANTANDER</t>
        </is>
      </c>
    </row>
    <row r="865">
      <c r="A865" t="inlineStr">
        <is>
          <t>68176 Chima</t>
        </is>
      </c>
      <c r="B865" t="inlineStr">
        <is>
          <t>68 SANTANDER</t>
        </is>
      </c>
    </row>
    <row r="866">
      <c r="A866" t="inlineStr">
        <is>
          <t>68179 Chipata</t>
        </is>
      </c>
      <c r="B866" t="inlineStr">
        <is>
          <t>68 SANTANDER</t>
        </is>
      </c>
    </row>
    <row r="867">
      <c r="A867" t="inlineStr">
        <is>
          <t>68190 Cimitarra</t>
        </is>
      </c>
      <c r="B867" t="inlineStr">
        <is>
          <t>68 SANTANDER</t>
        </is>
      </c>
    </row>
    <row r="868">
      <c r="A868" t="inlineStr">
        <is>
          <t>68207 Concepcion</t>
        </is>
      </c>
      <c r="B868" t="inlineStr">
        <is>
          <t>68 SANTANDER</t>
        </is>
      </c>
    </row>
    <row r="869">
      <c r="A869" t="inlineStr">
        <is>
          <t>68209 Confines</t>
        </is>
      </c>
      <c r="B869" t="inlineStr">
        <is>
          <t>68 SANTANDER</t>
        </is>
      </c>
    </row>
    <row r="870">
      <c r="A870" t="inlineStr">
        <is>
          <t>68211 Contratacion</t>
        </is>
      </c>
      <c r="B870" t="inlineStr">
        <is>
          <t>68 SANTANDER</t>
        </is>
      </c>
    </row>
    <row r="871">
      <c r="A871" t="inlineStr">
        <is>
          <t>68217 Coromoro</t>
        </is>
      </c>
      <c r="B871" t="inlineStr">
        <is>
          <t>68 SANTANDER</t>
        </is>
      </c>
    </row>
    <row r="872">
      <c r="A872" t="inlineStr">
        <is>
          <t>68229 Curiti</t>
        </is>
      </c>
      <c r="B872" t="inlineStr">
        <is>
          <t>68 SANTANDER</t>
        </is>
      </c>
    </row>
    <row r="873">
      <c r="A873" t="inlineStr">
        <is>
          <t>68235 El Carmen de Chucuri</t>
        </is>
      </c>
      <c r="B873" t="inlineStr">
        <is>
          <t>68 SANTANDER</t>
        </is>
      </c>
    </row>
    <row r="874">
      <c r="A874" t="inlineStr">
        <is>
          <t>68245 El Guacamayo</t>
        </is>
      </c>
      <c r="B874" t="inlineStr">
        <is>
          <t>68 SANTANDER</t>
        </is>
      </c>
    </row>
    <row r="875">
      <c r="A875" t="inlineStr">
        <is>
          <t>68250 El Peñon</t>
        </is>
      </c>
      <c r="B875" t="inlineStr">
        <is>
          <t>68 SANTANDER</t>
        </is>
      </c>
    </row>
    <row r="876">
      <c r="A876" t="inlineStr">
        <is>
          <t>68255 El Playon</t>
        </is>
      </c>
      <c r="B876" t="inlineStr">
        <is>
          <t>68 SANTANDER</t>
        </is>
      </c>
    </row>
    <row r="877">
      <c r="A877" t="inlineStr">
        <is>
          <t>68264 Encino</t>
        </is>
      </c>
      <c r="B877" t="inlineStr">
        <is>
          <t>68 SANTANDER</t>
        </is>
      </c>
    </row>
    <row r="878">
      <c r="A878" t="inlineStr">
        <is>
          <t>68266 Enciso</t>
        </is>
      </c>
      <c r="B878" t="inlineStr">
        <is>
          <t>68 SANTANDER</t>
        </is>
      </c>
    </row>
    <row r="879">
      <c r="A879" t="inlineStr">
        <is>
          <t>68271 Florian</t>
        </is>
      </c>
      <c r="B879" t="inlineStr">
        <is>
          <t>68 SANTANDER</t>
        </is>
      </c>
    </row>
    <row r="880">
      <c r="A880" t="inlineStr">
        <is>
          <t>68276 Floridablanca</t>
        </is>
      </c>
      <c r="B880" t="inlineStr">
        <is>
          <t>68 SANTANDER</t>
        </is>
      </c>
    </row>
    <row r="881">
      <c r="A881" t="inlineStr">
        <is>
          <t>68296 Galan</t>
        </is>
      </c>
      <c r="B881" t="inlineStr">
        <is>
          <t>68 SANTANDER</t>
        </is>
      </c>
    </row>
    <row r="882">
      <c r="A882" t="inlineStr">
        <is>
          <t>68298 Gambita</t>
        </is>
      </c>
      <c r="B882" t="inlineStr">
        <is>
          <t>68 SANTANDER</t>
        </is>
      </c>
    </row>
    <row r="883">
      <c r="A883" t="inlineStr">
        <is>
          <t>68307 Giron</t>
        </is>
      </c>
      <c r="B883" t="inlineStr">
        <is>
          <t>68 SANTANDER</t>
        </is>
      </c>
    </row>
    <row r="884">
      <c r="A884" t="inlineStr">
        <is>
          <t>68318 Guaca</t>
        </is>
      </c>
      <c r="B884" t="inlineStr">
        <is>
          <t>68 SANTANDER</t>
        </is>
      </c>
    </row>
    <row r="885">
      <c r="A885" t="inlineStr">
        <is>
          <t>68320 Guadalupe</t>
        </is>
      </c>
      <c r="B885" t="inlineStr">
        <is>
          <t>68 SANTANDER</t>
        </is>
      </c>
    </row>
    <row r="886">
      <c r="A886" t="inlineStr">
        <is>
          <t>68322 Guapota</t>
        </is>
      </c>
      <c r="B886" t="inlineStr">
        <is>
          <t>68 SANTANDER</t>
        </is>
      </c>
    </row>
    <row r="887">
      <c r="A887" t="inlineStr">
        <is>
          <t>68324 Guavata</t>
        </is>
      </c>
      <c r="B887" t="inlineStr">
        <is>
          <t>68 SANTANDER</t>
        </is>
      </c>
    </row>
    <row r="888">
      <c r="A888" t="inlineStr">
        <is>
          <t>68327 Güepsa</t>
        </is>
      </c>
      <c r="B888" t="inlineStr">
        <is>
          <t>68 SANTANDER</t>
        </is>
      </c>
    </row>
    <row r="889">
      <c r="A889" t="inlineStr">
        <is>
          <t>68344 Hato</t>
        </is>
      </c>
      <c r="B889" t="inlineStr">
        <is>
          <t>68 SANTANDER</t>
        </is>
      </c>
    </row>
    <row r="890">
      <c r="A890" t="inlineStr">
        <is>
          <t>68368 Jesus Maria</t>
        </is>
      </c>
      <c r="B890" t="inlineStr">
        <is>
          <t>68 SANTANDER</t>
        </is>
      </c>
    </row>
    <row r="891">
      <c r="A891" t="inlineStr">
        <is>
          <t>68370 Jordan</t>
        </is>
      </c>
      <c r="B891" t="inlineStr">
        <is>
          <t>68 SANTANDER</t>
        </is>
      </c>
    </row>
    <row r="892">
      <c r="A892" t="inlineStr">
        <is>
          <t>68377 La Belleza</t>
        </is>
      </c>
      <c r="B892" t="inlineStr">
        <is>
          <t>68 SANTANDER</t>
        </is>
      </c>
    </row>
    <row r="893">
      <c r="A893" t="inlineStr">
        <is>
          <t>68385 Landazuri</t>
        </is>
      </c>
      <c r="B893" t="inlineStr">
        <is>
          <t>68 SANTANDER</t>
        </is>
      </c>
    </row>
    <row r="894">
      <c r="A894" t="inlineStr">
        <is>
          <t>68397 La Paz</t>
        </is>
      </c>
      <c r="B894" t="inlineStr">
        <is>
          <t>68 SANTANDER</t>
        </is>
      </c>
    </row>
    <row r="895">
      <c r="A895" t="inlineStr">
        <is>
          <t>68406 Lebrija</t>
        </is>
      </c>
      <c r="B895" t="inlineStr">
        <is>
          <t>68 SANTANDER</t>
        </is>
      </c>
    </row>
    <row r="896">
      <c r="A896" t="inlineStr">
        <is>
          <t>68418 Los Santos</t>
        </is>
      </c>
      <c r="B896" t="inlineStr">
        <is>
          <t>68 SANTANDER</t>
        </is>
      </c>
    </row>
    <row r="897">
      <c r="A897" t="inlineStr">
        <is>
          <t>68425 Macaravita</t>
        </is>
      </c>
      <c r="B897" t="inlineStr">
        <is>
          <t>68 SANTANDER</t>
        </is>
      </c>
    </row>
    <row r="898">
      <c r="A898" t="inlineStr">
        <is>
          <t>68432 Malaga</t>
        </is>
      </c>
      <c r="B898" t="inlineStr">
        <is>
          <t>68 SANTANDER</t>
        </is>
      </c>
    </row>
    <row r="899">
      <c r="A899" t="inlineStr">
        <is>
          <t>68444 Matanza</t>
        </is>
      </c>
      <c r="B899" t="inlineStr">
        <is>
          <t>68 SANTANDER</t>
        </is>
      </c>
    </row>
    <row r="900">
      <c r="A900" t="inlineStr">
        <is>
          <t>68464 Mogotes</t>
        </is>
      </c>
      <c r="B900" t="inlineStr">
        <is>
          <t>68 SANTANDER</t>
        </is>
      </c>
    </row>
    <row r="901">
      <c r="A901" t="inlineStr">
        <is>
          <t>68468 Molagavita</t>
        </is>
      </c>
      <c r="B901" t="inlineStr">
        <is>
          <t>68 SANTANDER</t>
        </is>
      </c>
    </row>
    <row r="902">
      <c r="A902" t="inlineStr">
        <is>
          <t>68498 Ocamonte</t>
        </is>
      </c>
      <c r="B902" t="inlineStr">
        <is>
          <t>68 SANTANDER</t>
        </is>
      </c>
    </row>
    <row r="903">
      <c r="A903" t="inlineStr">
        <is>
          <t>68500 Oiba</t>
        </is>
      </c>
      <c r="B903" t="inlineStr">
        <is>
          <t>68 SANTANDER</t>
        </is>
      </c>
    </row>
    <row r="904">
      <c r="A904" t="inlineStr">
        <is>
          <t>68502 Onzaga</t>
        </is>
      </c>
      <c r="B904" t="inlineStr">
        <is>
          <t>68 SANTANDER</t>
        </is>
      </c>
    </row>
    <row r="905">
      <c r="A905" t="inlineStr">
        <is>
          <t>68522 Palmar</t>
        </is>
      </c>
      <c r="B905" t="inlineStr">
        <is>
          <t>68 SANTANDER</t>
        </is>
      </c>
    </row>
    <row r="906">
      <c r="A906" t="inlineStr">
        <is>
          <t>68524 Palmas del Socorro</t>
        </is>
      </c>
      <c r="B906" t="inlineStr">
        <is>
          <t>68 SANTANDER</t>
        </is>
      </c>
    </row>
    <row r="907">
      <c r="A907" t="inlineStr">
        <is>
          <t>68533 Paramo</t>
        </is>
      </c>
      <c r="B907" t="inlineStr">
        <is>
          <t>68 SANTANDER</t>
        </is>
      </c>
    </row>
    <row r="908">
      <c r="A908" t="inlineStr">
        <is>
          <t>68547 Piedecuesta</t>
        </is>
      </c>
      <c r="B908" t="inlineStr">
        <is>
          <t>68 SANTANDER</t>
        </is>
      </c>
    </row>
    <row r="909">
      <c r="A909" t="inlineStr">
        <is>
          <t>68549 Pinchote</t>
        </is>
      </c>
      <c r="B909" t="inlineStr">
        <is>
          <t>68 SANTANDER</t>
        </is>
      </c>
    </row>
    <row r="910">
      <c r="A910" t="inlineStr">
        <is>
          <t>68572 Puente Nacional</t>
        </is>
      </c>
      <c r="B910" t="inlineStr">
        <is>
          <t>68 SANTANDER</t>
        </is>
      </c>
    </row>
    <row r="911">
      <c r="A911" t="inlineStr">
        <is>
          <t>68573 Puerto Parra</t>
        </is>
      </c>
      <c r="B911" t="inlineStr">
        <is>
          <t>68 SANTANDER</t>
        </is>
      </c>
    </row>
    <row r="912">
      <c r="A912" t="inlineStr">
        <is>
          <t>68575 Puerto Wilches</t>
        </is>
      </c>
      <c r="B912" t="inlineStr">
        <is>
          <t>68 SANTANDER</t>
        </is>
      </c>
    </row>
    <row r="913">
      <c r="A913" t="inlineStr">
        <is>
          <t>68615 Rionegro</t>
        </is>
      </c>
      <c r="B913" t="inlineStr">
        <is>
          <t>68 SANTANDER</t>
        </is>
      </c>
    </row>
    <row r="914">
      <c r="A914" t="inlineStr">
        <is>
          <t>68655 Sabana de Torres</t>
        </is>
      </c>
      <c r="B914" t="inlineStr">
        <is>
          <t>68 SANTANDER</t>
        </is>
      </c>
    </row>
    <row r="915">
      <c r="A915" t="inlineStr">
        <is>
          <t>68669 San Andres</t>
        </is>
      </c>
      <c r="B915" t="inlineStr">
        <is>
          <t>68 SANTANDER</t>
        </is>
      </c>
    </row>
    <row r="916">
      <c r="A916" t="inlineStr">
        <is>
          <t>68673 San Benito</t>
        </is>
      </c>
      <c r="B916" t="inlineStr">
        <is>
          <t>68 SANTANDER</t>
        </is>
      </c>
    </row>
    <row r="917">
      <c r="A917" t="inlineStr">
        <is>
          <t>68679 San Gil</t>
        </is>
      </c>
      <c r="B917" t="inlineStr">
        <is>
          <t>68 SANTANDER</t>
        </is>
      </c>
    </row>
    <row r="918">
      <c r="A918" t="inlineStr">
        <is>
          <t>68682 San Joaquin</t>
        </is>
      </c>
      <c r="B918" t="inlineStr">
        <is>
          <t>68 SANTANDER</t>
        </is>
      </c>
    </row>
    <row r="919">
      <c r="A919" t="inlineStr">
        <is>
          <t>68684 San Jose de Miranda</t>
        </is>
      </c>
      <c r="B919" t="inlineStr">
        <is>
          <t>68 SANTANDER</t>
        </is>
      </c>
    </row>
    <row r="920">
      <c r="A920" t="inlineStr">
        <is>
          <t>68686 San Miguel</t>
        </is>
      </c>
      <c r="B920" t="inlineStr">
        <is>
          <t>68 SANTANDER</t>
        </is>
      </c>
    </row>
    <row r="921">
      <c r="A921" t="inlineStr">
        <is>
          <t>68689 San Vicente de Chucuri</t>
        </is>
      </c>
      <c r="B921" t="inlineStr">
        <is>
          <t>68 SANTANDER</t>
        </is>
      </c>
    </row>
    <row r="922">
      <c r="A922" t="inlineStr">
        <is>
          <t>68705 Santa Barbara</t>
        </is>
      </c>
      <c r="B922" t="inlineStr">
        <is>
          <t>68 SANTANDER</t>
        </is>
      </c>
    </row>
    <row r="923">
      <c r="A923" t="inlineStr">
        <is>
          <t>68720 Santa Helena del Opon</t>
        </is>
      </c>
      <c r="B923" t="inlineStr">
        <is>
          <t>68 SANTANDER</t>
        </is>
      </c>
    </row>
    <row r="924">
      <c r="A924" t="inlineStr">
        <is>
          <t>68745 Simacota</t>
        </is>
      </c>
      <c r="B924" t="inlineStr">
        <is>
          <t>68 SANTANDER</t>
        </is>
      </c>
    </row>
    <row r="925">
      <c r="A925" t="inlineStr">
        <is>
          <t>68755 Socorro</t>
        </is>
      </c>
      <c r="B925" t="inlineStr">
        <is>
          <t>68 SANTANDER</t>
        </is>
      </c>
    </row>
    <row r="926">
      <c r="A926" t="inlineStr">
        <is>
          <t>68770 Suaita</t>
        </is>
      </c>
      <c r="B926" t="inlineStr">
        <is>
          <t>68 SANTANDER</t>
        </is>
      </c>
    </row>
    <row r="927">
      <c r="A927" t="inlineStr">
        <is>
          <t>68773 Sucre</t>
        </is>
      </c>
      <c r="B927" t="inlineStr">
        <is>
          <t>68 SANTANDER</t>
        </is>
      </c>
    </row>
    <row r="928">
      <c r="A928" t="inlineStr">
        <is>
          <t>68780 Surata</t>
        </is>
      </c>
      <c r="B928" t="inlineStr">
        <is>
          <t>68 SANTANDER</t>
        </is>
      </c>
    </row>
    <row r="929">
      <c r="A929" t="inlineStr">
        <is>
          <t>68820 Tona</t>
        </is>
      </c>
      <c r="B929" t="inlineStr">
        <is>
          <t>68 SANTANDER</t>
        </is>
      </c>
    </row>
    <row r="930">
      <c r="A930" t="inlineStr">
        <is>
          <t>68855 Valle de San Jose</t>
        </is>
      </c>
      <c r="B930" t="inlineStr">
        <is>
          <t>68 SANTANDER</t>
        </is>
      </c>
    </row>
    <row r="931">
      <c r="A931" t="inlineStr">
        <is>
          <t>68861 Velez</t>
        </is>
      </c>
      <c r="B931" t="inlineStr">
        <is>
          <t>68 SANTANDER</t>
        </is>
      </c>
    </row>
    <row r="932">
      <c r="A932" t="inlineStr">
        <is>
          <t>68867 Vetas</t>
        </is>
      </c>
      <c r="B932" t="inlineStr">
        <is>
          <t>68 SANTANDER</t>
        </is>
      </c>
    </row>
    <row r="933">
      <c r="A933" t="inlineStr">
        <is>
          <t>68872 Villanueva</t>
        </is>
      </c>
      <c r="B933" t="inlineStr">
        <is>
          <t>68 SANTANDER</t>
        </is>
      </c>
    </row>
    <row r="934">
      <c r="A934" t="inlineStr">
        <is>
          <t>68895 Zapatoca</t>
        </is>
      </c>
      <c r="B934" t="inlineStr">
        <is>
          <t>68 SANTANDER</t>
        </is>
      </c>
    </row>
    <row r="935">
      <c r="A935" t="inlineStr">
        <is>
          <t>70001 Sincelejo</t>
        </is>
      </c>
      <c r="B935" t="inlineStr">
        <is>
          <t>70 SUCRE</t>
        </is>
      </c>
    </row>
    <row r="936">
      <c r="A936" t="inlineStr">
        <is>
          <t>70110 Buenavista</t>
        </is>
      </c>
      <c r="B936" t="inlineStr">
        <is>
          <t>70 SUCRE</t>
        </is>
      </c>
    </row>
    <row r="937">
      <c r="A937" t="inlineStr">
        <is>
          <t>70124 Caimito</t>
        </is>
      </c>
      <c r="B937" t="inlineStr">
        <is>
          <t>70 SUCRE</t>
        </is>
      </c>
    </row>
    <row r="938">
      <c r="A938" t="inlineStr">
        <is>
          <t>70204 Coloso</t>
        </is>
      </c>
      <c r="B938" t="inlineStr">
        <is>
          <t>70 SUCRE</t>
        </is>
      </c>
    </row>
    <row r="939">
      <c r="A939" t="inlineStr">
        <is>
          <t>70215 Corozal</t>
        </is>
      </c>
      <c r="B939" t="inlineStr">
        <is>
          <t>70 SUCRE</t>
        </is>
      </c>
    </row>
    <row r="940">
      <c r="A940" t="inlineStr">
        <is>
          <t>70221 Coveñas</t>
        </is>
      </c>
      <c r="B940" t="inlineStr">
        <is>
          <t>70 SUCRE</t>
        </is>
      </c>
    </row>
    <row r="941">
      <c r="A941" t="inlineStr">
        <is>
          <t>70230 Chalan</t>
        </is>
      </c>
      <c r="B941" t="inlineStr">
        <is>
          <t>70 SUCRE</t>
        </is>
      </c>
    </row>
    <row r="942">
      <c r="A942" t="inlineStr">
        <is>
          <t>70233 El Roble</t>
        </is>
      </c>
      <c r="B942" t="inlineStr">
        <is>
          <t>70 SUCRE</t>
        </is>
      </c>
    </row>
    <row r="943">
      <c r="A943" t="inlineStr">
        <is>
          <t>70235 Galeras</t>
        </is>
      </c>
      <c r="B943" t="inlineStr">
        <is>
          <t>70 SUCRE</t>
        </is>
      </c>
    </row>
    <row r="944">
      <c r="A944" t="inlineStr">
        <is>
          <t>70265 Guaranda</t>
        </is>
      </c>
      <c r="B944" t="inlineStr">
        <is>
          <t>70 SUCRE</t>
        </is>
      </c>
    </row>
    <row r="945">
      <c r="A945" t="inlineStr">
        <is>
          <t>70400 La Union</t>
        </is>
      </c>
      <c r="B945" t="inlineStr">
        <is>
          <t>70 SUCRE</t>
        </is>
      </c>
    </row>
    <row r="946">
      <c r="A946" t="inlineStr">
        <is>
          <t>70418 Los Palmitos</t>
        </is>
      </c>
      <c r="B946" t="inlineStr">
        <is>
          <t>70 SUCRE</t>
        </is>
      </c>
    </row>
    <row r="947">
      <c r="A947" t="inlineStr">
        <is>
          <t>70429 Majagual</t>
        </is>
      </c>
      <c r="B947" t="inlineStr">
        <is>
          <t>70 SUCRE</t>
        </is>
      </c>
    </row>
    <row r="948">
      <c r="A948" t="inlineStr">
        <is>
          <t>70473 Morroa</t>
        </is>
      </c>
      <c r="B948" t="inlineStr">
        <is>
          <t>70 SUCRE</t>
        </is>
      </c>
    </row>
    <row r="949">
      <c r="A949" t="inlineStr">
        <is>
          <t>70508 Ovejas</t>
        </is>
      </c>
      <c r="B949" t="inlineStr">
        <is>
          <t>70 SUCRE</t>
        </is>
      </c>
    </row>
    <row r="950">
      <c r="A950" t="inlineStr">
        <is>
          <t>70523 Palmito</t>
        </is>
      </c>
      <c r="B950" t="inlineStr">
        <is>
          <t>70 SUCRE</t>
        </is>
      </c>
    </row>
    <row r="951">
      <c r="A951" t="inlineStr">
        <is>
          <t>70670 Sampues</t>
        </is>
      </c>
      <c r="B951" t="inlineStr">
        <is>
          <t>70 SUCRE</t>
        </is>
      </c>
    </row>
    <row r="952">
      <c r="A952" t="inlineStr">
        <is>
          <t>70678 San Benito Abad</t>
        </is>
      </c>
      <c r="B952" t="inlineStr">
        <is>
          <t>70 SUCRE</t>
        </is>
      </c>
    </row>
    <row r="953">
      <c r="A953" t="inlineStr">
        <is>
          <t>70702 San Juan de Betulia</t>
        </is>
      </c>
      <c r="B953" t="inlineStr">
        <is>
          <t>70 SUCRE</t>
        </is>
      </c>
    </row>
    <row r="954">
      <c r="A954" t="inlineStr">
        <is>
          <t>70708 San Marcos</t>
        </is>
      </c>
      <c r="B954" t="inlineStr">
        <is>
          <t>70 SUCRE</t>
        </is>
      </c>
    </row>
    <row r="955">
      <c r="A955" t="inlineStr">
        <is>
          <t>70713 San Onofre</t>
        </is>
      </c>
      <c r="B955" t="inlineStr">
        <is>
          <t>70 SUCRE</t>
        </is>
      </c>
    </row>
    <row r="956">
      <c r="A956" t="inlineStr">
        <is>
          <t>70717 San Pedro</t>
        </is>
      </c>
      <c r="B956" t="inlineStr">
        <is>
          <t>70 SUCRE</t>
        </is>
      </c>
    </row>
    <row r="957">
      <c r="A957" t="inlineStr">
        <is>
          <t>70742 San Luis de Since</t>
        </is>
      </c>
      <c r="B957" t="inlineStr">
        <is>
          <t>70 SUCRE</t>
        </is>
      </c>
    </row>
    <row r="958">
      <c r="A958" t="inlineStr">
        <is>
          <t>70771 Sucre</t>
        </is>
      </c>
      <c r="B958" t="inlineStr">
        <is>
          <t>70 SUCRE</t>
        </is>
      </c>
    </row>
    <row r="959">
      <c r="A959" t="inlineStr">
        <is>
          <t>70820 Santiago de Tolu</t>
        </is>
      </c>
      <c r="B959" t="inlineStr">
        <is>
          <t>70 SUCRE</t>
        </is>
      </c>
    </row>
    <row r="960">
      <c r="A960" t="inlineStr">
        <is>
          <t>70823 Tolu Viejo</t>
        </is>
      </c>
      <c r="B960" t="inlineStr">
        <is>
          <t>70 SUCRE</t>
        </is>
      </c>
    </row>
    <row r="961">
      <c r="A961" t="inlineStr">
        <is>
          <t>73001 Ibague</t>
        </is>
      </c>
      <c r="B961" t="inlineStr">
        <is>
          <t>73 TOLIMA</t>
        </is>
      </c>
    </row>
    <row r="962">
      <c r="A962" t="inlineStr">
        <is>
          <t>73024 Alpujarra</t>
        </is>
      </c>
      <c r="B962" t="inlineStr">
        <is>
          <t>73 TOLIMA</t>
        </is>
      </c>
    </row>
    <row r="963">
      <c r="A963" t="inlineStr">
        <is>
          <t>73026 Alvarado</t>
        </is>
      </c>
      <c r="B963" t="inlineStr">
        <is>
          <t>73 TOLIMA</t>
        </is>
      </c>
    </row>
    <row r="964">
      <c r="A964" t="inlineStr">
        <is>
          <t>73030 Ambalema</t>
        </is>
      </c>
      <c r="B964" t="inlineStr">
        <is>
          <t>73 TOLIMA</t>
        </is>
      </c>
    </row>
    <row r="965">
      <c r="A965" t="inlineStr">
        <is>
          <t>73043 Anzoategui</t>
        </is>
      </c>
      <c r="B965" t="inlineStr">
        <is>
          <t>73 TOLIMA</t>
        </is>
      </c>
    </row>
    <row r="966">
      <c r="A966" t="inlineStr">
        <is>
          <t>73055 Armero</t>
        </is>
      </c>
      <c r="B966" t="inlineStr">
        <is>
          <t>73 TOLIMA</t>
        </is>
      </c>
    </row>
    <row r="967">
      <c r="A967" t="inlineStr">
        <is>
          <t>73067 Ataco</t>
        </is>
      </c>
      <c r="B967" t="inlineStr">
        <is>
          <t>73 TOLIMA</t>
        </is>
      </c>
    </row>
    <row r="968">
      <c r="A968" t="inlineStr">
        <is>
          <t>73124 Cajamarca</t>
        </is>
      </c>
      <c r="B968" t="inlineStr">
        <is>
          <t>73 TOLIMA</t>
        </is>
      </c>
    </row>
    <row r="969">
      <c r="A969" t="inlineStr">
        <is>
          <t>73148 Carmen de Apicala</t>
        </is>
      </c>
      <c r="B969" t="inlineStr">
        <is>
          <t>73 TOLIMA</t>
        </is>
      </c>
    </row>
    <row r="970">
      <c r="A970" t="inlineStr">
        <is>
          <t>73152 Casabianca</t>
        </is>
      </c>
      <c r="B970" t="inlineStr">
        <is>
          <t>73 TOLIMA</t>
        </is>
      </c>
    </row>
    <row r="971">
      <c r="A971" t="inlineStr">
        <is>
          <t>73168 Chaparral</t>
        </is>
      </c>
      <c r="B971" t="inlineStr">
        <is>
          <t>73 TOLIMA</t>
        </is>
      </c>
    </row>
    <row r="972">
      <c r="A972" t="inlineStr">
        <is>
          <t>73200 Coello</t>
        </is>
      </c>
      <c r="B972" t="inlineStr">
        <is>
          <t>73 TOLIMA</t>
        </is>
      </c>
    </row>
    <row r="973">
      <c r="A973" t="inlineStr">
        <is>
          <t>73217 Coyaima</t>
        </is>
      </c>
      <c r="B973" t="inlineStr">
        <is>
          <t>73 TOLIMA</t>
        </is>
      </c>
    </row>
    <row r="974">
      <c r="A974" t="inlineStr">
        <is>
          <t>73226 Cunday</t>
        </is>
      </c>
      <c r="B974" t="inlineStr">
        <is>
          <t>73 TOLIMA</t>
        </is>
      </c>
    </row>
    <row r="975">
      <c r="A975" t="inlineStr">
        <is>
          <t>73236 Dolores</t>
        </is>
      </c>
      <c r="B975" t="inlineStr">
        <is>
          <t>73 TOLIMA</t>
        </is>
      </c>
    </row>
    <row r="976">
      <c r="A976" t="inlineStr">
        <is>
          <t>73268 Espinal</t>
        </is>
      </c>
      <c r="B976" t="inlineStr">
        <is>
          <t>73 TOLIMA</t>
        </is>
      </c>
    </row>
    <row r="977">
      <c r="A977" t="inlineStr">
        <is>
          <t>73270 Falan</t>
        </is>
      </c>
      <c r="B977" t="inlineStr">
        <is>
          <t>73 TOLIMA</t>
        </is>
      </c>
    </row>
    <row r="978">
      <c r="A978" t="inlineStr">
        <is>
          <t>73275 Flandes</t>
        </is>
      </c>
      <c r="B978" t="inlineStr">
        <is>
          <t>73 TOLIMA</t>
        </is>
      </c>
    </row>
    <row r="979">
      <c r="A979" t="inlineStr">
        <is>
          <t>73283 Fresno</t>
        </is>
      </c>
      <c r="B979" t="inlineStr">
        <is>
          <t>73 TOLIMA</t>
        </is>
      </c>
    </row>
    <row r="980">
      <c r="A980" t="inlineStr">
        <is>
          <t>73319 Guamo</t>
        </is>
      </c>
      <c r="B980" t="inlineStr">
        <is>
          <t>73 TOLIMA</t>
        </is>
      </c>
    </row>
    <row r="981">
      <c r="A981" t="inlineStr">
        <is>
          <t>73347 Herveo</t>
        </is>
      </c>
      <c r="B981" t="inlineStr">
        <is>
          <t>73 TOLIMA</t>
        </is>
      </c>
    </row>
    <row r="982">
      <c r="A982" t="inlineStr">
        <is>
          <t>73349 Honda</t>
        </is>
      </c>
      <c r="B982" t="inlineStr">
        <is>
          <t>73 TOLIMA</t>
        </is>
      </c>
    </row>
    <row r="983">
      <c r="A983" t="inlineStr">
        <is>
          <t>73352 Icononzo</t>
        </is>
      </c>
      <c r="B983" t="inlineStr">
        <is>
          <t>73 TOLIMA</t>
        </is>
      </c>
    </row>
    <row r="984">
      <c r="A984" t="inlineStr">
        <is>
          <t>73408 Lerida</t>
        </is>
      </c>
      <c r="B984" t="inlineStr">
        <is>
          <t>73 TOLIMA</t>
        </is>
      </c>
    </row>
    <row r="985">
      <c r="A985" t="inlineStr">
        <is>
          <t>73411 Libano</t>
        </is>
      </c>
      <c r="B985" t="inlineStr">
        <is>
          <t>73 TOLIMA</t>
        </is>
      </c>
    </row>
    <row r="986">
      <c r="A986" t="inlineStr">
        <is>
          <t>73443 Mariquita</t>
        </is>
      </c>
      <c r="B986" t="inlineStr">
        <is>
          <t>73 TOLIMA</t>
        </is>
      </c>
    </row>
    <row r="987">
      <c r="A987" t="inlineStr">
        <is>
          <t>73449 Melgar</t>
        </is>
      </c>
      <c r="B987" t="inlineStr">
        <is>
          <t>73 TOLIMA</t>
        </is>
      </c>
    </row>
    <row r="988">
      <c r="A988" t="inlineStr">
        <is>
          <t>73461 Murillo</t>
        </is>
      </c>
      <c r="B988" t="inlineStr">
        <is>
          <t>73 TOLIMA</t>
        </is>
      </c>
    </row>
    <row r="989">
      <c r="A989" t="inlineStr">
        <is>
          <t>73483 Natagaima</t>
        </is>
      </c>
      <c r="B989" t="inlineStr">
        <is>
          <t>73 TOLIMA</t>
        </is>
      </c>
    </row>
    <row r="990">
      <c r="A990" t="inlineStr">
        <is>
          <t>73504 Ortega</t>
        </is>
      </c>
      <c r="B990" t="inlineStr">
        <is>
          <t>73 TOLIMA</t>
        </is>
      </c>
    </row>
    <row r="991">
      <c r="A991" t="inlineStr">
        <is>
          <t>73520 Palocabildo</t>
        </is>
      </c>
      <c r="B991" t="inlineStr">
        <is>
          <t>73 TOLIMA</t>
        </is>
      </c>
    </row>
    <row r="992">
      <c r="A992" t="inlineStr">
        <is>
          <t>73547 Piedras</t>
        </is>
      </c>
      <c r="B992" t="inlineStr">
        <is>
          <t>73 TOLIMA</t>
        </is>
      </c>
    </row>
    <row r="993">
      <c r="A993" t="inlineStr">
        <is>
          <t>73555 Planadas</t>
        </is>
      </c>
      <c r="B993" t="inlineStr">
        <is>
          <t>73 TOLIMA</t>
        </is>
      </c>
    </row>
    <row r="994">
      <c r="A994" t="inlineStr">
        <is>
          <t>73563 Prado</t>
        </is>
      </c>
      <c r="B994" t="inlineStr">
        <is>
          <t>73 TOLIMA</t>
        </is>
      </c>
    </row>
    <row r="995">
      <c r="A995" t="inlineStr">
        <is>
          <t>73585 Purificacion</t>
        </is>
      </c>
      <c r="B995" t="inlineStr">
        <is>
          <t>73 TOLIMA</t>
        </is>
      </c>
    </row>
    <row r="996">
      <c r="A996" t="inlineStr">
        <is>
          <t>73616 Rioblanco</t>
        </is>
      </c>
      <c r="B996" t="inlineStr">
        <is>
          <t>73 TOLIMA</t>
        </is>
      </c>
    </row>
    <row r="997">
      <c r="A997" t="inlineStr">
        <is>
          <t>73622 Roncesvalles</t>
        </is>
      </c>
      <c r="B997" t="inlineStr">
        <is>
          <t>73 TOLIMA</t>
        </is>
      </c>
    </row>
    <row r="998">
      <c r="A998" t="inlineStr">
        <is>
          <t>73624 Rovira</t>
        </is>
      </c>
      <c r="B998" t="inlineStr">
        <is>
          <t>73 TOLIMA</t>
        </is>
      </c>
    </row>
    <row r="999">
      <c r="A999" t="inlineStr">
        <is>
          <t>73671 Saldaña</t>
        </is>
      </c>
      <c r="B999" t="inlineStr">
        <is>
          <t>73 TOLIMA</t>
        </is>
      </c>
    </row>
    <row r="1000">
      <c r="A1000" t="inlineStr">
        <is>
          <t>73675 San Antonio</t>
        </is>
      </c>
      <c r="B1000" t="inlineStr">
        <is>
          <t>73 TOLIMA</t>
        </is>
      </c>
    </row>
    <row r="1001">
      <c r="A1001" t="inlineStr">
        <is>
          <t>73678 San Luis</t>
        </is>
      </c>
      <c r="B1001" t="inlineStr">
        <is>
          <t>73 TOLIMA</t>
        </is>
      </c>
    </row>
    <row r="1002">
      <c r="A1002" t="inlineStr">
        <is>
          <t>73686 Santa Isabel</t>
        </is>
      </c>
      <c r="B1002" t="inlineStr">
        <is>
          <t>73 TOLIMA</t>
        </is>
      </c>
    </row>
    <row r="1003">
      <c r="A1003" t="inlineStr">
        <is>
          <t>73770 Suarez</t>
        </is>
      </c>
      <c r="B1003" t="inlineStr">
        <is>
          <t>73 TOLIMA</t>
        </is>
      </c>
    </row>
    <row r="1004">
      <c r="A1004" t="inlineStr">
        <is>
          <t>73854 Valle de San Juan</t>
        </is>
      </c>
      <c r="B1004" t="inlineStr">
        <is>
          <t>73 TOLIMA</t>
        </is>
      </c>
    </row>
    <row r="1005">
      <c r="A1005" t="inlineStr">
        <is>
          <t>73861 Venadillo</t>
        </is>
      </c>
      <c r="B1005" t="inlineStr">
        <is>
          <t>73 TOLIMA</t>
        </is>
      </c>
    </row>
    <row r="1006">
      <c r="A1006" t="inlineStr">
        <is>
          <t>73870 Villahermosa</t>
        </is>
      </c>
      <c r="B1006" t="inlineStr">
        <is>
          <t>73 TOLIMA</t>
        </is>
      </c>
    </row>
    <row r="1007">
      <c r="A1007" t="inlineStr">
        <is>
          <t>73873 Villarrica</t>
        </is>
      </c>
      <c r="B1007" t="inlineStr">
        <is>
          <t>73 TOLIMA</t>
        </is>
      </c>
    </row>
    <row r="1008">
      <c r="A1008" t="inlineStr">
        <is>
          <t>76109 Buenaventura</t>
        </is>
      </c>
      <c r="B1008" t="inlineStr">
        <is>
          <t>76 BUENAVENTURA</t>
        </is>
      </c>
    </row>
    <row r="1009">
      <c r="A1009" t="inlineStr">
        <is>
          <t>76001 Cali</t>
        </is>
      </c>
      <c r="B1009" t="inlineStr">
        <is>
          <t>76 CALI</t>
        </is>
      </c>
    </row>
    <row r="1010">
      <c r="A1010" t="inlineStr">
        <is>
          <t>76020 Alcala</t>
        </is>
      </c>
      <c r="B1010" t="inlineStr">
        <is>
          <t>76 VALLE_DEL_CAUCA</t>
        </is>
      </c>
    </row>
    <row r="1011">
      <c r="A1011" t="inlineStr">
        <is>
          <t>76036 Andalucia</t>
        </is>
      </c>
      <c r="B1011" t="inlineStr">
        <is>
          <t>76 VALLE_DEL_CAUCA</t>
        </is>
      </c>
    </row>
    <row r="1012">
      <c r="A1012" t="inlineStr">
        <is>
          <t>76041 Ansermanuevo</t>
        </is>
      </c>
      <c r="B1012" t="inlineStr">
        <is>
          <t>76 VALLE_DEL_CAUCA</t>
        </is>
      </c>
    </row>
    <row r="1013">
      <c r="A1013" t="inlineStr">
        <is>
          <t>76054 Argelia</t>
        </is>
      </c>
      <c r="B1013" t="inlineStr">
        <is>
          <t>76 VALLE_DEL_CAUCA</t>
        </is>
      </c>
    </row>
    <row r="1014">
      <c r="A1014" t="inlineStr">
        <is>
          <t>76100 Bolivar</t>
        </is>
      </c>
      <c r="B1014" t="inlineStr">
        <is>
          <t>76 VALLE_DEL_CAUCA</t>
        </is>
      </c>
    </row>
    <row r="1015">
      <c r="A1015" t="inlineStr">
        <is>
          <t>76111 Guadalajara de Buga</t>
        </is>
      </c>
      <c r="B1015" t="inlineStr">
        <is>
          <t>76 VALLE_DEL_CAUCA</t>
        </is>
      </c>
    </row>
    <row r="1016">
      <c r="A1016" t="inlineStr">
        <is>
          <t>76113 Bugalagrande</t>
        </is>
      </c>
      <c r="B1016" t="inlineStr">
        <is>
          <t>76 VALLE_DEL_CAUCA</t>
        </is>
      </c>
    </row>
    <row r="1017">
      <c r="A1017" t="inlineStr">
        <is>
          <t>76122 Caicedonia</t>
        </is>
      </c>
      <c r="B1017" t="inlineStr">
        <is>
          <t>76 VALLE_DEL_CAUCA</t>
        </is>
      </c>
    </row>
    <row r="1018">
      <c r="A1018" t="inlineStr">
        <is>
          <t>76126 Calima</t>
        </is>
      </c>
      <c r="B1018" t="inlineStr">
        <is>
          <t>76 VALLE_DEL_CAUCA</t>
        </is>
      </c>
    </row>
    <row r="1019">
      <c r="A1019" t="inlineStr">
        <is>
          <t>76130 Candelaria</t>
        </is>
      </c>
      <c r="B1019" t="inlineStr">
        <is>
          <t>76 VALLE_DEL_CAUCA</t>
        </is>
      </c>
    </row>
    <row r="1020">
      <c r="A1020" t="inlineStr">
        <is>
          <t>76147 Cartago</t>
        </is>
      </c>
      <c r="B1020" t="inlineStr">
        <is>
          <t>76 VALLE_DEL_CAUCA</t>
        </is>
      </c>
    </row>
    <row r="1021">
      <c r="A1021" t="inlineStr">
        <is>
          <t>76233 Dagua</t>
        </is>
      </c>
      <c r="B1021" t="inlineStr">
        <is>
          <t>76 VALLE_DEL_CAUCA</t>
        </is>
      </c>
    </row>
    <row r="1022">
      <c r="A1022" t="inlineStr">
        <is>
          <t>76243 El aguila</t>
        </is>
      </c>
      <c r="B1022" t="inlineStr">
        <is>
          <t>76 VALLE_DEL_CAUCA</t>
        </is>
      </c>
    </row>
    <row r="1023">
      <c r="A1023" t="inlineStr">
        <is>
          <t>76246 El Cairo</t>
        </is>
      </c>
      <c r="B1023" t="inlineStr">
        <is>
          <t>76 VALLE_DEL_CAUCA</t>
        </is>
      </c>
    </row>
    <row r="1024">
      <c r="A1024" t="inlineStr">
        <is>
          <t>76248 El Cerrito</t>
        </is>
      </c>
      <c r="B1024" t="inlineStr">
        <is>
          <t>76 VALLE_DEL_CAUCA</t>
        </is>
      </c>
    </row>
    <row r="1025">
      <c r="A1025" t="inlineStr">
        <is>
          <t>76250 El Dovio</t>
        </is>
      </c>
      <c r="B1025" t="inlineStr">
        <is>
          <t>76 VALLE_DEL_CAUCA</t>
        </is>
      </c>
    </row>
    <row r="1026">
      <c r="A1026" t="inlineStr">
        <is>
          <t>76275 Florida</t>
        </is>
      </c>
      <c r="B1026" t="inlineStr">
        <is>
          <t>76 VALLE_DEL_CAUCA</t>
        </is>
      </c>
    </row>
    <row r="1027">
      <c r="A1027" t="inlineStr">
        <is>
          <t>76306 Ginebra</t>
        </is>
      </c>
      <c r="B1027" t="inlineStr">
        <is>
          <t>76 VALLE_DEL_CAUCA</t>
        </is>
      </c>
    </row>
    <row r="1028">
      <c r="A1028" t="inlineStr">
        <is>
          <t>76318 Guacari</t>
        </is>
      </c>
      <c r="B1028" t="inlineStr">
        <is>
          <t>76 VALLE_DEL_CAUCA</t>
        </is>
      </c>
    </row>
    <row r="1029">
      <c r="A1029" t="inlineStr">
        <is>
          <t>76364 Jamundi</t>
        </is>
      </c>
      <c r="B1029" t="inlineStr">
        <is>
          <t>76 VALLE_DEL_CAUCA</t>
        </is>
      </c>
    </row>
    <row r="1030">
      <c r="A1030" t="inlineStr">
        <is>
          <t>76377 La Cumbre</t>
        </is>
      </c>
      <c r="B1030" t="inlineStr">
        <is>
          <t>76 VALLE_DEL_CAUCA</t>
        </is>
      </c>
    </row>
    <row r="1031">
      <c r="A1031" t="inlineStr">
        <is>
          <t>76400 La Union</t>
        </is>
      </c>
      <c r="B1031" t="inlineStr">
        <is>
          <t>76 VALLE_DEL_CAUCA</t>
        </is>
      </c>
    </row>
    <row r="1032">
      <c r="A1032" t="inlineStr">
        <is>
          <t>76403 La Victoria</t>
        </is>
      </c>
      <c r="B1032" t="inlineStr">
        <is>
          <t>76 VALLE_DEL_CAUCA</t>
        </is>
      </c>
    </row>
    <row r="1033">
      <c r="A1033" t="inlineStr">
        <is>
          <t>76497 Obando</t>
        </is>
      </c>
      <c r="B1033" t="inlineStr">
        <is>
          <t>76 VALLE_DEL_CAUCA</t>
        </is>
      </c>
    </row>
    <row r="1034">
      <c r="A1034" t="inlineStr">
        <is>
          <t>76520 Palmira</t>
        </is>
      </c>
      <c r="B1034" t="inlineStr">
        <is>
          <t>76 VALLE_DEL_CAUCA</t>
        </is>
      </c>
    </row>
    <row r="1035">
      <c r="A1035" t="inlineStr">
        <is>
          <t>76563 Pradera</t>
        </is>
      </c>
      <c r="B1035" t="inlineStr">
        <is>
          <t>76 VALLE_DEL_CAUCA</t>
        </is>
      </c>
    </row>
    <row r="1036">
      <c r="A1036" t="inlineStr">
        <is>
          <t>76606 Restrepo</t>
        </is>
      </c>
      <c r="B1036" t="inlineStr">
        <is>
          <t>76 VALLE_DEL_CAUCA</t>
        </is>
      </c>
    </row>
    <row r="1037">
      <c r="A1037" t="inlineStr">
        <is>
          <t>76616 Riofrio</t>
        </is>
      </c>
      <c r="B1037" t="inlineStr">
        <is>
          <t>76 VALLE_DEL_CAUCA</t>
        </is>
      </c>
    </row>
    <row r="1038">
      <c r="A1038" t="inlineStr">
        <is>
          <t>76622 Roldanillo</t>
        </is>
      </c>
      <c r="B1038" t="inlineStr">
        <is>
          <t>76 VALLE_DEL_CAUCA</t>
        </is>
      </c>
    </row>
    <row r="1039">
      <c r="A1039" t="inlineStr">
        <is>
          <t>76670 San Pedro</t>
        </is>
      </c>
      <c r="B1039" t="inlineStr">
        <is>
          <t>76 VALLE_DEL_CAUCA</t>
        </is>
      </c>
    </row>
    <row r="1040">
      <c r="A1040" t="inlineStr">
        <is>
          <t>76736 Sevilla</t>
        </is>
      </c>
      <c r="B1040" t="inlineStr">
        <is>
          <t>76 VALLE_DEL_CAUCA</t>
        </is>
      </c>
    </row>
    <row r="1041">
      <c r="A1041" t="inlineStr">
        <is>
          <t>76823 Toro</t>
        </is>
      </c>
      <c r="B1041" t="inlineStr">
        <is>
          <t>76 VALLE_DEL_CAUCA</t>
        </is>
      </c>
    </row>
    <row r="1042">
      <c r="A1042" t="inlineStr">
        <is>
          <t>76828 Trujillo</t>
        </is>
      </c>
      <c r="B1042" t="inlineStr">
        <is>
          <t>76 VALLE_DEL_CAUCA</t>
        </is>
      </c>
    </row>
    <row r="1043">
      <c r="A1043" t="inlineStr">
        <is>
          <t>76834 Tulua</t>
        </is>
      </c>
      <c r="B1043" t="inlineStr">
        <is>
          <t>76 VALLE_DEL_CAUCA</t>
        </is>
      </c>
    </row>
    <row r="1044">
      <c r="A1044" t="inlineStr">
        <is>
          <t>76845 Ulloa</t>
        </is>
      </c>
      <c r="B1044" t="inlineStr">
        <is>
          <t>76 VALLE_DEL_CAUCA</t>
        </is>
      </c>
    </row>
    <row r="1045">
      <c r="A1045" t="inlineStr">
        <is>
          <t>76863 Versalles</t>
        </is>
      </c>
      <c r="B1045" t="inlineStr">
        <is>
          <t>76 VALLE_DEL_CAUCA</t>
        </is>
      </c>
    </row>
    <row r="1046">
      <c r="A1046" t="inlineStr">
        <is>
          <t>76869 Vijes</t>
        </is>
      </c>
      <c r="B1046" t="inlineStr">
        <is>
          <t>76 VALLE_DEL_CAUCA</t>
        </is>
      </c>
    </row>
    <row r="1047">
      <c r="A1047" t="inlineStr">
        <is>
          <t>76890 Yotoco</t>
        </is>
      </c>
      <c r="B1047" t="inlineStr">
        <is>
          <t>76 VALLE_DEL_CAUCA</t>
        </is>
      </c>
    </row>
    <row r="1048">
      <c r="A1048" t="inlineStr">
        <is>
          <t>76892 Yumbo</t>
        </is>
      </c>
      <c r="B1048" t="inlineStr">
        <is>
          <t>76 VALLE_DEL_CAUCA</t>
        </is>
      </c>
    </row>
    <row r="1049">
      <c r="A1049" t="inlineStr">
        <is>
          <t>76895 Zarzal</t>
        </is>
      </c>
      <c r="B1049" t="inlineStr">
        <is>
          <t>76 VALLE_DEL_CAUCA</t>
        </is>
      </c>
    </row>
    <row r="1050">
      <c r="A1050" t="inlineStr">
        <is>
          <t>81001 Arauca</t>
        </is>
      </c>
      <c r="B1050" t="inlineStr">
        <is>
          <t>81 ARAUCA</t>
        </is>
      </c>
    </row>
    <row r="1051">
      <c r="A1051" t="inlineStr">
        <is>
          <t>81065 Arauquita</t>
        </is>
      </c>
      <c r="B1051" t="inlineStr">
        <is>
          <t>81 ARAUCA</t>
        </is>
      </c>
    </row>
    <row r="1052">
      <c r="A1052" t="inlineStr">
        <is>
          <t>81220 Cravo Norte</t>
        </is>
      </c>
      <c r="B1052" t="inlineStr">
        <is>
          <t>81 ARAUCA</t>
        </is>
      </c>
    </row>
    <row r="1053">
      <c r="A1053" t="inlineStr">
        <is>
          <t>81300 Fortul</t>
        </is>
      </c>
      <c r="B1053" t="inlineStr">
        <is>
          <t>81 ARAUCA</t>
        </is>
      </c>
    </row>
    <row r="1054">
      <c r="A1054" t="inlineStr">
        <is>
          <t>81591 Puerto Rondon</t>
        </is>
      </c>
      <c r="B1054" t="inlineStr">
        <is>
          <t>81 ARAUCA</t>
        </is>
      </c>
    </row>
    <row r="1055">
      <c r="A1055" t="inlineStr">
        <is>
          <t>81736 Saravena</t>
        </is>
      </c>
      <c r="B1055" t="inlineStr">
        <is>
          <t>81 ARAUCA</t>
        </is>
      </c>
    </row>
    <row r="1056">
      <c r="A1056" t="inlineStr">
        <is>
          <t>81794 Tame</t>
        </is>
      </c>
      <c r="B1056" t="inlineStr">
        <is>
          <t>81 ARAUCA</t>
        </is>
      </c>
    </row>
    <row r="1057">
      <c r="A1057" t="inlineStr">
        <is>
          <t>85001 Yopal</t>
        </is>
      </c>
      <c r="B1057" t="inlineStr">
        <is>
          <t>85 CASANARE</t>
        </is>
      </c>
    </row>
    <row r="1058">
      <c r="A1058" t="inlineStr">
        <is>
          <t>85010 Aguazul</t>
        </is>
      </c>
      <c r="B1058" t="inlineStr">
        <is>
          <t>85 CASANARE</t>
        </is>
      </c>
    </row>
    <row r="1059">
      <c r="A1059" t="inlineStr">
        <is>
          <t>85015 Chameza</t>
        </is>
      </c>
      <c r="B1059" t="inlineStr">
        <is>
          <t>85 CASANARE</t>
        </is>
      </c>
    </row>
    <row r="1060">
      <c r="A1060" t="inlineStr">
        <is>
          <t>85125 Hato Corozal</t>
        </is>
      </c>
      <c r="B1060" t="inlineStr">
        <is>
          <t>85 CASANARE</t>
        </is>
      </c>
    </row>
    <row r="1061">
      <c r="A1061" t="inlineStr">
        <is>
          <t>85136 La Salina</t>
        </is>
      </c>
      <c r="B1061" t="inlineStr">
        <is>
          <t>85 CASANARE</t>
        </is>
      </c>
    </row>
    <row r="1062">
      <c r="A1062" t="inlineStr">
        <is>
          <t>85139 Mani</t>
        </is>
      </c>
      <c r="B1062" t="inlineStr">
        <is>
          <t>85 CASANARE</t>
        </is>
      </c>
    </row>
    <row r="1063">
      <c r="A1063" t="inlineStr">
        <is>
          <t>85162 Monterrey</t>
        </is>
      </c>
      <c r="B1063" t="inlineStr">
        <is>
          <t>85 CASANARE</t>
        </is>
      </c>
    </row>
    <row r="1064">
      <c r="A1064" t="inlineStr">
        <is>
          <t>85225 Nunchia</t>
        </is>
      </c>
      <c r="B1064" t="inlineStr">
        <is>
          <t>85 CASANARE</t>
        </is>
      </c>
    </row>
    <row r="1065">
      <c r="A1065" t="inlineStr">
        <is>
          <t>85230 Orocue</t>
        </is>
      </c>
      <c r="B1065" t="inlineStr">
        <is>
          <t>85 CASANARE</t>
        </is>
      </c>
    </row>
    <row r="1066">
      <c r="A1066" t="inlineStr">
        <is>
          <t>85250 Paz de Ariporo</t>
        </is>
      </c>
      <c r="B1066" t="inlineStr">
        <is>
          <t>85 CASANARE</t>
        </is>
      </c>
    </row>
    <row r="1067">
      <c r="A1067" t="inlineStr">
        <is>
          <t>85263 Pore</t>
        </is>
      </c>
      <c r="B1067" t="inlineStr">
        <is>
          <t>85 CASANARE</t>
        </is>
      </c>
    </row>
    <row r="1068">
      <c r="A1068" t="inlineStr">
        <is>
          <t>85279 Recetor</t>
        </is>
      </c>
      <c r="B1068" t="inlineStr">
        <is>
          <t>85 CASANARE</t>
        </is>
      </c>
    </row>
    <row r="1069">
      <c r="A1069" t="inlineStr">
        <is>
          <t>85300 Sabanalarga</t>
        </is>
      </c>
      <c r="B1069" t="inlineStr">
        <is>
          <t>85 CASANARE</t>
        </is>
      </c>
    </row>
    <row r="1070">
      <c r="A1070" t="inlineStr">
        <is>
          <t>85315 Sacama</t>
        </is>
      </c>
      <c r="B1070" t="inlineStr">
        <is>
          <t>85 CASANARE</t>
        </is>
      </c>
    </row>
    <row r="1071">
      <c r="A1071" t="inlineStr">
        <is>
          <t>85325 San Luis de Palenque</t>
        </is>
      </c>
      <c r="B1071" t="inlineStr">
        <is>
          <t>85 CASANARE</t>
        </is>
      </c>
    </row>
    <row r="1072">
      <c r="A1072" t="inlineStr">
        <is>
          <t>85400 Tamara</t>
        </is>
      </c>
      <c r="B1072" t="inlineStr">
        <is>
          <t>85 CASANARE</t>
        </is>
      </c>
    </row>
    <row r="1073">
      <c r="A1073" t="inlineStr">
        <is>
          <t>85410 Tauramena</t>
        </is>
      </c>
      <c r="B1073" t="inlineStr">
        <is>
          <t>85 CASANARE</t>
        </is>
      </c>
    </row>
    <row r="1074">
      <c r="A1074" t="inlineStr">
        <is>
          <t>85430 Trinidad</t>
        </is>
      </c>
      <c r="B1074" t="inlineStr">
        <is>
          <t>85 CASANARE</t>
        </is>
      </c>
    </row>
    <row r="1075">
      <c r="A1075" t="inlineStr">
        <is>
          <t>85440 Villanueva</t>
        </is>
      </c>
      <c r="B1075" t="inlineStr">
        <is>
          <t>85 CASANARE</t>
        </is>
      </c>
    </row>
    <row r="1076">
      <c r="A1076" t="inlineStr">
        <is>
          <t>86001 Mocoa</t>
        </is>
      </c>
      <c r="B1076" t="inlineStr">
        <is>
          <t>86 PUTUMAYO</t>
        </is>
      </c>
    </row>
    <row r="1077">
      <c r="A1077" t="inlineStr">
        <is>
          <t>86219 Colon</t>
        </is>
      </c>
      <c r="B1077" t="inlineStr">
        <is>
          <t>86 PUTUMAYO</t>
        </is>
      </c>
    </row>
    <row r="1078">
      <c r="A1078" t="inlineStr">
        <is>
          <t>86320 Orito</t>
        </is>
      </c>
      <c r="B1078" t="inlineStr">
        <is>
          <t>86 PUTUMAYO</t>
        </is>
      </c>
    </row>
    <row r="1079">
      <c r="A1079" t="inlineStr">
        <is>
          <t>86568 Puerto Asis</t>
        </is>
      </c>
      <c r="B1079" t="inlineStr">
        <is>
          <t>86 PUTUMAYO</t>
        </is>
      </c>
    </row>
    <row r="1080">
      <c r="A1080" t="inlineStr">
        <is>
          <t>86569 Puerto Caicedo</t>
        </is>
      </c>
      <c r="B1080" t="inlineStr">
        <is>
          <t>86 PUTUMAYO</t>
        </is>
      </c>
    </row>
    <row r="1081">
      <c r="A1081" t="inlineStr">
        <is>
          <t>86571 Puerto Guzman</t>
        </is>
      </c>
      <c r="B1081" t="inlineStr">
        <is>
          <t>86 PUTUMAYO</t>
        </is>
      </c>
    </row>
    <row r="1082">
      <c r="A1082" t="inlineStr">
        <is>
          <t>86573 Leguizamo</t>
        </is>
      </c>
      <c r="B1082" t="inlineStr">
        <is>
          <t>86 PUTUMAYO</t>
        </is>
      </c>
    </row>
    <row r="1083">
      <c r="A1083" t="inlineStr">
        <is>
          <t>86749 Sibundoy</t>
        </is>
      </c>
      <c r="B1083" t="inlineStr">
        <is>
          <t>86 PUTUMAYO</t>
        </is>
      </c>
    </row>
    <row r="1084">
      <c r="A1084" t="inlineStr">
        <is>
          <t>86755 San Francisco</t>
        </is>
      </c>
      <c r="B1084" t="inlineStr">
        <is>
          <t>86 PUTUMAYO</t>
        </is>
      </c>
    </row>
    <row r="1085">
      <c r="A1085" t="inlineStr">
        <is>
          <t>86757 San Miguel</t>
        </is>
      </c>
      <c r="B1085" t="inlineStr">
        <is>
          <t>86 PUTUMAYO</t>
        </is>
      </c>
    </row>
    <row r="1086">
      <c r="A1086" t="inlineStr">
        <is>
          <t>86760 Santiago</t>
        </is>
      </c>
      <c r="B1086" t="inlineStr">
        <is>
          <t>86 PUTUMAYO</t>
        </is>
      </c>
    </row>
    <row r="1087">
      <c r="A1087" t="inlineStr">
        <is>
          <t>86865 Valle del Guamuez</t>
        </is>
      </c>
      <c r="B1087" t="inlineStr">
        <is>
          <t>86 PUTUMAYO</t>
        </is>
      </c>
    </row>
    <row r="1088">
      <c r="A1088" t="inlineStr">
        <is>
          <t>86885 Villagarzon</t>
        </is>
      </c>
      <c r="B1088" t="inlineStr">
        <is>
          <t>86 PUTUMAYO</t>
        </is>
      </c>
    </row>
    <row r="1089">
      <c r="A1089" t="inlineStr">
        <is>
          <t>88001 San Andres</t>
        </is>
      </c>
      <c r="B1089" t="inlineStr">
        <is>
          <t>88 SAN_ANDRES_ISLAS</t>
        </is>
      </c>
    </row>
    <row r="1090">
      <c r="A1090" t="inlineStr">
        <is>
          <t>88564 Providencia</t>
        </is>
      </c>
      <c r="B1090" t="inlineStr">
        <is>
          <t>88 SAN_ANDRES_ISLAS</t>
        </is>
      </c>
    </row>
    <row r="1091">
      <c r="A1091" t="inlineStr">
        <is>
          <t>91001 Leticia</t>
        </is>
      </c>
      <c r="B1091" t="inlineStr">
        <is>
          <t>91 AMAZONAS</t>
        </is>
      </c>
    </row>
    <row r="1092">
      <c r="A1092" t="inlineStr">
        <is>
          <t>91263 El Encanto (ANM)</t>
        </is>
      </c>
      <c r="B1092" t="inlineStr">
        <is>
          <t>91 AMAZONAS</t>
        </is>
      </c>
    </row>
    <row r="1093">
      <c r="A1093" t="inlineStr">
        <is>
          <t>91405 La Chorrera (ANM)</t>
        </is>
      </c>
      <c r="B1093" t="inlineStr">
        <is>
          <t>91 AMAZONAS</t>
        </is>
      </c>
    </row>
    <row r="1094">
      <c r="A1094" t="inlineStr">
        <is>
          <t>91407 La Pedrera (ANM)</t>
        </is>
      </c>
      <c r="B1094" t="inlineStr">
        <is>
          <t>91 AMAZONAS</t>
        </is>
      </c>
    </row>
    <row r="1095">
      <c r="A1095" t="inlineStr">
        <is>
          <t>91430 La Victoria (ANM)</t>
        </is>
      </c>
      <c r="B1095" t="inlineStr">
        <is>
          <t>91 AMAZONAS</t>
        </is>
      </c>
    </row>
    <row r="1096">
      <c r="A1096" t="inlineStr">
        <is>
          <t>91460 Miriti - Parana (ANM)</t>
        </is>
      </c>
      <c r="B1096" t="inlineStr">
        <is>
          <t>91 AMAZONAS</t>
        </is>
      </c>
    </row>
    <row r="1097">
      <c r="A1097" t="inlineStr">
        <is>
          <t>91530 Puerto Alegria (ANM)</t>
        </is>
      </c>
      <c r="B1097" t="inlineStr">
        <is>
          <t>91 AMAZONAS</t>
        </is>
      </c>
    </row>
    <row r="1098">
      <c r="A1098" t="inlineStr">
        <is>
          <t>91536 Puerto Arica (ANM)</t>
        </is>
      </c>
      <c r="B1098" t="inlineStr">
        <is>
          <t>91 AMAZONAS</t>
        </is>
      </c>
    </row>
    <row r="1099">
      <c r="A1099" t="inlineStr">
        <is>
          <t>91540 Puerto Nariño</t>
        </is>
      </c>
      <c r="B1099" t="inlineStr">
        <is>
          <t>91 AMAZONAS</t>
        </is>
      </c>
    </row>
    <row r="1100">
      <c r="A1100" t="inlineStr">
        <is>
          <t>91669 Puerto Santander (ANM)</t>
        </is>
      </c>
      <c r="B1100" t="inlineStr">
        <is>
          <t>91 AMAZONAS</t>
        </is>
      </c>
    </row>
    <row r="1101">
      <c r="A1101" t="inlineStr">
        <is>
          <t>91798 Tarapaca (ANM)</t>
        </is>
      </c>
      <c r="B1101" t="inlineStr">
        <is>
          <t>91 AMAZONAS</t>
        </is>
      </c>
    </row>
    <row r="1102">
      <c r="A1102" t="inlineStr">
        <is>
          <t>94001 Inirida</t>
        </is>
      </c>
      <c r="B1102" t="inlineStr">
        <is>
          <t>94 GUAINIA</t>
        </is>
      </c>
    </row>
    <row r="1103">
      <c r="A1103" t="inlineStr">
        <is>
          <t>94343 Barranco Minas (ANM)</t>
        </is>
      </c>
      <c r="B1103" t="inlineStr">
        <is>
          <t>94 GUAINIA</t>
        </is>
      </c>
    </row>
    <row r="1104">
      <c r="A1104" t="inlineStr">
        <is>
          <t>94663 Mapiripana (ANM)</t>
        </is>
      </c>
      <c r="B1104" t="inlineStr">
        <is>
          <t>94 GUAINIA</t>
        </is>
      </c>
    </row>
    <row r="1105">
      <c r="A1105" t="inlineStr">
        <is>
          <t>94883 San Felipe (ANM)</t>
        </is>
      </c>
      <c r="B1105" t="inlineStr">
        <is>
          <t>94 GUAINIA</t>
        </is>
      </c>
    </row>
    <row r="1106">
      <c r="A1106" t="inlineStr">
        <is>
          <t>94884 Puerto Colombia (ANM)</t>
        </is>
      </c>
      <c r="B1106" t="inlineStr">
        <is>
          <t>94 GUAINIA</t>
        </is>
      </c>
    </row>
    <row r="1107">
      <c r="A1107" t="inlineStr">
        <is>
          <t>94885 La Guadalupe (ANM)</t>
        </is>
      </c>
      <c r="B1107" t="inlineStr">
        <is>
          <t>94 GUAINIA</t>
        </is>
      </c>
    </row>
    <row r="1108">
      <c r="A1108" t="inlineStr">
        <is>
          <t>94886 Cacahual (ANM)</t>
        </is>
      </c>
      <c r="B1108" t="inlineStr">
        <is>
          <t>94 GUAINIA</t>
        </is>
      </c>
    </row>
    <row r="1109">
      <c r="A1109" t="inlineStr">
        <is>
          <t>94887 Pana Pana (ANM)</t>
        </is>
      </c>
      <c r="B1109" t="inlineStr">
        <is>
          <t>94 GUAINIA</t>
        </is>
      </c>
    </row>
    <row r="1110">
      <c r="A1110" t="inlineStr">
        <is>
          <t>94888 Morichal (ANM)</t>
        </is>
      </c>
      <c r="B1110" t="inlineStr">
        <is>
          <t>94 GUAINIA</t>
        </is>
      </c>
    </row>
    <row r="1111">
      <c r="A1111" t="inlineStr">
        <is>
          <t>95001 San Jose del Guaviare</t>
        </is>
      </c>
      <c r="B1111" t="inlineStr">
        <is>
          <t>95 GUAVIARE</t>
        </is>
      </c>
    </row>
    <row r="1112">
      <c r="A1112" t="inlineStr">
        <is>
          <t>95015 Calamar</t>
        </is>
      </c>
      <c r="B1112" t="inlineStr">
        <is>
          <t>95 GUAVIARE</t>
        </is>
      </c>
    </row>
    <row r="1113">
      <c r="A1113" t="inlineStr">
        <is>
          <t>95025 El Retorno</t>
        </is>
      </c>
      <c r="B1113" t="inlineStr">
        <is>
          <t>95 GUAVIARE</t>
        </is>
      </c>
    </row>
    <row r="1114">
      <c r="A1114" t="inlineStr">
        <is>
          <t>95200 Miraflores</t>
        </is>
      </c>
      <c r="B1114" t="inlineStr">
        <is>
          <t>95 GUAVIARE</t>
        </is>
      </c>
    </row>
    <row r="1115">
      <c r="A1115" t="inlineStr">
        <is>
          <t>97001 Mitu</t>
        </is>
      </c>
      <c r="B1115" t="inlineStr">
        <is>
          <t>97 VAUPES</t>
        </is>
      </c>
    </row>
    <row r="1116">
      <c r="A1116" t="inlineStr">
        <is>
          <t>97161 Caruru</t>
        </is>
      </c>
      <c r="B1116" t="inlineStr">
        <is>
          <t>97 VAUPES</t>
        </is>
      </c>
    </row>
    <row r="1117">
      <c r="A1117" t="inlineStr">
        <is>
          <t>97511 Pacoa (ANM)</t>
        </is>
      </c>
      <c r="B1117" t="inlineStr">
        <is>
          <t>97 VAUPES</t>
        </is>
      </c>
    </row>
    <row r="1118">
      <c r="A1118" t="inlineStr">
        <is>
          <t>97666 Taraira</t>
        </is>
      </c>
      <c r="B1118" t="inlineStr">
        <is>
          <t>97 VAUPES</t>
        </is>
      </c>
    </row>
    <row r="1119">
      <c r="A1119" t="inlineStr">
        <is>
          <t>97777 Papunaua (ANM)</t>
        </is>
      </c>
      <c r="B1119" t="inlineStr">
        <is>
          <t>97 VAUPES</t>
        </is>
      </c>
    </row>
    <row r="1120">
      <c r="A1120" t="inlineStr">
        <is>
          <t>97889 Yavarate (ANM)</t>
        </is>
      </c>
      <c r="B1120" t="inlineStr">
        <is>
          <t>97 VAUPES</t>
        </is>
      </c>
    </row>
    <row r="1121">
      <c r="A1121" t="inlineStr">
        <is>
          <t>99001 Puerto Carreño</t>
        </is>
      </c>
      <c r="B1121" t="inlineStr">
        <is>
          <t>99 VICHADA</t>
        </is>
      </c>
    </row>
    <row r="1122">
      <c r="A1122" t="inlineStr">
        <is>
          <t>99524 La Primavera</t>
        </is>
      </c>
      <c r="B1122" t="inlineStr">
        <is>
          <t>99 VICHADA</t>
        </is>
      </c>
    </row>
    <row r="1123">
      <c r="A1123" t="inlineStr">
        <is>
          <t>99624 Santa Rosalia</t>
        </is>
      </c>
      <c r="B1123" t="inlineStr">
        <is>
          <t>99 VICHADA</t>
        </is>
      </c>
    </row>
    <row r="1124">
      <c r="A1124" t="inlineStr">
        <is>
          <t>99773 Cumaribo</t>
        </is>
      </c>
      <c r="B1124" t="inlineStr">
        <is>
          <t>99 VICHADA</t>
        </is>
      </c>
    </row>
  </sheetData>
  <sheetProtection selectLockedCells="0" selectUnlockedCells="0" algorithmName="SHA-512" sheet="1" objects="1" insertRows="1" insertHyperlinks="1" autoFilter="1" scenarios="1" formatColumns="1" deleteColumns="1" insertColumns="1" pivotTables="1" deleteRows="1" formatCells="1" saltValue="6giOpGfb37idy1xvcn1urA==" formatRows="1" sort="1" spinCount="100000" hashValue="v3tkQm4DFEdrLUuLikvvkckek6u5CGzn251pR/UG8vHlk1ed4NHfHXZU9Vb69/HXnW3Jt9x++d6u9kBvAU6b/w=="/>
  <autoFilter ref="A1">
    <sortState ref="A2:A39">
      <sortCondition ref="A1"/>
    </sortState>
  </autoFilter>
  <pageMargins left="0.7" right="0.7" top="0.75" bottom="0.75" header="0.3" footer="0.3"/>
</worksheet>
</file>

<file path=xl/worksheets/sheet2.xml><?xml version="1.0" encoding="utf-8"?>
<worksheet xmlns="http://schemas.openxmlformats.org/spreadsheetml/2006/main">
  <sheetPr codeName="Hoja17">
    <outlinePr summaryBelow="1" summaryRight="1"/>
    <pageSetUpPr/>
  </sheetPr>
  <dimension ref="A1:A39"/>
  <sheetViews>
    <sheetView workbookViewId="0">
      <selection activeCell="A1" sqref="A1"/>
    </sheetView>
  </sheetViews>
  <sheetFormatPr baseColWidth="10" defaultColWidth="10.77734375" defaultRowHeight="14.4"/>
  <cols>
    <col width="15.21875" customWidth="1" min="1" max="1"/>
  </cols>
  <sheetData>
    <row r="1">
      <c r="A1" t="inlineStr">
        <is>
          <t>Código Depto</t>
        </is>
      </c>
    </row>
    <row r="2">
      <c r="A2" t="inlineStr">
        <is>
          <t>05 ANTIOQUIA</t>
        </is>
      </c>
    </row>
    <row r="3">
      <c r="A3" t="inlineStr">
        <is>
          <t>08 ATLANTICO</t>
        </is>
      </c>
    </row>
    <row r="4">
      <c r="A4" t="inlineStr">
        <is>
          <t>08 BARRANQUILLA</t>
        </is>
      </c>
    </row>
    <row r="5">
      <c r="A5" t="inlineStr">
        <is>
          <t>11 BOGOTA D.C.</t>
        </is>
      </c>
    </row>
    <row r="6">
      <c r="A6" t="inlineStr">
        <is>
          <t>13 BOLIVAR</t>
        </is>
      </c>
    </row>
    <row r="7">
      <c r="A7" t="inlineStr">
        <is>
          <t>13 CARTAGENA</t>
        </is>
      </c>
    </row>
    <row r="8">
      <c r="A8" t="inlineStr">
        <is>
          <t>15 BOYACA</t>
        </is>
      </c>
    </row>
    <row r="9">
      <c r="A9" t="inlineStr">
        <is>
          <t>17 CALDAS</t>
        </is>
      </c>
    </row>
    <row r="10">
      <c r="A10" t="inlineStr">
        <is>
          <t>18 CAQUETA</t>
        </is>
      </c>
    </row>
    <row r="11">
      <c r="A11" t="inlineStr">
        <is>
          <t>19 CAUCA</t>
        </is>
      </c>
    </row>
    <row r="12">
      <c r="A12" t="inlineStr">
        <is>
          <t>20 CESAR</t>
        </is>
      </c>
    </row>
    <row r="13">
      <c r="A13" t="inlineStr">
        <is>
          <t>23 CORDOBA</t>
        </is>
      </c>
    </row>
    <row r="14">
      <c r="A14" t="inlineStr">
        <is>
          <t>25 CUNDINAMARCA</t>
        </is>
      </c>
    </row>
    <row r="15">
      <c r="A15" t="inlineStr">
        <is>
          <t>27 CHOCO</t>
        </is>
      </c>
    </row>
    <row r="16">
      <c r="A16" t="inlineStr">
        <is>
          <t>41 HUILA</t>
        </is>
      </c>
    </row>
    <row r="17">
      <c r="A17" t="inlineStr">
        <is>
          <t>44 LA_GUAJIRA</t>
        </is>
      </c>
    </row>
    <row r="18">
      <c r="A18" t="inlineStr">
        <is>
          <t>47 MAGDALENA</t>
        </is>
      </c>
    </row>
    <row r="19">
      <c r="A19" t="inlineStr">
        <is>
          <t>47 SANTA MARTHA</t>
        </is>
      </c>
    </row>
    <row r="20">
      <c r="A20" t="inlineStr">
        <is>
          <t>50 META</t>
        </is>
      </c>
    </row>
    <row r="21">
      <c r="A21" t="inlineStr">
        <is>
          <t>52 NARIÑO</t>
        </is>
      </c>
    </row>
    <row r="22">
      <c r="A22" t="inlineStr">
        <is>
          <t>54 NORTE DE SANTANDER</t>
        </is>
      </c>
    </row>
    <row r="23">
      <c r="A23" t="inlineStr">
        <is>
          <t>63 QUINDIO</t>
        </is>
      </c>
    </row>
    <row r="24">
      <c r="A24" t="inlineStr">
        <is>
          <t>66 RISARALDA</t>
        </is>
      </c>
    </row>
    <row r="25">
      <c r="A25" t="inlineStr">
        <is>
          <t>68 SANTANDER</t>
        </is>
      </c>
    </row>
    <row r="26">
      <c r="A26" t="inlineStr">
        <is>
          <t>70 SUCRE</t>
        </is>
      </c>
    </row>
    <row r="27">
      <c r="A27" t="inlineStr">
        <is>
          <t>73 TOLIMA</t>
        </is>
      </c>
    </row>
    <row r="28">
      <c r="A28" t="inlineStr">
        <is>
          <t>76 BUENAVENTURA</t>
        </is>
      </c>
    </row>
    <row r="29">
      <c r="A29" t="inlineStr">
        <is>
          <t>76 CALI</t>
        </is>
      </c>
    </row>
    <row r="30">
      <c r="A30" t="inlineStr">
        <is>
          <t>76 VALLE_DEL_CAUCA</t>
        </is>
      </c>
    </row>
    <row r="31">
      <c r="A31" t="inlineStr">
        <is>
          <t>81 ARAUCA</t>
        </is>
      </c>
    </row>
    <row r="32">
      <c r="A32" t="inlineStr">
        <is>
          <t>85 CASANARE</t>
        </is>
      </c>
    </row>
    <row r="33">
      <c r="A33" t="inlineStr">
        <is>
          <t>86 PUTUMAYO</t>
        </is>
      </c>
    </row>
    <row r="34">
      <c r="A34" t="inlineStr">
        <is>
          <t>88 SAN_ANDRES_ISLAS</t>
        </is>
      </c>
    </row>
    <row r="35">
      <c r="A35" t="inlineStr">
        <is>
          <t>91 AMAZONAS</t>
        </is>
      </c>
    </row>
    <row r="36">
      <c r="A36" t="inlineStr">
        <is>
          <t>94 GUAINIA</t>
        </is>
      </c>
    </row>
    <row r="37">
      <c r="A37" t="inlineStr">
        <is>
          <t>95 GUAVIARE</t>
        </is>
      </c>
    </row>
    <row r="38">
      <c r="A38" t="inlineStr">
        <is>
          <t>97 VAUPES</t>
        </is>
      </c>
    </row>
    <row r="39">
      <c r="A39" t="inlineStr">
        <is>
          <t>99 VICHADA</t>
        </is>
      </c>
    </row>
  </sheetData>
  <sheetProtection selectLockedCells="0" selectUnlockedCells="0" algorithmName="SHA-512" sheet="1" objects="1" insertRows="1" insertHyperlinks="1" autoFilter="1" scenarios="1" formatColumns="1" deleteColumns="1" insertColumns="1" pivotTables="1" deleteRows="1" formatCells="1" saltValue="Ymdsq1dOXGiQBzSsqxsqBA==" formatRows="1" sort="1" spinCount="100000" hashValue="FY6TxmsYeUg+UBRHIDyMcE1LslW+wO5d626BuKGtUBqOymgUSbj3ripHfFIPgyc6uTrokxwdhliCB9j6Ka+N5g=="/>
  <autoFilter ref="A1:D1123">
    <sortState ref="A2:B1123">
      <sortCondition ref="A1:A1123"/>
    </sortState>
  </autoFilter>
  <pageMargins left="0.7" right="0.7" top="0.75" bottom="0.75" header="0.3" footer="0.3"/>
</worksheet>
</file>

<file path=xl/worksheets/sheet3.xml><?xml version="1.0" encoding="utf-8"?>
<worksheet xmlns="http://schemas.openxmlformats.org/spreadsheetml/2006/main">
  <sheetPr codeName="Hoja14">
    <tabColor theme="7" tint="0.5999938962981048"/>
    <outlinePr summaryBelow="1" summaryRight="1"/>
    <pageSetUpPr/>
  </sheetPr>
  <dimension ref="A1:AO422"/>
  <sheetViews>
    <sheetView workbookViewId="0">
      <selection activeCell="A1" sqref="A1"/>
    </sheetView>
  </sheetViews>
  <sheetFormatPr baseColWidth="10" defaultColWidth="11.44140625" defaultRowHeight="13.8"/>
  <cols>
    <col width="28.77734375" customWidth="1" style="1" min="1" max="1"/>
    <col width="26" customWidth="1" style="1" min="2" max="2"/>
    <col width="13.77734375" customWidth="1" style="2" min="3" max="4"/>
    <col width="21.21875" customWidth="1" style="2" min="5" max="5"/>
    <col width="16.21875" customWidth="1" style="2" min="6" max="6"/>
    <col width="15.21875" customWidth="1" style="2" min="7" max="8"/>
    <col width="18.21875" customWidth="1" style="4" min="9" max="10"/>
    <col width="15.77734375" customWidth="1" style="4" min="11" max="11"/>
    <col width="15.21875" customWidth="1" style="4" min="12" max="12"/>
    <col width="15.44140625" customWidth="1" style="4" min="13" max="13"/>
    <col width="15.21875" customWidth="1" style="4" min="14" max="14"/>
    <col hidden="1" width="15.44140625" customWidth="1" style="4" min="15" max="15"/>
    <col width="4.77734375" customWidth="1" style="2" min="16" max="16"/>
    <col width="13.21875" customWidth="1" style="2" min="17" max="18"/>
    <col width="15.21875" customWidth="1" style="2" min="19" max="19"/>
    <col width="13.5546875" customWidth="1" style="2" min="20" max="20"/>
    <col width="16" customWidth="1" style="2" min="21" max="21"/>
    <col width="13" customWidth="1" style="2" min="22" max="22"/>
    <col width="16.21875" customWidth="1" style="2" min="23" max="23"/>
    <col width="15.21875" customWidth="1" style="2" min="24" max="25"/>
    <col width="14" customWidth="1" style="2" min="26" max="26"/>
    <col width="11.21875" customWidth="1" style="2" min="27" max="27"/>
    <col width="19.5546875" customWidth="1" style="5" min="28" max="28"/>
    <col width="11.44140625" customWidth="1" style="2" min="29" max="29"/>
    <col width="5.77734375" customWidth="1" style="2" min="30" max="30"/>
    <col hidden="1" style="2" min="31" max="34"/>
    <col width="11.44140625" customWidth="1" style="2" min="35" max="38"/>
    <col width="27.44140625" customWidth="1" style="2" min="39" max="39"/>
    <col width="23.21875" customWidth="1" style="2" min="40" max="40"/>
    <col width="11.44140625" customWidth="1" style="2" min="41" max="16384"/>
  </cols>
  <sheetData>
    <row r="1" ht="17.4" customHeight="1">
      <c r="E1" s="3" t="n"/>
      <c r="F1" s="3" t="n"/>
      <c r="G1" s="3" t="n"/>
      <c r="H1" s="3" t="n"/>
    </row>
    <row r="2" ht="22.8" customHeight="1">
      <c r="E2" s="6" t="inlineStr">
        <is>
          <t>DIRECCION DE PROMOCIÓN Y PREVENCIÓN - SUBDIRECCION DE ENFERMEDADES TRANSMISIBLES</t>
        </is>
      </c>
      <c r="F2" s="7" t="n"/>
      <c r="G2" s="7" t="n"/>
      <c r="H2" s="7" t="n"/>
      <c r="I2" s="8" t="n"/>
      <c r="J2" s="8" t="n"/>
      <c r="K2" s="8" t="n"/>
      <c r="L2" s="8" t="n"/>
      <c r="M2" s="8" t="n"/>
      <c r="N2" s="8" t="n"/>
      <c r="O2" s="8" t="n"/>
      <c r="P2" s="9" t="n"/>
      <c r="Q2" s="9" t="n"/>
    </row>
    <row r="3" ht="17.4" customHeight="1">
      <c r="E3" s="3" t="inlineStr">
        <is>
          <t>GRUPO DE INMUNOPREVENIBLES - PROGRAMA AMPLIADO DE INMUNIZACIONES</t>
        </is>
      </c>
      <c r="F3" s="3" t="n"/>
      <c r="G3" s="3" t="n"/>
      <c r="H3" s="3" t="n"/>
    </row>
    <row r="4" ht="17.4" customHeight="1">
      <c r="E4" s="3" t="inlineStr">
        <is>
          <t xml:space="preserve">INFORME MOVIMIENTO MENSUAL DE BIOLÓGICOS </t>
        </is>
      </c>
      <c r="F4" s="3" t="n"/>
      <c r="G4" s="3" t="n"/>
      <c r="H4" s="3" t="n"/>
    </row>
    <row r="5" ht="6.75" customHeight="1" thickBot="1">
      <c r="E5" s="3" t="n"/>
      <c r="F5" s="3" t="n"/>
      <c r="G5" s="3" t="n"/>
      <c r="H5" s="3" t="n"/>
    </row>
    <row r="6" ht="28.5" customHeight="1" thickBot="1">
      <c r="A6" s="10" t="inlineStr">
        <is>
          <t>ENTIDAD TERRITORIAL</t>
        </is>
      </c>
      <c r="B6" s="11" t="inlineStr">
        <is>
          <t>META</t>
        </is>
      </c>
      <c r="E6" s="10" t="inlineStr">
        <is>
          <t>MES:</t>
        </is>
      </c>
      <c r="F6" s="10" t="n"/>
      <c r="G6" s="10" t="n"/>
      <c r="H6" s="11" t="inlineStr">
        <is>
          <t>MARZO</t>
        </is>
      </c>
      <c r="I6" s="962" t="n"/>
      <c r="K6" s="3" t="inlineStr">
        <is>
          <t>AÑO:</t>
        </is>
      </c>
      <c r="L6" s="12" t="n">
        <v>2022</v>
      </c>
      <c r="R6" s="3" t="n"/>
    </row>
    <row r="7" ht="8.25" customHeight="1">
      <c r="E7" s="3" t="n"/>
      <c r="F7" s="3" t="n"/>
      <c r="G7" s="3" t="n"/>
      <c r="H7" s="3" t="n"/>
    </row>
    <row r="8" ht="22.5" customHeight="1" thickBot="1">
      <c r="A8" s="761" t="inlineStr">
        <is>
          <t>CENTRO DE ACOPIO (corresponde al movimiento de insumos del centro de acopio departamental o distrital)</t>
        </is>
      </c>
      <c r="B8" s="963" t="n"/>
      <c r="C8" s="963" t="n"/>
      <c r="D8" s="963" t="n"/>
      <c r="E8" s="963" t="n"/>
      <c r="F8" s="963" t="n"/>
      <c r="G8" s="963" t="n"/>
      <c r="H8" s="963" t="n"/>
      <c r="I8" s="963" t="n"/>
      <c r="J8" s="963" t="n"/>
      <c r="K8" s="963" t="n"/>
      <c r="L8" s="963" t="n"/>
      <c r="M8" s="963" t="n"/>
      <c r="N8" s="146" t="n"/>
      <c r="O8" s="762" t="n"/>
      <c r="P8" s="13" t="n"/>
      <c r="Q8" s="13" t="n"/>
      <c r="R8" s="13" t="n"/>
      <c r="S8" s="13" t="n"/>
      <c r="T8" s="13" t="n"/>
      <c r="U8" s="13" t="n"/>
      <c r="V8" s="13" t="n"/>
      <c r="W8" s="13" t="n"/>
      <c r="X8" s="13" t="n"/>
      <c r="Y8" s="13" t="n"/>
      <c r="Z8" s="13" t="n"/>
      <c r="AA8" s="13" t="n"/>
      <c r="AB8" s="13" t="n"/>
    </row>
    <row r="9" ht="19.5" customHeight="1">
      <c r="A9" s="964" t="inlineStr">
        <is>
          <t>INSUMOS</t>
        </is>
      </c>
      <c r="B9" s="965" t="n"/>
      <c r="C9" s="757" t="inlineStr">
        <is>
          <t>SALDO MES ANTERIOR</t>
        </is>
      </c>
      <c r="D9" s="757" t="inlineStr">
        <is>
          <t>ENTRADAS</t>
        </is>
      </c>
      <c r="E9" s="966" t="inlineStr">
        <is>
          <t>ENTRADA</t>
        </is>
      </c>
      <c r="F9" s="967" t="n"/>
      <c r="G9" s="966" t="inlineStr">
        <is>
          <t>SALIDAS</t>
        </is>
      </c>
      <c r="H9" s="968" t="n"/>
      <c r="I9" s="967" t="n"/>
      <c r="J9" s="770" t="inlineStr">
        <is>
          <t>SALDO QUE INICIA EL MES SIGUIENTE</t>
        </is>
      </c>
      <c r="K9" s="770" t="inlineStr">
        <is>
          <t>CANTIDAD EN DOSIS</t>
        </is>
      </c>
      <c r="L9" s="772" t="inlineStr">
        <is>
          <t xml:space="preserve">LOTE </t>
        </is>
      </c>
      <c r="M9" s="795" t="inlineStr">
        <is>
          <t>FECHA DE VENCIMIENTO</t>
        </is>
      </c>
      <c r="N9" s="796" t="inlineStr">
        <is>
          <t>CONTROL 
DIGITAL POR VENTANA DE USO</t>
        </is>
      </c>
      <c r="O9" s="161" t="n"/>
      <c r="Q9" s="797" t="inlineStr">
        <is>
          <t xml:space="preserve">CAUSAS DE PERDIDA DE BIOLÓGICO </t>
        </is>
      </c>
      <c r="R9" s="969" t="n"/>
      <c r="S9" s="969" t="n"/>
      <c r="T9" s="969" t="n"/>
      <c r="U9" s="969" t="n"/>
      <c r="V9" s="969" t="n"/>
      <c r="W9" s="969" t="n"/>
      <c r="X9" s="969" t="n"/>
      <c r="Y9" s="969" t="n"/>
      <c r="Z9" s="969" t="n"/>
      <c r="AA9" s="969" t="n"/>
      <c r="AB9" s="970" t="n"/>
      <c r="AC9" s="753" t="inlineStr">
        <is>
          <t xml:space="preserve">TOTAL DOSIS PERDIDAS        </t>
        </is>
      </c>
      <c r="AE9" s="756" t="inlineStr">
        <is>
          <t>PORCENTAJE DE PERDIDA</t>
        </is>
      </c>
    </row>
    <row r="10" ht="28.5" customHeight="1">
      <c r="A10" s="971" t="n"/>
      <c r="B10" s="972" t="n"/>
      <c r="C10" s="973" t="n"/>
      <c r="D10" s="973" t="n"/>
      <c r="E10" s="757" t="inlineStr">
        <is>
          <t>DESPACHOS</t>
        </is>
      </c>
      <c r="F10" s="757" t="inlineStr">
        <is>
          <t>TRASLADOS RECIBIDOS</t>
        </is>
      </c>
      <c r="G10" s="757" t="inlineStr">
        <is>
          <t>DESPACHOS</t>
        </is>
      </c>
      <c r="H10" s="757" t="inlineStr">
        <is>
          <t>TRASLADOS ENVIADOS</t>
        </is>
      </c>
      <c r="I10" s="757" t="inlineStr">
        <is>
          <t>DOSIS PERDIDAS</t>
        </is>
      </c>
      <c r="J10" s="973" t="n"/>
      <c r="K10" s="973" t="n"/>
      <c r="L10" s="971" t="n"/>
      <c r="M10" s="973" t="n"/>
      <c r="N10" s="973" t="n"/>
      <c r="O10" s="161" t="n"/>
      <c r="P10" s="5" t="n"/>
      <c r="Q10" s="794" t="inlineStr">
        <is>
          <t xml:space="preserve"> POR FRASCO ABIERTO  </t>
        </is>
      </c>
      <c r="R10" s="967" t="n"/>
      <c r="S10" s="788" t="inlineStr">
        <is>
          <t>INTERRUPCION DE CADENA DE FRIO</t>
        </is>
      </c>
      <c r="T10" s="792" t="inlineStr">
        <is>
          <t>APLICACIÓN FUERA DE LA EDAD</t>
        </is>
      </c>
      <c r="U10" s="792" t="inlineStr">
        <is>
          <t>CONTAMINACION DEL BIOLÓGICO/DISPOSITIVO MÉDICO</t>
        </is>
      </c>
      <c r="V10" s="788" t="inlineStr">
        <is>
          <t>FRASCO/VIAL  ROTO</t>
        </is>
      </c>
      <c r="W10" s="788" t="inlineStr">
        <is>
          <t>ERRORES EN LA MANIPULACION</t>
        </is>
      </c>
      <c r="X10" s="788" t="inlineStr">
        <is>
          <t>VENCIMIENTO DEL BIOLÓGICO/DISPOSITIVO MÉDICO</t>
        </is>
      </c>
      <c r="Y10" s="788" t="inlineStr">
        <is>
          <t>FARMACOVIGILANCIA/ TECNOVIGILANCIA</t>
        </is>
      </c>
      <c r="Z10" s="788" t="inlineStr">
        <is>
          <t>VOMITO FRANCO</t>
        </is>
      </c>
      <c r="AA10" s="788" t="inlineStr">
        <is>
          <t>SINIESTRO O ROBO</t>
        </is>
      </c>
      <c r="AB10" s="788" t="inlineStr">
        <is>
          <t>RECONSTITUCION BIOLÓGICO</t>
        </is>
      </c>
      <c r="AC10" s="974" t="n"/>
    </row>
    <row r="11" ht="15" customHeight="1">
      <c r="A11" s="971" t="n"/>
      <c r="B11" s="972" t="n"/>
      <c r="C11" s="973" t="n"/>
      <c r="D11" s="973" t="n"/>
      <c r="E11" s="973" t="n"/>
      <c r="F11" s="973" t="n"/>
      <c r="G11" s="973" t="n"/>
      <c r="H11" s="973" t="n"/>
      <c r="I11" s="973" t="n"/>
      <c r="J11" s="973" t="n"/>
      <c r="K11" s="973" t="n"/>
      <c r="L11" s="971" t="n"/>
      <c r="M11" s="973" t="n"/>
      <c r="N11" s="973" t="n"/>
      <c r="O11" s="161" t="n"/>
      <c r="Q11" s="790" t="inlineStr">
        <is>
          <t>INSTITUCIONAL</t>
        </is>
      </c>
      <c r="R11" s="792" t="inlineStr">
        <is>
          <t>EXTRAMURAL</t>
        </is>
      </c>
      <c r="S11" s="973" t="n"/>
      <c r="T11" s="973" t="n"/>
      <c r="U11" s="973" t="n"/>
      <c r="V11" s="973" t="n"/>
      <c r="W11" s="973" t="n"/>
      <c r="X11" s="973" t="n"/>
      <c r="Y11" s="973" t="n"/>
      <c r="Z11" s="973" t="n"/>
      <c r="AA11" s="973" t="n"/>
      <c r="AB11" s="973" t="n"/>
      <c r="AC11" s="974" t="n"/>
    </row>
    <row r="12" ht="24.75" customHeight="1" thickBot="1">
      <c r="A12" s="971" t="n"/>
      <c r="B12" s="972" t="n"/>
      <c r="C12" s="973" t="n"/>
      <c r="D12" s="973" t="n"/>
      <c r="E12" s="973" t="n"/>
      <c r="F12" s="973" t="n"/>
      <c r="G12" s="973" t="n"/>
      <c r="H12" s="973" t="n"/>
      <c r="I12" s="973" t="n"/>
      <c r="J12" s="973" t="n"/>
      <c r="K12" s="973" t="n"/>
      <c r="L12" s="971" t="n"/>
      <c r="M12" s="975" t="n"/>
      <c r="N12" s="975" t="n"/>
      <c r="O12" s="161" t="n"/>
      <c r="Q12" s="976" t="n"/>
      <c r="R12" s="975" t="n"/>
      <c r="S12" s="975" t="n"/>
      <c r="T12" s="975" t="n"/>
      <c r="U12" s="975" t="n"/>
      <c r="V12" s="975" t="n"/>
      <c r="W12" s="975" t="n"/>
      <c r="X12" s="975" t="n"/>
      <c r="Y12" s="975" t="n"/>
      <c r="Z12" s="975" t="n"/>
      <c r="AA12" s="975" t="n"/>
      <c r="AB12" s="975" t="n"/>
      <c r="AC12" s="977" t="n"/>
    </row>
    <row r="13" ht="33.75" customHeight="1" thickBot="1">
      <c r="A13" s="774" t="inlineStr">
        <is>
          <t>INMUNOBIOLÓGICOS</t>
        </is>
      </c>
      <c r="B13" s="978" t="n"/>
      <c r="C13" s="14" t="n"/>
      <c r="D13" s="14" t="n"/>
      <c r="E13" s="14" t="n"/>
      <c r="F13" s="14" t="n"/>
      <c r="G13" s="14" t="n"/>
      <c r="H13" s="14" t="n"/>
      <c r="I13" s="14" t="n"/>
      <c r="J13" s="14" t="n"/>
      <c r="K13" s="14" t="n"/>
      <c r="L13" s="14" t="n"/>
      <c r="M13" s="127" t="n"/>
      <c r="N13" s="147" t="n"/>
      <c r="O13" s="162" t="n"/>
      <c r="Q13" s="15" t="n"/>
      <c r="R13" s="16" t="n"/>
      <c r="S13" s="16" t="n"/>
      <c r="T13" s="16" t="n"/>
      <c r="U13" s="16" t="n"/>
      <c r="V13" s="16" t="n"/>
      <c r="W13" s="16" t="n"/>
      <c r="X13" s="16" t="n"/>
      <c r="Y13" s="16" t="n"/>
      <c r="Z13" s="16" t="n"/>
      <c r="AA13" s="16" t="n"/>
      <c r="AB13" s="16" t="n"/>
      <c r="AC13" s="193" t="n"/>
    </row>
    <row r="14" ht="18.75" customHeight="1">
      <c r="A14" s="979" t="inlineStr">
        <is>
          <t>BCG (vacuna)</t>
        </is>
      </c>
      <c r="B14" s="980" t="n"/>
      <c r="C14" s="981">
        <f>ENERO!K13</f>
        <v/>
      </c>
      <c r="D14" s="982" t="n"/>
      <c r="E14" s="982" t="n"/>
      <c r="F14" s="982" t="n"/>
      <c r="G14" s="982" t="n"/>
      <c r="H14" s="982" t="n"/>
      <c r="I14" s="983">
        <f>AC14</f>
        <v/>
      </c>
      <c r="J14" s="984">
        <f>+(C14+D14+F14+E14)-(G14+H14+I14)</f>
        <v/>
      </c>
      <c r="K14" s="985" t="n"/>
      <c r="L14" s="986" t="n"/>
      <c r="M14" s="987" t="n"/>
      <c r="N14" s="988">
        <f>IFERROR(IF(DATEDIF(TODAY(),M14,"M")&lt;=6,"ROJO",IF(DATEDIF(TODAY(),M14,"M")&gt;=12,"VERDE",IF(AND(DATEDIF(TODAY(),M14,"M")&gt;6,DATEDIF(TODAY(),M14,"M")&lt;=11),"AMARILLO",IF(M14&lt;TODAY(),"VENCIDO",0)))),O14)</f>
        <v/>
      </c>
      <c r="O14" s="989">
        <f>IF(M14=0,"","VENCIDO")</f>
        <v/>
      </c>
      <c r="Q14" s="990" t="n"/>
      <c r="R14" s="991" t="n"/>
      <c r="S14" s="991" t="n"/>
      <c r="T14" s="991" t="n"/>
      <c r="U14" s="991" t="n"/>
      <c r="V14" s="991" t="n"/>
      <c r="W14" s="991" t="n"/>
      <c r="X14" s="991" t="n"/>
      <c r="Y14" s="991" t="n"/>
      <c r="Z14" s="991" t="n"/>
      <c r="AA14" s="991" t="n"/>
      <c r="AB14" s="991" t="n"/>
      <c r="AC14" s="992">
        <f>SUM(Q14:AB18)</f>
        <v/>
      </c>
      <c r="AE14" s="805" t="n">
        <v>0.01</v>
      </c>
      <c r="AH14" s="2">
        <f>+IF(AC14&lt;&gt;I14,1,0)</f>
        <v/>
      </c>
      <c r="AN14" s="2" t="inlineStr">
        <is>
          <t>AMAZONAS</t>
        </is>
      </c>
      <c r="AO14" s="2" t="inlineStr">
        <is>
          <t>ENERO</t>
        </is>
      </c>
    </row>
    <row r="15" ht="18.75" customHeight="1">
      <c r="A15" s="993" t="n"/>
      <c r="B15" s="972" t="n"/>
      <c r="C15" s="973" t="n"/>
      <c r="D15" s="994" t="n"/>
      <c r="E15" s="994" t="n"/>
      <c r="F15" s="994" t="n"/>
      <c r="G15" s="994" t="n"/>
      <c r="H15" s="994" t="n"/>
      <c r="I15" s="973" t="n"/>
      <c r="J15" s="973" t="n"/>
      <c r="K15" s="995" t="n"/>
      <c r="L15" s="996" t="n"/>
      <c r="M15" s="987" t="n"/>
      <c r="N15" s="988">
        <f>IFERROR(IF(DATEDIF(TODAY(),M15,"M")&lt;=6,"ROJO",IF(DATEDIF(TODAY(),M15,"M")&gt;=12,"VERDE",IF(AND(DATEDIF(TODAY(),M15,"M")&gt;6,DATEDIF(TODAY(),M15,"M")&lt;=11),"AMARILLO",IF(M15&lt;TODAY(),"VENCIDO",0)))),O15)</f>
        <v/>
      </c>
      <c r="O15" s="989">
        <f>IF(M15=0,"","VENCIDO")</f>
        <v/>
      </c>
      <c r="Q15" s="997" t="n"/>
      <c r="R15" s="994" t="n"/>
      <c r="S15" s="994" t="n"/>
      <c r="T15" s="994" t="n"/>
      <c r="U15" s="994" t="n"/>
      <c r="V15" s="994" t="n"/>
      <c r="W15" s="994" t="n"/>
      <c r="X15" s="994" t="n"/>
      <c r="Y15" s="994" t="n"/>
      <c r="Z15" s="994" t="n"/>
      <c r="AA15" s="994" t="n"/>
      <c r="AB15" s="994" t="n"/>
      <c r="AC15" s="974" t="n"/>
      <c r="AN15" s="2" t="inlineStr">
        <is>
          <t>ANTIOQUIA</t>
        </is>
      </c>
      <c r="AO15" s="2" t="inlineStr">
        <is>
          <t>FEBRERO</t>
        </is>
      </c>
    </row>
    <row r="16" ht="18.75" customHeight="1">
      <c r="A16" s="993" t="n"/>
      <c r="B16" s="972" t="n"/>
      <c r="C16" s="973" t="n"/>
      <c r="D16" s="994" t="n"/>
      <c r="E16" s="994" t="n"/>
      <c r="F16" s="994" t="n"/>
      <c r="G16" s="994" t="n"/>
      <c r="H16" s="994" t="n"/>
      <c r="I16" s="973" t="n"/>
      <c r="J16" s="973" t="n"/>
      <c r="K16" s="995" t="n"/>
      <c r="L16" s="996" t="n"/>
      <c r="M16" s="987" t="n"/>
      <c r="N16" s="988">
        <f>IFERROR(IF(DATEDIF(TODAY(),M16,"M")&lt;=6,"ROJO",IF(DATEDIF(TODAY(),M16,"M")&gt;=12,"VERDE",IF(AND(DATEDIF(TODAY(),M16,"M")&gt;6,DATEDIF(TODAY(),M16,"M")&lt;=11),"AMARILLO",IF(M16&lt;TODAY(),"VENCIDO",0)))),O16)</f>
        <v/>
      </c>
      <c r="O16" s="989">
        <f>IF(M16=0,"","VENCIDO")</f>
        <v/>
      </c>
      <c r="Q16" s="997" t="n"/>
      <c r="R16" s="994" t="n"/>
      <c r="S16" s="994" t="n"/>
      <c r="T16" s="994" t="n"/>
      <c r="U16" s="994" t="n"/>
      <c r="V16" s="994" t="n"/>
      <c r="W16" s="994" t="n"/>
      <c r="X16" s="994" t="n"/>
      <c r="Y16" s="994" t="n"/>
      <c r="Z16" s="994" t="n"/>
      <c r="AA16" s="994" t="n"/>
      <c r="AB16" s="994" t="n"/>
      <c r="AC16" s="974" t="n"/>
      <c r="AN16" s="2" t="inlineStr">
        <is>
          <t>ARAUCA</t>
        </is>
      </c>
      <c r="AO16" s="2" t="inlineStr">
        <is>
          <t>MARZO</t>
        </is>
      </c>
    </row>
    <row r="17" ht="18.75" customHeight="1">
      <c r="A17" s="993" t="n"/>
      <c r="B17" s="972" t="n"/>
      <c r="C17" s="973" t="n"/>
      <c r="D17" s="994" t="n"/>
      <c r="E17" s="994" t="n"/>
      <c r="F17" s="994" t="n"/>
      <c r="G17" s="994" t="n"/>
      <c r="H17" s="994" t="n"/>
      <c r="I17" s="973" t="n"/>
      <c r="J17" s="973" t="n"/>
      <c r="K17" s="995" t="n"/>
      <c r="L17" s="996" t="n"/>
      <c r="M17" s="987" t="n"/>
      <c r="N17" s="988">
        <f>IFERROR(IF(DATEDIF(TODAY(),M17,"M")&lt;=6,"ROJO",IF(DATEDIF(TODAY(),M17,"M")&gt;=12,"VERDE",IF(AND(DATEDIF(TODAY(),M17,"M")&gt;6,DATEDIF(TODAY(),M17,"M")&lt;=11),"AMARILLO",IF(M17&lt;TODAY(),"VENCIDO",0)))),O17)</f>
        <v/>
      </c>
      <c r="O17" s="989">
        <f>IF(M17=0,"","VENCIDO")</f>
        <v/>
      </c>
      <c r="Q17" s="997" t="n"/>
      <c r="R17" s="994" t="n"/>
      <c r="S17" s="994" t="n"/>
      <c r="T17" s="994" t="n"/>
      <c r="U17" s="994" t="n"/>
      <c r="V17" s="994" t="n"/>
      <c r="W17" s="994" t="n"/>
      <c r="X17" s="994" t="n"/>
      <c r="Y17" s="994" t="n"/>
      <c r="Z17" s="994" t="n"/>
      <c r="AA17" s="994" t="n"/>
      <c r="AB17" s="994" t="n"/>
      <c r="AC17" s="974" t="n"/>
      <c r="AN17" s="2" t="inlineStr">
        <is>
          <t>ATLANTICO</t>
        </is>
      </c>
      <c r="AO17" s="2" t="inlineStr">
        <is>
          <t>ABRIL</t>
        </is>
      </c>
    </row>
    <row r="18" ht="18.75" customHeight="1" thickBot="1">
      <c r="A18" s="993" t="n"/>
      <c r="B18" s="972" t="n"/>
      <c r="C18" s="975" t="n"/>
      <c r="D18" s="998" t="n"/>
      <c r="E18" s="998" t="n"/>
      <c r="F18" s="998" t="n"/>
      <c r="G18" s="998" t="n"/>
      <c r="H18" s="998" t="n"/>
      <c r="I18" s="999" t="n"/>
      <c r="J18" s="975" t="n"/>
      <c r="K18" s="1000" t="n"/>
      <c r="L18" s="1001" t="n"/>
      <c r="M18" s="987" t="n"/>
      <c r="N18" s="988">
        <f>IFERROR(IF(DATEDIF(TODAY(),M18,"M")&lt;=6,"ROJO",IF(DATEDIF(TODAY(),M18,"M")&gt;=12,"VERDE",IF(AND(DATEDIF(TODAY(),M18,"M")&gt;6,DATEDIF(TODAY(),M18,"M")&lt;=11),"AMARILLO",IF(M18&lt;TODAY(),"VENCIDO",0)))),O18)</f>
        <v/>
      </c>
      <c r="O18" s="989">
        <f>IF(M18=0,"","VENCIDO")</f>
        <v/>
      </c>
      <c r="Q18" s="1002" t="n"/>
      <c r="R18" s="998" t="n"/>
      <c r="S18" s="998" t="n"/>
      <c r="T18" s="998" t="n"/>
      <c r="U18" s="998" t="n"/>
      <c r="V18" s="998" t="n"/>
      <c r="W18" s="998" t="n"/>
      <c r="X18" s="998" t="n"/>
      <c r="Y18" s="998" t="n"/>
      <c r="Z18" s="998" t="n"/>
      <c r="AA18" s="998" t="n"/>
      <c r="AB18" s="998" t="n"/>
      <c r="AC18" s="1003" t="n"/>
      <c r="AN18" s="2" t="inlineStr">
        <is>
          <t>BARRANQUILLA</t>
        </is>
      </c>
      <c r="AO18" s="2" t="inlineStr">
        <is>
          <t>MAYO</t>
        </is>
      </c>
    </row>
    <row r="19" ht="18.75" customHeight="1" thickBot="1">
      <c r="A19" s="1004" t="n"/>
      <c r="B19" s="1005" t="n"/>
      <c r="C19" s="1006" t="n"/>
      <c r="D19" s="1007" t="n"/>
      <c r="E19" s="1007" t="n"/>
      <c r="F19" s="1008" t="n"/>
      <c r="G19" s="1008" t="n"/>
      <c r="H19" s="1008" t="n"/>
      <c r="I19" s="1009" t="n"/>
      <c r="J19" s="1010">
        <f>J14=K19</f>
        <v/>
      </c>
      <c r="K19" s="1011">
        <f>SUM(K14:K18)</f>
        <v/>
      </c>
      <c r="L19" s="1012" t="n"/>
      <c r="M19" s="1013" t="n"/>
      <c r="N19" s="1014">
        <f>IFERROR(IF(DATEDIF(TODAY(),M19,"M")&lt;=6,"ROJO",IF(DATEDIF(TODAY(),M19,"M")&gt;=12,"VERDE",IF(AND(DATEDIF(TODAY(),M19,"M")&gt;6,DATEDIF(TODAY(),M19,"M")&lt;=11),"AMARILLO",IF(M19&lt;TODAY(),"VENCIDO",0)))),O19)</f>
        <v/>
      </c>
      <c r="O19" s="989">
        <f>IF(M19=0,"","VENCIDO")</f>
        <v/>
      </c>
      <c r="Q19" s="1015" t="n"/>
      <c r="R19" s="1016" t="n"/>
      <c r="S19" s="1016" t="n"/>
      <c r="T19" s="1016" t="n"/>
      <c r="U19" s="1016" t="n"/>
      <c r="V19" s="1016" t="n"/>
      <c r="W19" s="1016" t="n"/>
      <c r="X19" s="1016" t="n"/>
      <c r="Y19" s="1016" t="n"/>
      <c r="Z19" s="1016" t="n"/>
      <c r="AA19" s="1016" t="n"/>
      <c r="AB19" s="1016" t="n"/>
      <c r="AC19" s="194" t="n"/>
      <c r="AN19" s="2" t="inlineStr">
        <is>
          <t>BOGOTA D.C.</t>
        </is>
      </c>
      <c r="AO19" s="2" t="inlineStr">
        <is>
          <t>JUNIO</t>
        </is>
      </c>
    </row>
    <row r="20" ht="18.75" customHeight="1">
      <c r="A20" s="979" t="inlineStr">
        <is>
          <t xml:space="preserve">Hepatitis B pediátrica </t>
        </is>
      </c>
      <c r="B20" s="980" t="n"/>
      <c r="C20" s="1017">
        <f>ENERO!K19</f>
        <v/>
      </c>
      <c r="D20" s="1018" t="n"/>
      <c r="E20" s="1018" t="n"/>
      <c r="F20" s="1018" t="n"/>
      <c r="G20" s="1018" t="n"/>
      <c r="H20" s="1018" t="n"/>
      <c r="I20" s="983">
        <f>AC20</f>
        <v/>
      </c>
      <c r="J20" s="1019">
        <f>+(C20+D20+F20+E20)-(G20+H20+I20)</f>
        <v/>
      </c>
      <c r="K20" s="985" t="n"/>
      <c r="L20" s="986" t="n"/>
      <c r="M20" s="987" t="n"/>
      <c r="N20" s="988">
        <f>IFERROR(IF(DATEDIF(TODAY(),M20,"M")&lt;=6,"ROJO",IF(DATEDIF(TODAY(),M20,"M")&gt;=12,"VERDE",IF(AND(DATEDIF(TODAY(),M20,"M")&gt;6,DATEDIF(TODAY(),M20,"M")&lt;=11),"AMARILLO",IF(M20&lt;TODAY(),"VENCIDO",0)))),O20)</f>
        <v/>
      </c>
      <c r="O20" s="989">
        <f>IF(M20=0,"","VENCIDO")</f>
        <v/>
      </c>
      <c r="Q20" s="990" t="n"/>
      <c r="R20" s="991" t="n"/>
      <c r="S20" s="991" t="n"/>
      <c r="T20" s="991" t="n"/>
      <c r="U20" s="991" t="n"/>
      <c r="V20" s="991" t="n"/>
      <c r="W20" s="991" t="n"/>
      <c r="X20" s="991" t="n"/>
      <c r="Y20" s="991" t="n"/>
      <c r="Z20" s="991" t="n"/>
      <c r="AA20" s="991" t="n"/>
      <c r="AB20" s="991" t="n"/>
      <c r="AC20" s="992">
        <f>SUM(Q20:AB24)</f>
        <v/>
      </c>
      <c r="AE20" s="2">
        <f>IFERROR(AA18*100/(W18+AA18),0)</f>
        <v/>
      </c>
      <c r="AH20" s="2">
        <f>+IF(AC20&lt;&gt;I20,1,0)</f>
        <v/>
      </c>
      <c r="AN20" s="2" t="inlineStr">
        <is>
          <t>BOLIVAR</t>
        </is>
      </c>
      <c r="AO20" s="2" t="inlineStr">
        <is>
          <t>JULIO</t>
        </is>
      </c>
    </row>
    <row r="21" ht="18.75" customHeight="1">
      <c r="A21" s="993" t="n"/>
      <c r="B21" s="972" t="n"/>
      <c r="C21" s="973" t="n"/>
      <c r="D21" s="994" t="n"/>
      <c r="E21" s="994" t="n"/>
      <c r="F21" s="994" t="n"/>
      <c r="G21" s="994" t="n"/>
      <c r="H21" s="994" t="n"/>
      <c r="I21" s="973" t="n"/>
      <c r="J21" s="973" t="n"/>
      <c r="K21" s="995" t="n"/>
      <c r="L21" s="996" t="n"/>
      <c r="M21" s="987" t="n"/>
      <c r="N21" s="988">
        <f>IFERROR(IF(DATEDIF(TODAY(),M21,"M")&lt;=6,"ROJO",IF(DATEDIF(TODAY(),M21,"M")&gt;=12,"VERDE",IF(AND(DATEDIF(TODAY(),M21,"M")&gt;6,DATEDIF(TODAY(),M21,"M")&lt;=11),"AMARILLO",IF(M21&lt;TODAY(),"VENCIDO",0)))),O21)</f>
        <v/>
      </c>
      <c r="O21" s="989">
        <f>IF(M21=0,"","VENCIDO")</f>
        <v/>
      </c>
      <c r="Q21" s="997" t="n"/>
      <c r="R21" s="994" t="n"/>
      <c r="S21" s="994" t="n"/>
      <c r="T21" s="994" t="n"/>
      <c r="U21" s="994" t="n"/>
      <c r="V21" s="994" t="n"/>
      <c r="W21" s="994" t="n"/>
      <c r="X21" s="994" t="n"/>
      <c r="Y21" s="994" t="n"/>
      <c r="Z21" s="994" t="n"/>
      <c r="AA21" s="994" t="n"/>
      <c r="AB21" s="994" t="n"/>
      <c r="AC21" s="974" t="n"/>
      <c r="AN21" s="2" t="inlineStr">
        <is>
          <t>CARTAGENA</t>
        </is>
      </c>
      <c r="AO21" s="2" t="inlineStr">
        <is>
          <t>AGOSTO</t>
        </is>
      </c>
    </row>
    <row r="22" ht="18.75" customHeight="1">
      <c r="A22" s="993" t="n"/>
      <c r="B22" s="972" t="n"/>
      <c r="C22" s="973" t="n"/>
      <c r="D22" s="994" t="n"/>
      <c r="E22" s="994" t="n"/>
      <c r="F22" s="994" t="n"/>
      <c r="G22" s="994" t="n"/>
      <c r="H22" s="994" t="n"/>
      <c r="I22" s="973" t="n"/>
      <c r="J22" s="973" t="n"/>
      <c r="K22" s="995" t="n"/>
      <c r="L22" s="996" t="n"/>
      <c r="M22" s="987" t="n"/>
      <c r="N22" s="988">
        <f>IFERROR(IF(DATEDIF(TODAY(),M22,"M")&lt;=6,"ROJO",IF(DATEDIF(TODAY(),M22,"M")&gt;=12,"VERDE",IF(AND(DATEDIF(TODAY(),M22,"M")&gt;6,DATEDIF(TODAY(),M22,"M")&lt;=11),"AMARILLO",IF(M22&lt;TODAY(),"VENCIDO",0)))),O22)</f>
        <v/>
      </c>
      <c r="O22" s="989">
        <f>IF(M22=0,"","VENCIDO")</f>
        <v/>
      </c>
      <c r="Q22" s="997" t="n"/>
      <c r="R22" s="994" t="n"/>
      <c r="S22" s="994" t="n"/>
      <c r="T22" s="994" t="n"/>
      <c r="U22" s="994" t="n"/>
      <c r="V22" s="994" t="n"/>
      <c r="W22" s="994" t="n"/>
      <c r="X22" s="994" t="n"/>
      <c r="Y22" s="994" t="n"/>
      <c r="Z22" s="994" t="n"/>
      <c r="AA22" s="994" t="n"/>
      <c r="AB22" s="994" t="n"/>
      <c r="AC22" s="974" t="n"/>
      <c r="AN22" s="2" t="inlineStr">
        <is>
          <t>BOYACA</t>
        </is>
      </c>
      <c r="AO22" s="2" t="inlineStr">
        <is>
          <t>SEPTIEMBRE</t>
        </is>
      </c>
    </row>
    <row r="23" ht="18.75" customHeight="1">
      <c r="A23" s="993" t="n"/>
      <c r="B23" s="972" t="n"/>
      <c r="C23" s="973" t="n"/>
      <c r="D23" s="994" t="n"/>
      <c r="E23" s="994" t="n"/>
      <c r="F23" s="994" t="n"/>
      <c r="G23" s="994" t="n"/>
      <c r="H23" s="994" t="n"/>
      <c r="I23" s="973" t="n"/>
      <c r="J23" s="973" t="n"/>
      <c r="K23" s="995" t="n"/>
      <c r="L23" s="996" t="n"/>
      <c r="M23" s="987" t="n"/>
      <c r="N23" s="988">
        <f>IFERROR(IF(DATEDIF(TODAY(),M23,"M")&lt;=6,"ROJO",IF(DATEDIF(TODAY(),M23,"M")&gt;=12,"VERDE",IF(AND(DATEDIF(TODAY(),M23,"M")&gt;6,DATEDIF(TODAY(),M23,"M")&lt;=11),"AMARILLO",IF(M23&lt;TODAY(),"VENCIDO",0)))),O23)</f>
        <v/>
      </c>
      <c r="O23" s="989">
        <f>IF(M23=0,"","VENCIDO")</f>
        <v/>
      </c>
      <c r="Q23" s="997" t="n"/>
      <c r="R23" s="994" t="n"/>
      <c r="S23" s="994" t="n"/>
      <c r="T23" s="994" t="n"/>
      <c r="U23" s="994" t="n"/>
      <c r="V23" s="994" t="n"/>
      <c r="W23" s="994" t="n"/>
      <c r="X23" s="994" t="n"/>
      <c r="Y23" s="994" t="n"/>
      <c r="Z23" s="994" t="n"/>
      <c r="AA23" s="994" t="n"/>
      <c r="AB23" s="994" t="n"/>
      <c r="AC23" s="974" t="n"/>
      <c r="AN23" s="2" t="inlineStr">
        <is>
          <t>CALDAS</t>
        </is>
      </c>
      <c r="AO23" s="2" t="inlineStr">
        <is>
          <t>OCTUBRE</t>
        </is>
      </c>
    </row>
    <row r="24" ht="18.75" customHeight="1" thickBot="1">
      <c r="A24" s="993" t="n"/>
      <c r="B24" s="972" t="n"/>
      <c r="C24" s="999" t="n"/>
      <c r="D24" s="1020" t="n"/>
      <c r="E24" s="1020" t="n"/>
      <c r="F24" s="1020" t="n"/>
      <c r="G24" s="1020" t="n"/>
      <c r="H24" s="1020" t="n"/>
      <c r="I24" s="999" t="n"/>
      <c r="J24" s="999" t="n"/>
      <c r="K24" s="1000" t="n"/>
      <c r="L24" s="1001" t="n"/>
      <c r="M24" s="987" t="n"/>
      <c r="N24" s="988">
        <f>IFERROR(IF(DATEDIF(TODAY(),M24,"M")&lt;=6,"ROJO",IF(DATEDIF(TODAY(),M24,"M")&gt;=12,"VERDE",IF(AND(DATEDIF(TODAY(),M24,"M")&gt;6,DATEDIF(TODAY(),M24,"M")&lt;=11),"AMARILLO",IF(M24&lt;TODAY(),"VENCIDO",0)))),O24)</f>
        <v/>
      </c>
      <c r="O24" s="989">
        <f>IF(M24=0,"","VENCIDO")</f>
        <v/>
      </c>
      <c r="Q24" s="1002" t="n"/>
      <c r="R24" s="998" t="n"/>
      <c r="S24" s="998" t="n"/>
      <c r="T24" s="998" t="n"/>
      <c r="U24" s="998" t="n"/>
      <c r="V24" s="998" t="n"/>
      <c r="W24" s="998" t="n"/>
      <c r="X24" s="998" t="n"/>
      <c r="Y24" s="998" t="n"/>
      <c r="Z24" s="998" t="n"/>
      <c r="AA24" s="998" t="n"/>
      <c r="AB24" s="998" t="n"/>
      <c r="AC24" s="1003" t="n"/>
      <c r="AN24" s="2" t="inlineStr">
        <is>
          <t>CAQUETA</t>
        </is>
      </c>
      <c r="AO24" s="2" t="inlineStr">
        <is>
          <t>NOVIEMBRE</t>
        </is>
      </c>
    </row>
    <row r="25" ht="18.75" customHeight="1" thickBot="1">
      <c r="A25" s="1004" t="n"/>
      <c r="B25" s="1005" t="n"/>
      <c r="C25" s="1021" t="n"/>
      <c r="D25" s="1022" t="n"/>
      <c r="E25" s="1022" t="n"/>
      <c r="F25" s="1023" t="n"/>
      <c r="G25" s="1023" t="n"/>
      <c r="H25" s="1023" t="n"/>
      <c r="I25" s="1024" t="n"/>
      <c r="J25" s="1010">
        <f>J20=K25</f>
        <v/>
      </c>
      <c r="K25" s="1025">
        <f>SUM(K20:K24)</f>
        <v/>
      </c>
      <c r="L25" s="1015" t="n"/>
      <c r="M25" s="1013" t="n"/>
      <c r="N25" s="1014">
        <f>IFERROR(IF(DATEDIF(TODAY(),M25,"M")&lt;=6,"ROJO",IF(DATEDIF(TODAY(),M25,"M")&gt;=12,"VERDE",IF(AND(DATEDIF(TODAY(),M25,"M")&gt;6,DATEDIF(TODAY(),M25,"M")&lt;=11),"AMARILLO",IF(M25&lt;TODAY(),"VENCIDO",0)))),O25)</f>
        <v/>
      </c>
      <c r="O25" s="989">
        <f>IF(M25=0,"","VENCIDO")</f>
        <v/>
      </c>
      <c r="Q25" s="1015" t="n"/>
      <c r="R25" s="1016" t="n"/>
      <c r="S25" s="1016" t="n"/>
      <c r="T25" s="1016" t="n"/>
      <c r="U25" s="1016" t="n"/>
      <c r="V25" s="1016" t="n"/>
      <c r="W25" s="1016" t="n"/>
      <c r="X25" s="1016" t="n"/>
      <c r="Y25" s="1016" t="n"/>
      <c r="Z25" s="1016" t="n"/>
      <c r="AA25" s="1016" t="n"/>
      <c r="AB25" s="1016" t="n"/>
      <c r="AC25" s="194" t="n"/>
      <c r="AE25" s="2">
        <f>IFERROR(AA23*100/(W23+AA23),0)</f>
        <v/>
      </c>
      <c r="AN25" s="2" t="inlineStr">
        <is>
          <t>CASANARE</t>
        </is>
      </c>
      <c r="AO25" s="2" t="inlineStr">
        <is>
          <t>DICIEMBRE</t>
        </is>
      </c>
    </row>
    <row r="26" ht="18.75" customHeight="1">
      <c r="A26" s="979" t="inlineStr">
        <is>
          <t xml:space="preserve">Hepatitis B adultos </t>
        </is>
      </c>
      <c r="B26" s="980" t="n"/>
      <c r="C26" s="1017">
        <f>ENERO!K25</f>
        <v/>
      </c>
      <c r="D26" s="1018" t="n"/>
      <c r="E26" s="1018" t="n"/>
      <c r="F26" s="1018" t="n"/>
      <c r="G26" s="1018" t="n"/>
      <c r="H26" s="1018" t="n"/>
      <c r="I26" s="983">
        <f>AC26</f>
        <v/>
      </c>
      <c r="J26" s="1019">
        <f>+(C26+D26+F26)-(E26+I26+H26)</f>
        <v/>
      </c>
      <c r="K26" s="985" t="n"/>
      <c r="L26" s="986" t="n"/>
      <c r="M26" s="987" t="n"/>
      <c r="N26" s="988">
        <f>IFERROR(IF(DATEDIF(TODAY(),M26,"M")&lt;=6,"ROJO",IF(DATEDIF(TODAY(),M26,"M")&gt;=12,"VERDE",IF(AND(DATEDIF(TODAY(),M26,"M")&gt;6,DATEDIF(TODAY(),M26,"M")&lt;=11),"AMARILLO",IF(M26&lt;TODAY(),"VENCIDO",0)))),O26)</f>
        <v/>
      </c>
      <c r="O26" s="989">
        <f>IF(M26=0,"","VENCIDO")</f>
        <v/>
      </c>
      <c r="Q26" s="990" t="n"/>
      <c r="R26" s="991" t="n"/>
      <c r="S26" s="991" t="n"/>
      <c r="T26" s="991" t="n"/>
      <c r="U26" s="991" t="n"/>
      <c r="V26" s="991" t="n"/>
      <c r="W26" s="991" t="n"/>
      <c r="X26" s="991" t="n"/>
      <c r="Y26" s="991" t="n"/>
      <c r="Z26" s="991" t="n"/>
      <c r="AA26" s="991" t="n"/>
      <c r="AB26" s="991" t="n"/>
      <c r="AC26" s="992">
        <f>SUM(Q26:AB30)</f>
        <v/>
      </c>
      <c r="AH26" s="2">
        <f>+IF(AC26&lt;&gt;I26,1,0)</f>
        <v/>
      </c>
      <c r="AN26" s="2" t="inlineStr">
        <is>
          <t>BOLIVAR</t>
        </is>
      </c>
    </row>
    <row r="27" ht="18.75" customHeight="1">
      <c r="A27" s="993" t="n"/>
      <c r="B27" s="972" t="n"/>
      <c r="C27" s="973" t="n"/>
      <c r="D27" s="994" t="n"/>
      <c r="E27" s="994" t="n"/>
      <c r="F27" s="994" t="n"/>
      <c r="G27" s="994" t="n"/>
      <c r="H27" s="994" t="n"/>
      <c r="I27" s="973" t="n"/>
      <c r="J27" s="973" t="n"/>
      <c r="K27" s="995" t="n"/>
      <c r="L27" s="996" t="n"/>
      <c r="M27" s="987" t="n"/>
      <c r="N27" s="988">
        <f>IFERROR(IF(DATEDIF(TODAY(),M27,"M")&lt;=6,"ROJO",IF(DATEDIF(TODAY(),M27,"M")&gt;=12,"VERDE",IF(AND(DATEDIF(TODAY(),M27,"M")&gt;6,DATEDIF(TODAY(),M27,"M")&lt;=11),"AMARILLO",IF(M27&lt;TODAY(),"VENCIDO",0)))),O27)</f>
        <v/>
      </c>
      <c r="O27" s="989">
        <f>IF(M27=0,"","VENCIDO")</f>
        <v/>
      </c>
      <c r="Q27" s="997" t="n"/>
      <c r="R27" s="994" t="n"/>
      <c r="S27" s="994" t="n"/>
      <c r="T27" s="994" t="n"/>
      <c r="U27" s="994" t="n"/>
      <c r="V27" s="994" t="n"/>
      <c r="W27" s="994" t="n"/>
      <c r="X27" s="994" t="n"/>
      <c r="Y27" s="994" t="n"/>
      <c r="Z27" s="994" t="n"/>
      <c r="AA27" s="994" t="n"/>
      <c r="AB27" s="994" t="n"/>
      <c r="AC27" s="974" t="n"/>
      <c r="AN27" s="2" t="inlineStr">
        <is>
          <t>CARTAGENA</t>
        </is>
      </c>
    </row>
    <row r="28" ht="18.75" customHeight="1">
      <c r="A28" s="993" t="n"/>
      <c r="B28" s="972" t="n"/>
      <c r="C28" s="973" t="n"/>
      <c r="D28" s="994" t="n"/>
      <c r="E28" s="994" t="n"/>
      <c r="F28" s="994" t="n"/>
      <c r="G28" s="994" t="n"/>
      <c r="H28" s="994" t="n"/>
      <c r="I28" s="973" t="n"/>
      <c r="J28" s="973" t="n"/>
      <c r="K28" s="995" t="n"/>
      <c r="L28" s="996" t="n"/>
      <c r="M28" s="987" t="n"/>
      <c r="N28" s="988">
        <f>IFERROR(IF(DATEDIF(TODAY(),M28,"M")&lt;=6,"ROJO",IF(DATEDIF(TODAY(),M28,"M")&gt;=12,"VERDE",IF(AND(DATEDIF(TODAY(),M28,"M")&gt;6,DATEDIF(TODAY(),M28,"M")&lt;=11),"AMARILLO",IF(M28&lt;TODAY(),"VENCIDO",0)))),O28)</f>
        <v/>
      </c>
      <c r="O28" s="989">
        <f>IF(M28=0,"","VENCIDO")</f>
        <v/>
      </c>
      <c r="Q28" s="997" t="n"/>
      <c r="R28" s="994" t="n"/>
      <c r="S28" s="994" t="n"/>
      <c r="T28" s="994" t="n"/>
      <c r="U28" s="994" t="n"/>
      <c r="V28" s="994" t="n"/>
      <c r="W28" s="994" t="n"/>
      <c r="X28" s="994" t="n"/>
      <c r="Y28" s="994" t="n"/>
      <c r="Z28" s="994" t="n"/>
      <c r="AA28" s="994" t="n"/>
      <c r="AB28" s="994" t="n"/>
      <c r="AC28" s="974" t="n"/>
      <c r="AN28" s="2" t="inlineStr">
        <is>
          <t>BOYACA</t>
        </is>
      </c>
    </row>
    <row r="29" ht="18.75" customHeight="1">
      <c r="A29" s="993" t="n"/>
      <c r="B29" s="972" t="n"/>
      <c r="C29" s="973" t="n"/>
      <c r="D29" s="994" t="n"/>
      <c r="E29" s="994" t="n"/>
      <c r="F29" s="994" t="n"/>
      <c r="G29" s="994" t="n"/>
      <c r="H29" s="994" t="n"/>
      <c r="I29" s="973" t="n"/>
      <c r="J29" s="973" t="n"/>
      <c r="K29" s="995" t="n"/>
      <c r="L29" s="996" t="n"/>
      <c r="M29" s="987" t="n"/>
      <c r="N29" s="988">
        <f>IFERROR(IF(DATEDIF(TODAY(),M29,"M")&lt;=6,"ROJO",IF(DATEDIF(TODAY(),M29,"M")&gt;=12,"VERDE",IF(AND(DATEDIF(TODAY(),M29,"M")&gt;6,DATEDIF(TODAY(),M29,"M")&lt;=11),"AMARILLO",IF(M29&lt;TODAY(),"VENCIDO",0)))),O29)</f>
        <v/>
      </c>
      <c r="O29" s="989">
        <f>IF(M29=0,"","VENCIDO")</f>
        <v/>
      </c>
      <c r="Q29" s="997" t="n"/>
      <c r="R29" s="994" t="n"/>
      <c r="S29" s="994" t="n"/>
      <c r="T29" s="994" t="n"/>
      <c r="U29" s="994" t="n"/>
      <c r="V29" s="994" t="n"/>
      <c r="W29" s="994" t="n"/>
      <c r="X29" s="994" t="n"/>
      <c r="Y29" s="994" t="n"/>
      <c r="Z29" s="994" t="n"/>
      <c r="AA29" s="994" t="n"/>
      <c r="AB29" s="994" t="n"/>
      <c r="AC29" s="974" t="n"/>
      <c r="AN29" s="2" t="inlineStr">
        <is>
          <t>CALDAS</t>
        </is>
      </c>
    </row>
    <row r="30" ht="18.75" customHeight="1" thickBot="1">
      <c r="A30" s="993" t="n"/>
      <c r="B30" s="972" t="n"/>
      <c r="C30" s="999" t="n"/>
      <c r="D30" s="1020" t="n"/>
      <c r="E30" s="1020" t="n"/>
      <c r="F30" s="1020" t="n"/>
      <c r="G30" s="1020" t="n"/>
      <c r="H30" s="1020" t="n"/>
      <c r="I30" s="999" t="n"/>
      <c r="J30" s="999" t="n"/>
      <c r="K30" s="1000" t="n"/>
      <c r="L30" s="1001" t="n"/>
      <c r="M30" s="987" t="n"/>
      <c r="N30" s="988">
        <f>IFERROR(IF(DATEDIF(TODAY(),M30,"M")&lt;=6,"ROJO",IF(DATEDIF(TODAY(),M30,"M")&gt;=12,"VERDE",IF(AND(DATEDIF(TODAY(),M30,"M")&gt;6,DATEDIF(TODAY(),M30,"M")&lt;=11),"AMARILLO",IF(M30&lt;TODAY(),"VENCIDO",0)))),O30)</f>
        <v/>
      </c>
      <c r="O30" s="989">
        <f>IF(M30=0,"","VENCIDO")</f>
        <v/>
      </c>
      <c r="Q30" s="1002" t="n"/>
      <c r="R30" s="998" t="n"/>
      <c r="S30" s="998" t="n"/>
      <c r="T30" s="998" t="n"/>
      <c r="U30" s="998" t="n"/>
      <c r="V30" s="998" t="n"/>
      <c r="W30" s="998" t="n"/>
      <c r="X30" s="998" t="n"/>
      <c r="Y30" s="998" t="n"/>
      <c r="Z30" s="998" t="n"/>
      <c r="AA30" s="998" t="n"/>
      <c r="AB30" s="998" t="n"/>
      <c r="AC30" s="1003" t="n"/>
      <c r="AN30" s="2" t="inlineStr">
        <is>
          <t>CAQUETA</t>
        </is>
      </c>
    </row>
    <row r="31" ht="18.75" customHeight="1" thickBot="1">
      <c r="A31" s="1004" t="n"/>
      <c r="B31" s="1005" t="n"/>
      <c r="C31" s="1021" t="n"/>
      <c r="D31" s="1022" t="n"/>
      <c r="E31" s="1022" t="n"/>
      <c r="F31" s="1023" t="n"/>
      <c r="G31" s="1023" t="n"/>
      <c r="H31" s="1023" t="n"/>
      <c r="I31" s="1024" t="n"/>
      <c r="J31" s="1010">
        <f>J26=K31</f>
        <v/>
      </c>
      <c r="K31" s="1025">
        <f>SUM(K26:K30)</f>
        <v/>
      </c>
      <c r="L31" s="1015" t="n"/>
      <c r="M31" s="1013" t="n"/>
      <c r="N31" s="1014">
        <f>IFERROR(IF(DATEDIF(TODAY(),M31,"M")&lt;=6,"ROJO",IF(DATEDIF(TODAY(),M31,"M")&gt;=12,"VERDE",IF(AND(DATEDIF(TODAY(),M31,"M")&gt;6,DATEDIF(TODAY(),M31,"M")&lt;=11),"AMARILLO",IF(M31&lt;TODAY(),"VENCIDO",0)))),O31)</f>
        <v/>
      </c>
      <c r="O31" s="989">
        <f>IF(M31=0,"","VENCIDO")</f>
        <v/>
      </c>
      <c r="Q31" s="1015" t="n"/>
      <c r="R31" s="1016" t="n"/>
      <c r="S31" s="1016" t="n"/>
      <c r="T31" s="1016" t="n"/>
      <c r="U31" s="1016" t="n"/>
      <c r="V31" s="1016" t="n"/>
      <c r="W31" s="1016" t="n"/>
      <c r="X31" s="1016" t="n"/>
      <c r="Y31" s="1016" t="n"/>
      <c r="Z31" s="1016" t="n"/>
      <c r="AA31" s="1016" t="n"/>
      <c r="AB31" s="1016" t="n"/>
      <c r="AC31" s="194" t="n"/>
      <c r="AE31" s="2">
        <f>IFERROR(AA29*100/(W29+AA29),0)</f>
        <v/>
      </c>
      <c r="AN31" s="2" t="inlineStr">
        <is>
          <t>CASANARE</t>
        </is>
      </c>
    </row>
    <row r="32" ht="18.75" customHeight="1">
      <c r="A32" s="979" t="inlineStr">
        <is>
          <t>Polio inactivada - VIP</t>
        </is>
      </c>
      <c r="B32" s="980" t="n"/>
      <c r="C32" s="1017">
        <f>ENERO!K31</f>
        <v/>
      </c>
      <c r="D32" s="1018" t="n"/>
      <c r="E32" s="1018" t="n"/>
      <c r="F32" s="1018" t="n"/>
      <c r="G32" s="1018" t="n"/>
      <c r="H32" s="1018" t="n"/>
      <c r="I32" s="983">
        <f>AC32</f>
        <v/>
      </c>
      <c r="J32" s="1019">
        <f>+(C32+D32+F32+E32)-(G32+H32+I32)</f>
        <v/>
      </c>
      <c r="K32" s="985" t="n"/>
      <c r="L32" s="986" t="n"/>
      <c r="M32" s="987" t="n"/>
      <c r="N32" s="988">
        <f>IFERROR(IF(DATEDIF(TODAY(),M32,"M")&lt;=6,"ROJO",IF(DATEDIF(TODAY(),M32,"M")&gt;=12,"VERDE",IF(AND(DATEDIF(TODAY(),M32,"M")&gt;6,DATEDIF(TODAY(),M32,"M")&lt;=11),"AMARILLO",IF(M32&lt;TODAY(),"VENCIDO",0)))),O32)</f>
        <v/>
      </c>
      <c r="O32" s="989">
        <f>IF(M32=0,"","VENCIDO")</f>
        <v/>
      </c>
      <c r="Q32" s="990" t="n"/>
      <c r="R32" s="991" t="n"/>
      <c r="S32" s="991" t="n"/>
      <c r="T32" s="991" t="n"/>
      <c r="U32" s="991" t="n"/>
      <c r="V32" s="991" t="n"/>
      <c r="W32" s="991" t="n"/>
      <c r="X32" s="991" t="n"/>
      <c r="Y32" s="991" t="n"/>
      <c r="Z32" s="991" t="n"/>
      <c r="AA32" s="991" t="n"/>
      <c r="AB32" s="991" t="n"/>
      <c r="AC32" s="992">
        <f>SUM(Q32:AB36)</f>
        <v/>
      </c>
      <c r="AH32" s="2">
        <f>+IF(AC32&lt;&gt;I32,1,0)</f>
        <v/>
      </c>
      <c r="AN32" s="2" t="inlineStr">
        <is>
          <t>CAUCA</t>
        </is>
      </c>
    </row>
    <row r="33" ht="18.75" customHeight="1">
      <c r="A33" s="993" t="n"/>
      <c r="B33" s="972" t="n"/>
      <c r="C33" s="973" t="n"/>
      <c r="D33" s="994" t="n"/>
      <c r="E33" s="994" t="n"/>
      <c r="F33" s="994" t="n"/>
      <c r="G33" s="994" t="n"/>
      <c r="H33" s="994" t="n"/>
      <c r="I33" s="973" t="n"/>
      <c r="J33" s="973" t="n"/>
      <c r="K33" s="995" t="n"/>
      <c r="L33" s="996" t="n"/>
      <c r="M33" s="987" t="n"/>
      <c r="N33" s="988">
        <f>IFERROR(IF(DATEDIF(TODAY(),M33,"M")&lt;=6,"ROJO",IF(DATEDIF(TODAY(),M33,"M")&gt;=12,"VERDE",IF(AND(DATEDIF(TODAY(),M33,"M")&gt;6,DATEDIF(TODAY(),M33,"M")&lt;=11),"AMARILLO",IF(M33&lt;TODAY(),"VENCIDO",0)))),O33)</f>
        <v/>
      </c>
      <c r="O33" s="989">
        <f>IF(M33=0,"","VENCIDO")</f>
        <v/>
      </c>
      <c r="Q33" s="997" t="n"/>
      <c r="R33" s="994" t="n"/>
      <c r="S33" s="994" t="n"/>
      <c r="T33" s="994" t="n"/>
      <c r="U33" s="994" t="n"/>
      <c r="V33" s="994" t="n"/>
      <c r="W33" s="994" t="n"/>
      <c r="X33" s="994" t="n"/>
      <c r="Y33" s="994" t="n"/>
      <c r="Z33" s="994" t="n"/>
      <c r="AA33" s="994" t="n"/>
      <c r="AB33" s="994" t="n"/>
      <c r="AC33" s="974" t="n"/>
      <c r="AN33" s="2" t="inlineStr">
        <is>
          <t>CESAR</t>
        </is>
      </c>
    </row>
    <row r="34" ht="18.75" customHeight="1">
      <c r="A34" s="993" t="n"/>
      <c r="B34" s="972" t="n"/>
      <c r="C34" s="973" t="n"/>
      <c r="D34" s="994" t="n"/>
      <c r="E34" s="994" t="n"/>
      <c r="F34" s="994" t="n"/>
      <c r="G34" s="994" t="n"/>
      <c r="H34" s="994" t="n"/>
      <c r="I34" s="973" t="n"/>
      <c r="J34" s="973" t="n"/>
      <c r="K34" s="995" t="n"/>
      <c r="L34" s="996" t="n"/>
      <c r="M34" s="987" t="n"/>
      <c r="N34" s="988">
        <f>IFERROR(IF(DATEDIF(TODAY(),M34,"M")&lt;=6,"ROJO",IF(DATEDIF(TODAY(),M34,"M")&gt;=12,"VERDE",IF(AND(DATEDIF(TODAY(),M34,"M")&gt;6,DATEDIF(TODAY(),M34,"M")&lt;=11),"AMARILLO",IF(M34&lt;TODAY(),"VENCIDO",0)))),O34)</f>
        <v/>
      </c>
      <c r="O34" s="989">
        <f>IF(M34=0,"","VENCIDO")</f>
        <v/>
      </c>
      <c r="Q34" s="997" t="n"/>
      <c r="R34" s="994" t="n"/>
      <c r="S34" s="994" t="n"/>
      <c r="T34" s="994" t="n"/>
      <c r="U34" s="994" t="n"/>
      <c r="V34" s="994" t="n"/>
      <c r="W34" s="994" t="n"/>
      <c r="X34" s="994" t="n"/>
      <c r="Y34" s="994" t="n"/>
      <c r="Z34" s="994" t="n"/>
      <c r="AA34" s="994" t="n"/>
      <c r="AB34" s="994" t="n"/>
      <c r="AC34" s="974" t="n"/>
      <c r="AN34" s="2" t="inlineStr">
        <is>
          <t>CHOCO</t>
        </is>
      </c>
    </row>
    <row r="35" ht="18.75" customHeight="1">
      <c r="A35" s="993" t="n"/>
      <c r="B35" s="972" t="n"/>
      <c r="C35" s="973" t="n"/>
      <c r="D35" s="994" t="n"/>
      <c r="E35" s="994" t="n"/>
      <c r="F35" s="994" t="n"/>
      <c r="G35" s="994" t="n"/>
      <c r="H35" s="994" t="n"/>
      <c r="I35" s="973" t="n"/>
      <c r="J35" s="973" t="n"/>
      <c r="K35" s="995" t="n"/>
      <c r="L35" s="996" t="n"/>
      <c r="M35" s="987" t="n"/>
      <c r="N35" s="988">
        <f>IFERROR(IF(DATEDIF(TODAY(),M35,"M")&lt;=6,"ROJO",IF(DATEDIF(TODAY(),M35,"M")&gt;=12,"VERDE",IF(AND(DATEDIF(TODAY(),M35,"M")&gt;6,DATEDIF(TODAY(),M35,"M")&lt;=11),"AMARILLO",IF(M35&lt;TODAY(),"VENCIDO",0)))),O35)</f>
        <v/>
      </c>
      <c r="O35" s="989">
        <f>IF(M35=0,"","VENCIDO")</f>
        <v/>
      </c>
      <c r="Q35" s="997" t="n"/>
      <c r="R35" s="994" t="n"/>
      <c r="S35" s="994" t="n"/>
      <c r="T35" s="994" t="n"/>
      <c r="U35" s="994" t="n"/>
      <c r="V35" s="994" t="n"/>
      <c r="W35" s="994" t="n"/>
      <c r="X35" s="994" t="n"/>
      <c r="Y35" s="994" t="n"/>
      <c r="Z35" s="994" t="n"/>
      <c r="AA35" s="994" t="n"/>
      <c r="AB35" s="994" t="n"/>
      <c r="AC35" s="974" t="n"/>
      <c r="AN35" s="2" t="inlineStr">
        <is>
          <t>CORDOBA</t>
        </is>
      </c>
    </row>
    <row r="36" ht="18.75" customHeight="1" thickBot="1">
      <c r="A36" s="993" t="n"/>
      <c r="B36" s="972" t="n"/>
      <c r="C36" s="999" t="n"/>
      <c r="D36" s="1020" t="n"/>
      <c r="E36" s="1020" t="n"/>
      <c r="F36" s="1020" t="n"/>
      <c r="G36" s="1020" t="n"/>
      <c r="H36" s="1020" t="n"/>
      <c r="I36" s="999" t="n"/>
      <c r="J36" s="999" t="n"/>
      <c r="K36" s="1000" t="n"/>
      <c r="L36" s="1001" t="n"/>
      <c r="M36" s="987" t="n"/>
      <c r="N36" s="988">
        <f>IFERROR(IF(DATEDIF(TODAY(),M36,"M")&lt;=6,"ROJO",IF(DATEDIF(TODAY(),M36,"M")&gt;=12,"VERDE",IF(AND(DATEDIF(TODAY(),M36,"M")&gt;6,DATEDIF(TODAY(),M36,"M")&lt;=11),"AMARILLO",IF(M36&lt;TODAY(),"VENCIDO",0)))),O36)</f>
        <v/>
      </c>
      <c r="O36" s="989">
        <f>IF(M36=0,"","VENCIDO")</f>
        <v/>
      </c>
      <c r="Q36" s="1002" t="n"/>
      <c r="R36" s="998" t="n"/>
      <c r="S36" s="998" t="n"/>
      <c r="T36" s="998" t="n"/>
      <c r="U36" s="998" t="n"/>
      <c r="V36" s="998" t="n"/>
      <c r="W36" s="998" t="n"/>
      <c r="X36" s="998" t="n"/>
      <c r="Y36" s="998" t="n"/>
      <c r="Z36" s="998" t="n"/>
      <c r="AA36" s="998" t="n"/>
      <c r="AB36" s="998" t="n"/>
      <c r="AC36" s="1003" t="n"/>
      <c r="AE36" s="2">
        <f>IFERROR(AA34*100/(W34+AA34),0)</f>
        <v/>
      </c>
      <c r="AN36" s="2" t="inlineStr">
        <is>
          <t>CUNDINAMARCA</t>
        </is>
      </c>
    </row>
    <row r="37" ht="18.75" customHeight="1" thickBot="1">
      <c r="A37" s="1004" t="n"/>
      <c r="B37" s="1005" t="n"/>
      <c r="C37" s="1021" t="n"/>
      <c r="D37" s="1022" t="n"/>
      <c r="E37" s="1022" t="n"/>
      <c r="F37" s="1023" t="n"/>
      <c r="G37" s="1023" t="n"/>
      <c r="H37" s="1023" t="n"/>
      <c r="I37" s="1024" t="n"/>
      <c r="J37" s="1010">
        <f>J32=K37</f>
        <v/>
      </c>
      <c r="K37" s="1025">
        <f>SUM(K32:K36)</f>
        <v/>
      </c>
      <c r="L37" s="1015" t="n"/>
      <c r="M37" s="1013" t="n"/>
      <c r="N37" s="1014">
        <f>IFERROR(IF(DATEDIF(TODAY(),M37,"M")&lt;=6,"ROJO",IF(DATEDIF(TODAY(),M37,"M")&gt;=12,"VERDE",IF(AND(DATEDIF(TODAY(),M37,"M")&gt;6,DATEDIF(TODAY(),M37,"M")&lt;=11),"AMARILLO",IF(M37&lt;TODAY(),"VENCIDO",0)))),O37)</f>
        <v/>
      </c>
      <c r="O37" s="989">
        <f>IF(M37=0,"","VENCIDO")</f>
        <v/>
      </c>
      <c r="Q37" s="1015" t="n"/>
      <c r="R37" s="1016" t="n"/>
      <c r="S37" s="1016" t="n"/>
      <c r="T37" s="1016" t="n"/>
      <c r="U37" s="1016" t="n"/>
      <c r="V37" s="1016" t="n"/>
      <c r="W37" s="1016" t="n"/>
      <c r="X37" s="1016" t="n"/>
      <c r="Y37" s="1016" t="n"/>
      <c r="Z37" s="1016" t="n"/>
      <c r="AA37" s="1016" t="n"/>
      <c r="AB37" s="1016" t="n"/>
      <c r="AC37" s="194" t="n"/>
      <c r="AN37" s="2" t="inlineStr">
        <is>
          <t>GUAINIA</t>
        </is>
      </c>
    </row>
    <row r="38" ht="18.75" customHeight="1">
      <c r="A38" s="979" t="inlineStr">
        <is>
          <t>Polio oral</t>
        </is>
      </c>
      <c r="B38" s="980" t="n"/>
      <c r="C38" s="1017">
        <f>ENERO!#REF!</f>
        <v/>
      </c>
      <c r="D38" s="1018" t="n"/>
      <c r="E38" s="1018" t="n"/>
      <c r="F38" s="1018" t="n"/>
      <c r="G38" s="1018" t="n"/>
      <c r="H38" s="1018" t="n"/>
      <c r="I38" s="983">
        <f>AC38</f>
        <v/>
      </c>
      <c r="J38" s="1019">
        <f>+(C38+D38+F38+E38)-(G38+H38+I38)</f>
        <v/>
      </c>
      <c r="K38" s="985" t="n"/>
      <c r="L38" s="986" t="n"/>
      <c r="M38" s="987" t="n"/>
      <c r="N38" s="988">
        <f>IFERROR(IF(DATEDIF(TODAY(),M38,"M")&lt;=6,"ROJO",IF(DATEDIF(TODAY(),M38,"M")&gt;=12,"VERDE",IF(AND(DATEDIF(TODAY(),M38,"M")&gt;6,DATEDIF(TODAY(),M38,"M")&lt;=11),"AMARILLO",IF(M38&lt;TODAY(),"VENCIDO",0)))),O38)</f>
        <v/>
      </c>
      <c r="O38" s="989">
        <f>IF(M38=0,"","VENCIDO")</f>
        <v/>
      </c>
      <c r="Q38" s="990" t="n"/>
      <c r="R38" s="991" t="n"/>
      <c r="S38" s="991" t="n"/>
      <c r="T38" s="991" t="n"/>
      <c r="U38" s="991" t="n"/>
      <c r="V38" s="991" t="n"/>
      <c r="W38" s="991" t="n"/>
      <c r="X38" s="991" t="n"/>
      <c r="Y38" s="991" t="n"/>
      <c r="Z38" s="991" t="n"/>
      <c r="AA38" s="991" t="n"/>
      <c r="AB38" s="991" t="n"/>
      <c r="AC38" s="992">
        <f>SUM(Q38:AB42)</f>
        <v/>
      </c>
      <c r="AH38" s="2">
        <f>+IF(AC38&lt;&gt;I38,1,0)</f>
        <v/>
      </c>
      <c r="AN38" s="2" t="inlineStr">
        <is>
          <t>GUAVIARE</t>
        </is>
      </c>
    </row>
    <row r="39" ht="15" customHeight="1">
      <c r="A39" s="993" t="n"/>
      <c r="B39" s="972" t="n"/>
      <c r="C39" s="973" t="n"/>
      <c r="D39" s="994" t="n"/>
      <c r="E39" s="994" t="n"/>
      <c r="F39" s="994" t="n"/>
      <c r="G39" s="994" t="n"/>
      <c r="H39" s="994" t="n"/>
      <c r="I39" s="973" t="n"/>
      <c r="J39" s="973" t="n"/>
      <c r="K39" s="995" t="n"/>
      <c r="L39" s="996" t="n"/>
      <c r="M39" s="987" t="n"/>
      <c r="N39" s="988">
        <f>IFERROR(IF(DATEDIF(TODAY(),M39,"M")&lt;=6,"ROJO",IF(DATEDIF(TODAY(),M39,"M")&gt;=12,"VERDE",IF(AND(DATEDIF(TODAY(),M39,"M")&gt;6,DATEDIF(TODAY(),M39,"M")&lt;=11),"AMARILLO",IF(M39&lt;TODAY(),"VENCIDO",0)))),O39)</f>
        <v/>
      </c>
      <c r="O39" s="989">
        <f>IF(M39=0,"","VENCIDO")</f>
        <v/>
      </c>
      <c r="Q39" s="997" t="n"/>
      <c r="R39" s="994" t="n"/>
      <c r="S39" s="994" t="n"/>
      <c r="T39" s="994" t="n"/>
      <c r="U39" s="994" t="n"/>
      <c r="V39" s="994" t="n"/>
      <c r="W39" s="994" t="n"/>
      <c r="X39" s="994" t="n"/>
      <c r="Y39" s="994" t="n"/>
      <c r="Z39" s="994" t="n"/>
      <c r="AA39" s="994" t="n"/>
      <c r="AB39" s="994" t="n"/>
      <c r="AC39" s="974" t="n"/>
      <c r="AN39" s="2" t="inlineStr">
        <is>
          <t>HUILA</t>
        </is>
      </c>
    </row>
    <row r="40" ht="15" customHeight="1">
      <c r="A40" s="993" t="n"/>
      <c r="B40" s="972" t="n"/>
      <c r="C40" s="973" t="n"/>
      <c r="D40" s="994" t="n"/>
      <c r="E40" s="994" t="n"/>
      <c r="F40" s="994" t="n"/>
      <c r="G40" s="994" t="n"/>
      <c r="H40" s="994" t="n"/>
      <c r="I40" s="973" t="n"/>
      <c r="J40" s="973" t="n"/>
      <c r="K40" s="995" t="n"/>
      <c r="L40" s="996" t="n"/>
      <c r="M40" s="987" t="n"/>
      <c r="N40" s="988">
        <f>IFERROR(IF(DATEDIF(TODAY(),M40,"M")&lt;=6,"ROJO",IF(DATEDIF(TODAY(),M40,"M")&gt;=12,"VERDE",IF(AND(DATEDIF(TODAY(),M40,"M")&gt;6,DATEDIF(TODAY(),M40,"M")&lt;=11),"AMARILLO",IF(M40&lt;TODAY(),"VENCIDO",0)))),O40)</f>
        <v/>
      </c>
      <c r="O40" s="989">
        <f>IF(M40=0,"","VENCIDO")</f>
        <v/>
      </c>
      <c r="Q40" s="997" t="n"/>
      <c r="R40" s="994" t="n"/>
      <c r="S40" s="994" t="n"/>
      <c r="T40" s="994" t="n"/>
      <c r="U40" s="994" t="n"/>
      <c r="V40" s="994" t="n"/>
      <c r="W40" s="994" t="n"/>
      <c r="X40" s="994" t="n"/>
      <c r="Y40" s="994" t="n"/>
      <c r="Z40" s="994" t="n"/>
      <c r="AA40" s="994" t="n"/>
      <c r="AB40" s="994" t="n"/>
      <c r="AC40" s="974" t="n"/>
      <c r="AN40" s="2" t="inlineStr">
        <is>
          <t>LA GUAJIRA</t>
        </is>
      </c>
    </row>
    <row r="41" ht="15" customHeight="1">
      <c r="A41" s="993" t="n"/>
      <c r="B41" s="972" t="n"/>
      <c r="C41" s="973" t="n"/>
      <c r="D41" s="994" t="n"/>
      <c r="E41" s="994" t="n"/>
      <c r="F41" s="994" t="n"/>
      <c r="G41" s="994" t="n"/>
      <c r="H41" s="994" t="n"/>
      <c r="I41" s="973" t="n"/>
      <c r="J41" s="973" t="n"/>
      <c r="K41" s="995" t="n"/>
      <c r="L41" s="996" t="n"/>
      <c r="M41" s="987" t="n"/>
      <c r="N41" s="988">
        <f>IFERROR(IF(DATEDIF(TODAY(),M41,"M")&lt;=6,"ROJO",IF(DATEDIF(TODAY(),M41,"M")&gt;=12,"VERDE",IF(AND(DATEDIF(TODAY(),M41,"M")&gt;6,DATEDIF(TODAY(),M41,"M")&lt;=11),"AMARILLO",IF(M41&lt;TODAY(),"VENCIDO",0)))),O41)</f>
        <v/>
      </c>
      <c r="O41" s="989">
        <f>IF(M41=0,"","VENCIDO")</f>
        <v/>
      </c>
      <c r="Q41" s="997" t="n"/>
      <c r="R41" s="994" t="n"/>
      <c r="S41" s="994" t="n"/>
      <c r="T41" s="994" t="n"/>
      <c r="U41" s="994" t="n"/>
      <c r="V41" s="994" t="n"/>
      <c r="W41" s="994" t="n"/>
      <c r="X41" s="994" t="n"/>
      <c r="Y41" s="994" t="n"/>
      <c r="Z41" s="994" t="n"/>
      <c r="AA41" s="994" t="n"/>
      <c r="AB41" s="994" t="n"/>
      <c r="AC41" s="974" t="n"/>
      <c r="AN41" s="2" t="inlineStr">
        <is>
          <t>MAGDALENA</t>
        </is>
      </c>
    </row>
    <row r="42" ht="15.75" customHeight="1" thickBot="1">
      <c r="A42" s="993" t="n"/>
      <c r="B42" s="972" t="n"/>
      <c r="C42" s="999" t="n"/>
      <c r="D42" s="1020" t="n"/>
      <c r="E42" s="1020" t="n"/>
      <c r="F42" s="1020" t="n"/>
      <c r="G42" s="1020" t="n"/>
      <c r="H42" s="1020" t="n"/>
      <c r="I42" s="999" t="n"/>
      <c r="J42" s="999" t="n"/>
      <c r="K42" s="1000" t="n"/>
      <c r="L42" s="1001" t="n"/>
      <c r="M42" s="987" t="n"/>
      <c r="N42" s="988">
        <f>IFERROR(IF(DATEDIF(TODAY(),M42,"M")&lt;=6,"ROJO",IF(DATEDIF(TODAY(),M42,"M")&gt;=12,"VERDE",IF(AND(DATEDIF(TODAY(),M42,"M")&gt;6,DATEDIF(TODAY(),M42,"M")&lt;=11),"AMARILLO",IF(M42&lt;TODAY(),"VENCIDO",0)))),O42)</f>
        <v/>
      </c>
      <c r="O42" s="989">
        <f>IF(M42=0,"","VENCIDO")</f>
        <v/>
      </c>
      <c r="Q42" s="1002" t="n"/>
      <c r="R42" s="998" t="n"/>
      <c r="S42" s="998" t="n"/>
      <c r="T42" s="998" t="n"/>
      <c r="U42" s="998" t="n"/>
      <c r="V42" s="998" t="n"/>
      <c r="W42" s="998" t="n"/>
      <c r="X42" s="998" t="n"/>
      <c r="Y42" s="998" t="n"/>
      <c r="Z42" s="998" t="n"/>
      <c r="AA42" s="998" t="n"/>
      <c r="AB42" s="998" t="n"/>
      <c r="AC42" s="1003" t="n"/>
      <c r="AE42" s="2">
        <f>IFERROR(AA40*100/(W40+AA40),0)</f>
        <v/>
      </c>
      <c r="AN42" s="2" t="inlineStr">
        <is>
          <t>SANTA MARTA</t>
        </is>
      </c>
    </row>
    <row r="43" ht="14.4" customHeight="1" thickBot="1">
      <c r="A43" s="1004" t="n"/>
      <c r="B43" s="1005" t="n"/>
      <c r="C43" s="1021" t="n"/>
      <c r="D43" s="1022" t="n"/>
      <c r="E43" s="1022" t="n"/>
      <c r="F43" s="1023" t="n"/>
      <c r="G43" s="1023" t="n"/>
      <c r="H43" s="1023" t="n"/>
      <c r="I43" s="1024" t="n"/>
      <c r="J43" s="1010">
        <f>J38=K43</f>
        <v/>
      </c>
      <c r="K43" s="1025">
        <f>SUM(K38:K42)</f>
        <v/>
      </c>
      <c r="L43" s="1015" t="n"/>
      <c r="M43" s="1013" t="n"/>
      <c r="N43" s="1014">
        <f>IFERROR(IF(DATEDIF(TODAY(),M43,"M")&lt;=6,"ROJO",IF(DATEDIF(TODAY(),M43,"M")&gt;=12,"VERDE",IF(AND(DATEDIF(TODAY(),M43,"M")&gt;6,DATEDIF(TODAY(),M43,"M")&lt;=11),"AMARILLO",IF(M43&lt;TODAY(),"VENCIDO",0)))),O43)</f>
        <v/>
      </c>
      <c r="O43" s="989">
        <f>IF(M43=0,"","VENCIDO")</f>
        <v/>
      </c>
      <c r="Q43" s="1015" t="n"/>
      <c r="R43" s="1016" t="n"/>
      <c r="S43" s="1016" t="n"/>
      <c r="T43" s="1016" t="n"/>
      <c r="U43" s="1016" t="n"/>
      <c r="V43" s="1016" t="n"/>
      <c r="W43" s="1016" t="n"/>
      <c r="X43" s="1016" t="n"/>
      <c r="Y43" s="1016" t="n"/>
      <c r="Z43" s="1016" t="n"/>
      <c r="AA43" s="1016" t="n"/>
      <c r="AB43" s="1016" t="n"/>
      <c r="AC43" s="194" t="n"/>
      <c r="AN43" s="2" t="inlineStr">
        <is>
          <t>META</t>
        </is>
      </c>
    </row>
    <row r="44" ht="14.25" customHeight="1">
      <c r="A44" s="979" t="inlineStr">
        <is>
          <t>Pentavalente</t>
        </is>
      </c>
      <c r="B44" s="980" t="n"/>
      <c r="C44" s="1017">
        <f>ENERO!K37</f>
        <v/>
      </c>
      <c r="D44" s="1018" t="n"/>
      <c r="E44" s="1018" t="n"/>
      <c r="F44" s="1018" t="n"/>
      <c r="G44" s="1018" t="n"/>
      <c r="H44" s="1018" t="n"/>
      <c r="I44" s="983">
        <f>AC44</f>
        <v/>
      </c>
      <c r="J44" s="1019">
        <f>+(C44+D44+F44+E44)-(G44+H44+I44)</f>
        <v/>
      </c>
      <c r="K44" s="985" t="n"/>
      <c r="L44" s="986" t="n"/>
      <c r="M44" s="987" t="n"/>
      <c r="N44" s="988">
        <f>IFERROR(IF(DATEDIF(TODAY(),M44,"M")&lt;=6,"ROJO",IF(DATEDIF(TODAY(),M44,"M")&gt;=12,"VERDE",IF(AND(DATEDIF(TODAY(),M44,"M")&gt;6,DATEDIF(TODAY(),M44,"M")&lt;=11),"AMARILLO",IF(M44&lt;TODAY(),"VENCIDO",0)))),O44)</f>
        <v/>
      </c>
      <c r="O44" s="989">
        <f>IF(M44=0,"","VENCIDO")</f>
        <v/>
      </c>
      <c r="Q44" s="990" t="n"/>
      <c r="R44" s="991" t="n"/>
      <c r="S44" s="991" t="n"/>
      <c r="T44" s="991" t="n"/>
      <c r="U44" s="991" t="n"/>
      <c r="V44" s="991" t="n"/>
      <c r="W44" s="991" t="n"/>
      <c r="X44" s="991" t="n"/>
      <c r="Y44" s="991" t="n"/>
      <c r="Z44" s="991" t="n"/>
      <c r="AA44" s="991" t="n"/>
      <c r="AB44" s="991" t="n"/>
      <c r="AC44" s="992">
        <f>SUM(Q44:AB48)</f>
        <v/>
      </c>
      <c r="AH44" s="2">
        <f>+IF(AC44&lt;&gt;I44,1,0)</f>
        <v/>
      </c>
      <c r="AN44" s="2" t="inlineStr">
        <is>
          <t>NARIÑO</t>
        </is>
      </c>
    </row>
    <row r="45" ht="14.25" customHeight="1">
      <c r="A45" s="993" t="n"/>
      <c r="B45" s="972" t="n"/>
      <c r="C45" s="973" t="n"/>
      <c r="D45" s="994" t="n"/>
      <c r="E45" s="994" t="n"/>
      <c r="F45" s="994" t="n"/>
      <c r="G45" s="994" t="n"/>
      <c r="H45" s="994" t="n"/>
      <c r="I45" s="973" t="n"/>
      <c r="J45" s="973" t="n"/>
      <c r="K45" s="995" t="n"/>
      <c r="L45" s="996" t="n"/>
      <c r="M45" s="987" t="n"/>
      <c r="N45" s="988">
        <f>IFERROR(IF(DATEDIF(TODAY(),M45,"M")&lt;=6,"ROJO",IF(DATEDIF(TODAY(),M45,"M")&gt;=12,"VERDE",IF(AND(DATEDIF(TODAY(),M45,"M")&gt;6,DATEDIF(TODAY(),M45,"M")&lt;=11),"AMARILLO",IF(M45&lt;TODAY(),"VENCIDO",0)))),O45)</f>
        <v/>
      </c>
      <c r="O45" s="989">
        <f>IF(M45=0,"","VENCIDO")</f>
        <v/>
      </c>
      <c r="Q45" s="997" t="n"/>
      <c r="R45" s="994" t="n"/>
      <c r="S45" s="994" t="n"/>
      <c r="T45" s="994" t="n"/>
      <c r="U45" s="994" t="n"/>
      <c r="V45" s="994" t="n"/>
      <c r="W45" s="994" t="n"/>
      <c r="X45" s="994" t="n"/>
      <c r="Y45" s="994" t="n"/>
      <c r="Z45" s="994" t="n"/>
      <c r="AA45" s="994" t="n"/>
      <c r="AB45" s="994" t="n"/>
      <c r="AC45" s="974" t="n"/>
      <c r="AN45" s="2" t="inlineStr">
        <is>
          <t>NORTE DE SANTANDER</t>
        </is>
      </c>
    </row>
    <row r="46" ht="14.25" customHeight="1">
      <c r="A46" s="993" t="n"/>
      <c r="B46" s="972" t="n"/>
      <c r="C46" s="973" t="n"/>
      <c r="D46" s="994" t="n"/>
      <c r="E46" s="994" t="n"/>
      <c r="F46" s="994" t="n"/>
      <c r="G46" s="994" t="n"/>
      <c r="H46" s="994" t="n"/>
      <c r="I46" s="973" t="n"/>
      <c r="J46" s="973" t="n"/>
      <c r="K46" s="995" t="n"/>
      <c r="L46" s="996" t="n"/>
      <c r="M46" s="987" t="n"/>
      <c r="N46" s="988">
        <f>IFERROR(IF(DATEDIF(TODAY(),M46,"M")&lt;=6,"ROJO",IF(DATEDIF(TODAY(),M46,"M")&gt;=12,"VERDE",IF(AND(DATEDIF(TODAY(),M46,"M")&gt;6,DATEDIF(TODAY(),M46,"M")&lt;=11),"AMARILLO",IF(M46&lt;TODAY(),"VENCIDO",0)))),O46)</f>
        <v/>
      </c>
      <c r="O46" s="989">
        <f>IF(M46=0,"","VENCIDO")</f>
        <v/>
      </c>
      <c r="Q46" s="997" t="n"/>
      <c r="R46" s="994" t="n"/>
      <c r="S46" s="994" t="n"/>
      <c r="T46" s="994" t="n"/>
      <c r="U46" s="994" t="n"/>
      <c r="V46" s="994" t="n"/>
      <c r="W46" s="994" t="n"/>
      <c r="X46" s="994" t="n"/>
      <c r="Y46" s="994" t="n"/>
      <c r="Z46" s="994" t="n"/>
      <c r="AA46" s="994" t="n"/>
      <c r="AB46" s="994" t="n"/>
      <c r="AC46" s="974" t="n"/>
      <c r="AN46" s="2" t="inlineStr">
        <is>
          <t>PUTUMAYO</t>
        </is>
      </c>
    </row>
    <row r="47" ht="14.25" customHeight="1">
      <c r="A47" s="993" t="n"/>
      <c r="B47" s="972" t="n"/>
      <c r="C47" s="973" t="n"/>
      <c r="D47" s="994" t="n"/>
      <c r="E47" s="994" t="n"/>
      <c r="F47" s="994" t="n"/>
      <c r="G47" s="994" t="n"/>
      <c r="H47" s="994" t="n"/>
      <c r="I47" s="973" t="n"/>
      <c r="J47" s="973" t="n"/>
      <c r="K47" s="995" t="n"/>
      <c r="L47" s="996" t="n"/>
      <c r="M47" s="987" t="n"/>
      <c r="N47" s="988">
        <f>IFERROR(IF(DATEDIF(TODAY(),M47,"M")&lt;=6,"ROJO",IF(DATEDIF(TODAY(),M47,"M")&gt;=12,"VERDE",IF(AND(DATEDIF(TODAY(),M47,"M")&gt;6,DATEDIF(TODAY(),M47,"M")&lt;=11),"AMARILLO",IF(M47&lt;TODAY(),"VENCIDO",0)))),O47)</f>
        <v/>
      </c>
      <c r="O47" s="989">
        <f>IF(M47=0,"","VENCIDO")</f>
        <v/>
      </c>
      <c r="Q47" s="997" t="n"/>
      <c r="R47" s="994" t="n"/>
      <c r="S47" s="994" t="n"/>
      <c r="T47" s="994" t="n"/>
      <c r="U47" s="994" t="n"/>
      <c r="V47" s="994" t="n"/>
      <c r="W47" s="994" t="n"/>
      <c r="X47" s="994" t="n"/>
      <c r="Y47" s="994" t="n"/>
      <c r="Z47" s="994" t="n"/>
      <c r="AA47" s="994" t="n"/>
      <c r="AB47" s="994" t="n"/>
      <c r="AC47" s="974" t="n"/>
      <c r="AE47" s="2">
        <f>IFERROR(AA45*100/(W45+AA45),0)</f>
        <v/>
      </c>
      <c r="AN47" s="2" t="inlineStr">
        <is>
          <t>QUINDIO</t>
        </is>
      </c>
    </row>
    <row r="48" ht="15" customHeight="1" thickBot="1">
      <c r="A48" s="993" t="n"/>
      <c r="B48" s="972" t="n"/>
      <c r="C48" s="999" t="n"/>
      <c r="D48" s="1020" t="n"/>
      <c r="E48" s="1020" t="n"/>
      <c r="F48" s="1020" t="n"/>
      <c r="G48" s="1020" t="n"/>
      <c r="H48" s="1020" t="n"/>
      <c r="I48" s="999" t="n"/>
      <c r="J48" s="999" t="n"/>
      <c r="K48" s="1000" t="n"/>
      <c r="L48" s="1001" t="n"/>
      <c r="M48" s="987" t="n"/>
      <c r="N48" s="988">
        <f>IFERROR(IF(DATEDIF(TODAY(),M48,"M")&lt;=6,"ROJO",IF(DATEDIF(TODAY(),M48,"M")&gt;=12,"VERDE",IF(AND(DATEDIF(TODAY(),M48,"M")&gt;6,DATEDIF(TODAY(),M48,"M")&lt;=11),"AMARILLO",IF(M48&lt;TODAY(),"VENCIDO",0)))),O48)</f>
        <v/>
      </c>
      <c r="O48" s="989">
        <f>IF(M48=0,"","VENCIDO")</f>
        <v/>
      </c>
      <c r="Q48" s="1002" t="n"/>
      <c r="R48" s="998" t="n"/>
      <c r="S48" s="998" t="n"/>
      <c r="T48" s="998" t="n"/>
      <c r="U48" s="998" t="n"/>
      <c r="V48" s="998" t="n"/>
      <c r="W48" s="998" t="n"/>
      <c r="X48" s="998" t="n"/>
      <c r="Y48" s="998" t="n"/>
      <c r="Z48" s="998" t="n"/>
      <c r="AA48" s="998" t="n"/>
      <c r="AB48" s="998" t="n"/>
      <c r="AC48" s="1003" t="n"/>
      <c r="AN48" s="2" t="inlineStr">
        <is>
          <t>RISARALDA</t>
        </is>
      </c>
    </row>
    <row r="49" ht="14.4" customHeight="1" thickBot="1">
      <c r="A49" s="1004" t="n"/>
      <c r="B49" s="1005" t="n"/>
      <c r="C49" s="1021" t="n"/>
      <c r="D49" s="1022" t="n"/>
      <c r="E49" s="1022" t="n"/>
      <c r="F49" s="1023" t="n"/>
      <c r="G49" s="1023" t="n"/>
      <c r="H49" s="1023" t="n"/>
      <c r="I49" s="1024" t="n"/>
      <c r="J49" s="1010">
        <f>J44=K49</f>
        <v/>
      </c>
      <c r="K49" s="1025">
        <f>SUM(K44:K48)</f>
        <v/>
      </c>
      <c r="L49" s="1015" t="n"/>
      <c r="M49" s="1013" t="n"/>
      <c r="N49" s="1014">
        <f>IFERROR(IF(DATEDIF(TODAY(),M49,"M")&lt;=6,"ROJO",IF(DATEDIF(TODAY(),M49,"M")&gt;=12,"VERDE",IF(AND(DATEDIF(TODAY(),M49,"M")&gt;6,DATEDIF(TODAY(),M49,"M")&lt;=11),"AMARILLO",IF(M49&lt;TODAY(),"VENCIDO",0)))),O49)</f>
        <v/>
      </c>
      <c r="O49" s="989">
        <f>IF(M49=0,"","VENCIDO")</f>
        <v/>
      </c>
      <c r="Q49" s="1015" t="n"/>
      <c r="R49" s="1016" t="n"/>
      <c r="S49" s="1016" t="n"/>
      <c r="T49" s="1016" t="n"/>
      <c r="U49" s="1016" t="n"/>
      <c r="V49" s="1016" t="n"/>
      <c r="W49" s="1016" t="n"/>
      <c r="X49" s="1016" t="n"/>
      <c r="Y49" s="1016" t="n"/>
      <c r="Z49" s="1016" t="n"/>
      <c r="AA49" s="1016" t="n"/>
      <c r="AB49" s="1016" t="n"/>
      <c r="AC49" s="194" t="n"/>
      <c r="AN49" s="2" t="inlineStr">
        <is>
          <t>SAN ANDRES ISLA</t>
        </is>
      </c>
    </row>
    <row r="50" ht="14.25" customHeight="1">
      <c r="A50" s="979" t="inlineStr">
        <is>
          <t>Hexavalente</t>
        </is>
      </c>
      <c r="B50" s="980" t="n"/>
      <c r="C50" s="1017">
        <f>ENERO!K43</f>
        <v/>
      </c>
      <c r="D50" s="1018" t="n"/>
      <c r="E50" s="1018" t="n"/>
      <c r="F50" s="1018" t="n"/>
      <c r="G50" s="1018" t="n"/>
      <c r="H50" s="1018" t="n"/>
      <c r="I50" s="983">
        <f>AC50</f>
        <v/>
      </c>
      <c r="J50" s="1019">
        <f>+(C50+D50+F50+E50)-(G50+H50+I50)</f>
        <v/>
      </c>
      <c r="K50" s="985" t="n"/>
      <c r="L50" s="986" t="n"/>
      <c r="M50" s="987" t="n"/>
      <c r="N50" s="988">
        <f>IFERROR(IF(DATEDIF(TODAY(),M50,"M")&lt;=6,"ROJO",IF(DATEDIF(TODAY(),M50,"M")&gt;=12,"VERDE",IF(AND(DATEDIF(TODAY(),M50,"M")&gt;6,DATEDIF(TODAY(),M50,"M")&lt;=11),"AMARILLO",IF(M50&lt;TODAY(),"VENCIDO",0)))),O50)</f>
        <v/>
      </c>
      <c r="O50" s="989">
        <f>IF(M50=0,"","VENCIDO")</f>
        <v/>
      </c>
      <c r="Q50" s="990" t="n"/>
      <c r="R50" s="991" t="n"/>
      <c r="S50" s="991" t="n"/>
      <c r="T50" s="991" t="n"/>
      <c r="U50" s="991" t="n"/>
      <c r="V50" s="991" t="n"/>
      <c r="W50" s="991" t="n"/>
      <c r="X50" s="991" t="n"/>
      <c r="Y50" s="991" t="n"/>
      <c r="Z50" s="991" t="n"/>
      <c r="AA50" s="991" t="n"/>
      <c r="AB50" s="991" t="n"/>
      <c r="AC50" s="992">
        <f>SUM(Q50:AB54)</f>
        <v/>
      </c>
      <c r="AH50" s="2">
        <f>+IF(AC50&lt;&gt;I50,1,0)</f>
        <v/>
      </c>
      <c r="AN50" s="2" t="inlineStr">
        <is>
          <t>NARIÑO</t>
        </is>
      </c>
    </row>
    <row r="51" ht="14.25" customHeight="1">
      <c r="A51" s="993" t="n"/>
      <c r="B51" s="972" t="n"/>
      <c r="C51" s="973" t="n"/>
      <c r="D51" s="994" t="n"/>
      <c r="E51" s="994" t="n"/>
      <c r="F51" s="994" t="n"/>
      <c r="G51" s="994" t="n"/>
      <c r="H51" s="994" t="n"/>
      <c r="I51" s="973" t="n"/>
      <c r="J51" s="973" t="n"/>
      <c r="K51" s="995" t="n"/>
      <c r="L51" s="996" t="n"/>
      <c r="M51" s="987" t="n"/>
      <c r="N51" s="988">
        <f>IFERROR(IF(DATEDIF(TODAY(),M51,"M")&lt;=6,"ROJO",IF(DATEDIF(TODAY(),M51,"M")&gt;=12,"VERDE",IF(AND(DATEDIF(TODAY(),M51,"M")&gt;6,DATEDIF(TODAY(),M51,"M")&lt;=11),"AMARILLO",IF(M51&lt;TODAY(),"VENCIDO",0)))),O51)</f>
        <v/>
      </c>
      <c r="O51" s="989">
        <f>IF(M51=0,"","VENCIDO")</f>
        <v/>
      </c>
      <c r="Q51" s="997" t="n"/>
      <c r="R51" s="994" t="n"/>
      <c r="S51" s="994" t="n"/>
      <c r="T51" s="994" t="n"/>
      <c r="U51" s="994" t="n"/>
      <c r="V51" s="994" t="n"/>
      <c r="W51" s="994" t="n"/>
      <c r="X51" s="994" t="n"/>
      <c r="Y51" s="994" t="n"/>
      <c r="Z51" s="994" t="n"/>
      <c r="AA51" s="994" t="n"/>
      <c r="AB51" s="994" t="n"/>
      <c r="AC51" s="974" t="n"/>
      <c r="AN51" s="2" t="inlineStr">
        <is>
          <t>NORTE DE SANTANDER</t>
        </is>
      </c>
    </row>
    <row r="52" ht="14.25" customHeight="1">
      <c r="A52" s="993" t="n"/>
      <c r="B52" s="972" t="n"/>
      <c r="C52" s="973" t="n"/>
      <c r="D52" s="994" t="n"/>
      <c r="E52" s="994" t="n"/>
      <c r="F52" s="994" t="n"/>
      <c r="G52" s="994" t="n"/>
      <c r="H52" s="994" t="n"/>
      <c r="I52" s="973" t="n"/>
      <c r="J52" s="973" t="n"/>
      <c r="K52" s="995" t="n"/>
      <c r="L52" s="996" t="n"/>
      <c r="M52" s="987" t="n"/>
      <c r="N52" s="988">
        <f>IFERROR(IF(DATEDIF(TODAY(),M52,"M")&lt;=6,"ROJO",IF(DATEDIF(TODAY(),M52,"M")&gt;=12,"VERDE",IF(AND(DATEDIF(TODAY(),M52,"M")&gt;6,DATEDIF(TODAY(),M52,"M")&lt;=11),"AMARILLO",IF(M52&lt;TODAY(),"VENCIDO",0)))),O52)</f>
        <v/>
      </c>
      <c r="O52" s="989">
        <f>IF(M52=0,"","VENCIDO")</f>
        <v/>
      </c>
      <c r="Q52" s="997" t="n"/>
      <c r="R52" s="994" t="n"/>
      <c r="S52" s="994" t="n"/>
      <c r="T52" s="994" t="n"/>
      <c r="U52" s="994" t="n"/>
      <c r="V52" s="994" t="n"/>
      <c r="W52" s="994" t="n"/>
      <c r="X52" s="994" t="n"/>
      <c r="Y52" s="994" t="n"/>
      <c r="Z52" s="994" t="n"/>
      <c r="AA52" s="994" t="n"/>
      <c r="AB52" s="994" t="n"/>
      <c r="AC52" s="974" t="n"/>
      <c r="AN52" s="2" t="inlineStr">
        <is>
          <t>PUTUMAYO</t>
        </is>
      </c>
    </row>
    <row r="53" ht="14.25" customHeight="1">
      <c r="A53" s="993" t="n"/>
      <c r="B53" s="972" t="n"/>
      <c r="C53" s="973" t="n"/>
      <c r="D53" s="994" t="n"/>
      <c r="E53" s="994" t="n"/>
      <c r="F53" s="994" t="n"/>
      <c r="G53" s="994" t="n"/>
      <c r="H53" s="994" t="n"/>
      <c r="I53" s="973" t="n"/>
      <c r="J53" s="973" t="n"/>
      <c r="K53" s="995" t="n"/>
      <c r="L53" s="996" t="n"/>
      <c r="M53" s="987" t="n"/>
      <c r="N53" s="988">
        <f>IFERROR(IF(DATEDIF(TODAY(),M53,"M")&lt;=6,"ROJO",IF(DATEDIF(TODAY(),M53,"M")&gt;=12,"VERDE",IF(AND(DATEDIF(TODAY(),M53,"M")&gt;6,DATEDIF(TODAY(),M53,"M")&lt;=11),"AMARILLO",IF(M53&lt;TODAY(),"VENCIDO",0)))),O53)</f>
        <v/>
      </c>
      <c r="O53" s="989">
        <f>IF(M53=0,"","VENCIDO")</f>
        <v/>
      </c>
      <c r="Q53" s="997" t="n"/>
      <c r="R53" s="994" t="n"/>
      <c r="S53" s="994" t="n"/>
      <c r="T53" s="994" t="n"/>
      <c r="U53" s="994" t="n"/>
      <c r="V53" s="994" t="n"/>
      <c r="W53" s="994" t="n"/>
      <c r="X53" s="994" t="n"/>
      <c r="Y53" s="994" t="n"/>
      <c r="Z53" s="994" t="n"/>
      <c r="AA53" s="994" t="n"/>
      <c r="AB53" s="994" t="n"/>
      <c r="AC53" s="974" t="n"/>
      <c r="AE53" s="2">
        <f>IFERROR(AA51*100/(W51+AA51),0)</f>
        <v/>
      </c>
      <c r="AN53" s="2" t="inlineStr">
        <is>
          <t>QUINDIO</t>
        </is>
      </c>
    </row>
    <row r="54" ht="15" customHeight="1" thickBot="1">
      <c r="A54" s="993" t="n"/>
      <c r="B54" s="972" t="n"/>
      <c r="C54" s="999" t="n"/>
      <c r="D54" s="1020" t="n"/>
      <c r="E54" s="1020" t="n"/>
      <c r="F54" s="1020" t="n"/>
      <c r="G54" s="1020" t="n"/>
      <c r="H54" s="1020" t="n"/>
      <c r="I54" s="999" t="n"/>
      <c r="J54" s="999" t="n"/>
      <c r="K54" s="1000" t="n"/>
      <c r="L54" s="1001" t="n"/>
      <c r="M54" s="987" t="n"/>
      <c r="N54" s="988">
        <f>IFERROR(IF(DATEDIF(TODAY(),M54,"M")&lt;=6,"ROJO",IF(DATEDIF(TODAY(),M54,"M")&gt;=12,"VERDE",IF(AND(DATEDIF(TODAY(),M54,"M")&gt;6,DATEDIF(TODAY(),M54,"M")&lt;=11),"AMARILLO",IF(M54&lt;TODAY(),"VENCIDO",0)))),O54)</f>
        <v/>
      </c>
      <c r="O54" s="989">
        <f>IF(M54=0,"","VENCIDO")</f>
        <v/>
      </c>
      <c r="Q54" s="1002" t="n"/>
      <c r="R54" s="998" t="n"/>
      <c r="S54" s="998" t="n"/>
      <c r="T54" s="998" t="n"/>
      <c r="U54" s="998" t="n"/>
      <c r="V54" s="998" t="n"/>
      <c r="W54" s="998" t="n"/>
      <c r="X54" s="998" t="n"/>
      <c r="Y54" s="998" t="n"/>
      <c r="Z54" s="998" t="n"/>
      <c r="AA54" s="998" t="n"/>
      <c r="AB54" s="998" t="n"/>
      <c r="AC54" s="1003" t="n"/>
      <c r="AN54" s="2" t="inlineStr">
        <is>
          <t>RISARALDA</t>
        </is>
      </c>
    </row>
    <row r="55" ht="14.4" customHeight="1" thickBot="1">
      <c r="A55" s="1004" t="n"/>
      <c r="B55" s="1005" t="n"/>
      <c r="C55" s="1021" t="n"/>
      <c r="D55" s="1022" t="n"/>
      <c r="E55" s="1022" t="n"/>
      <c r="F55" s="1023" t="n"/>
      <c r="G55" s="1023" t="n"/>
      <c r="H55" s="1023" t="n"/>
      <c r="I55" s="1024" t="n"/>
      <c r="J55" s="1010">
        <f>J50=K55</f>
        <v/>
      </c>
      <c r="K55" s="1025">
        <f>SUM(K50:K54)</f>
        <v/>
      </c>
      <c r="L55" s="1015" t="n"/>
      <c r="M55" s="1013" t="n"/>
      <c r="N55" s="1014">
        <f>IFERROR(IF(DATEDIF(TODAY(),M55,"M")&lt;=6,"ROJO",IF(DATEDIF(TODAY(),M55,"M")&gt;=12,"VERDE",IF(AND(DATEDIF(TODAY(),M55,"M")&gt;6,DATEDIF(TODAY(),M55,"M")&lt;=11),"AMARILLO",IF(M55&lt;TODAY(),"VENCIDO",0)))),O55)</f>
        <v/>
      </c>
      <c r="O55" s="989">
        <f>IF(M55=0,"","VENCIDO")</f>
        <v/>
      </c>
      <c r="Q55" s="1015" t="n"/>
      <c r="R55" s="1016" t="n"/>
      <c r="S55" s="1016" t="n"/>
      <c r="T55" s="1016" t="n"/>
      <c r="U55" s="1016" t="n"/>
      <c r="V55" s="1016" t="n"/>
      <c r="W55" s="1016" t="n"/>
      <c r="X55" s="1016" t="n"/>
      <c r="Y55" s="1016" t="n"/>
      <c r="Z55" s="1016" t="n"/>
      <c r="AA55" s="1016" t="n"/>
      <c r="AB55" s="1016" t="n"/>
      <c r="AC55" s="194" t="n"/>
      <c r="AN55" s="2" t="inlineStr">
        <is>
          <t>SAN ANDRES ISLA</t>
        </is>
      </c>
    </row>
    <row r="56" ht="14.25" customHeight="1">
      <c r="A56" s="979" t="inlineStr">
        <is>
          <t>DPT</t>
        </is>
      </c>
      <c r="B56" s="980" t="n"/>
      <c r="C56" s="1017">
        <f>ENERO!K55</f>
        <v/>
      </c>
      <c r="D56" s="1018" t="n"/>
      <c r="E56" s="1018" t="n"/>
      <c r="F56" s="1018" t="n"/>
      <c r="G56" s="1018" t="n"/>
      <c r="H56" s="1018" t="n"/>
      <c r="I56" s="983">
        <f>AC56</f>
        <v/>
      </c>
      <c r="J56" s="1019">
        <f>+(C56+D56+F56+E56)-(G56+H56+I56)</f>
        <v/>
      </c>
      <c r="K56" s="985" t="n"/>
      <c r="L56" s="986" t="n"/>
      <c r="M56" s="987" t="n"/>
      <c r="N56" s="988">
        <f>IFERROR(IF(DATEDIF(TODAY(),M56,"M")&lt;=6,"ROJO",IF(DATEDIF(TODAY(),M56,"M")&gt;=12,"VERDE",IF(AND(DATEDIF(TODAY(),M56,"M")&gt;6,DATEDIF(TODAY(),M56,"M")&lt;=11),"AMARILLO",IF(M56&lt;TODAY(),"VENCIDO",0)))),O56)</f>
        <v/>
      </c>
      <c r="O56" s="989">
        <f>IF(M56=0,"","VENCIDO")</f>
        <v/>
      </c>
      <c r="Q56" s="990" t="n"/>
      <c r="R56" s="991" t="n"/>
      <c r="S56" s="991" t="n"/>
      <c r="T56" s="991" t="n"/>
      <c r="U56" s="991" t="n"/>
      <c r="V56" s="991" t="n"/>
      <c r="W56" s="991" t="n"/>
      <c r="X56" s="991" t="n"/>
      <c r="Y56" s="991" t="n"/>
      <c r="Z56" s="991" t="n"/>
      <c r="AA56" s="991" t="n"/>
      <c r="AB56" s="991" t="n"/>
      <c r="AC56" s="992">
        <f>SUM(Q56:AB60)</f>
        <v/>
      </c>
      <c r="AH56" s="2">
        <f>+IF(AC56&lt;&gt;I56,1,0)</f>
        <v/>
      </c>
      <c r="AN56" s="2" t="inlineStr">
        <is>
          <t>SANTANDER</t>
        </is>
      </c>
    </row>
    <row r="57" ht="14.25" customHeight="1">
      <c r="A57" s="993" t="n"/>
      <c r="B57" s="972" t="n"/>
      <c r="C57" s="973" t="n"/>
      <c r="D57" s="994" t="n"/>
      <c r="E57" s="994" t="n"/>
      <c r="F57" s="994" t="n"/>
      <c r="G57" s="994" t="n"/>
      <c r="H57" s="994" t="n"/>
      <c r="I57" s="973" t="n"/>
      <c r="J57" s="973" t="n"/>
      <c r="K57" s="995" t="n"/>
      <c r="L57" s="996" t="n"/>
      <c r="M57" s="987" t="n"/>
      <c r="N57" s="988">
        <f>IFERROR(IF(DATEDIF(TODAY(),M57,"M")&lt;=6,"ROJO",IF(DATEDIF(TODAY(),M57,"M")&gt;=12,"VERDE",IF(AND(DATEDIF(TODAY(),M57,"M")&gt;6,DATEDIF(TODAY(),M57,"M")&lt;=11),"AMARILLO",IF(M57&lt;TODAY(),"VENCIDO",0)))),O57)</f>
        <v/>
      </c>
      <c r="O57" s="989">
        <f>IF(M57=0,"","VENCIDO")</f>
        <v/>
      </c>
      <c r="Q57" s="997" t="n"/>
      <c r="R57" s="994" t="n"/>
      <c r="S57" s="994" t="n"/>
      <c r="T57" s="994" t="n"/>
      <c r="U57" s="994" t="n"/>
      <c r="V57" s="994" t="n"/>
      <c r="W57" s="994" t="n"/>
      <c r="X57" s="994" t="n"/>
      <c r="Y57" s="994" t="n"/>
      <c r="Z57" s="994" t="n"/>
      <c r="AA57" s="994" t="n"/>
      <c r="AB57" s="994" t="n"/>
      <c r="AC57" s="974" t="n"/>
      <c r="AN57" s="2" t="inlineStr">
        <is>
          <t>SUCRE</t>
        </is>
      </c>
    </row>
    <row r="58" ht="14.25" customHeight="1">
      <c r="A58" s="993" t="n"/>
      <c r="B58" s="972" t="n"/>
      <c r="C58" s="973" t="n"/>
      <c r="D58" s="994" t="n"/>
      <c r="E58" s="994" t="n"/>
      <c r="F58" s="994" t="n"/>
      <c r="G58" s="994" t="n"/>
      <c r="H58" s="994" t="n"/>
      <c r="I58" s="973" t="n"/>
      <c r="J58" s="973" t="n"/>
      <c r="K58" s="995" t="n"/>
      <c r="L58" s="996" t="n"/>
      <c r="M58" s="987" t="n"/>
      <c r="N58" s="988">
        <f>IFERROR(IF(DATEDIF(TODAY(),M58,"M")&lt;=6,"ROJO",IF(DATEDIF(TODAY(),M58,"M")&gt;=12,"VERDE",IF(AND(DATEDIF(TODAY(),M58,"M")&gt;6,DATEDIF(TODAY(),M58,"M")&lt;=11),"AMARILLO",IF(M58&lt;TODAY(),"VENCIDO",0)))),O58)</f>
        <v/>
      </c>
      <c r="O58" s="989">
        <f>IF(M58=0,"","VENCIDO")</f>
        <v/>
      </c>
      <c r="Q58" s="997" t="n"/>
      <c r="R58" s="994" t="n"/>
      <c r="S58" s="994" t="n"/>
      <c r="T58" s="994" t="n"/>
      <c r="U58" s="994" t="n"/>
      <c r="V58" s="994" t="n"/>
      <c r="W58" s="994" t="n"/>
      <c r="X58" s="994" t="n"/>
      <c r="Y58" s="994" t="n"/>
      <c r="Z58" s="994" t="n"/>
      <c r="AA58" s="994" t="n"/>
      <c r="AB58" s="994" t="n"/>
      <c r="AC58" s="974" t="n"/>
      <c r="AN58" s="2" t="inlineStr">
        <is>
          <t>TOLIMA</t>
        </is>
      </c>
    </row>
    <row r="59" ht="14.25" customHeight="1">
      <c r="A59" s="993" t="n"/>
      <c r="B59" s="972" t="n"/>
      <c r="C59" s="973" t="n"/>
      <c r="D59" s="994" t="n"/>
      <c r="E59" s="994" t="n"/>
      <c r="F59" s="994" t="n"/>
      <c r="G59" s="994" t="n"/>
      <c r="H59" s="994" t="n"/>
      <c r="I59" s="973" t="n"/>
      <c r="J59" s="973" t="n"/>
      <c r="K59" s="995" t="n"/>
      <c r="L59" s="996" t="n"/>
      <c r="M59" s="987" t="n"/>
      <c r="N59" s="988">
        <f>IFERROR(IF(DATEDIF(TODAY(),M59,"M")&lt;=6,"ROJO",IF(DATEDIF(TODAY(),M59,"M")&gt;=12,"VERDE",IF(AND(DATEDIF(TODAY(),M59,"M")&gt;6,DATEDIF(TODAY(),M59,"M")&lt;=11),"AMARILLO",IF(M59&lt;TODAY(),"VENCIDO",0)))),O59)</f>
        <v/>
      </c>
      <c r="O59" s="989">
        <f>IF(M59=0,"","VENCIDO")</f>
        <v/>
      </c>
      <c r="Q59" s="997" t="n"/>
      <c r="R59" s="994" t="n"/>
      <c r="S59" s="994" t="n"/>
      <c r="T59" s="994" t="n"/>
      <c r="U59" s="994" t="n"/>
      <c r="V59" s="994" t="n"/>
      <c r="W59" s="994" t="n"/>
      <c r="X59" s="994" t="n"/>
      <c r="Y59" s="994" t="n"/>
      <c r="Z59" s="994" t="n"/>
      <c r="AA59" s="994" t="n"/>
      <c r="AB59" s="994" t="n"/>
      <c r="AC59" s="974" t="n"/>
      <c r="AE59" s="2">
        <f>IFERROR(AA57*100/(W57+AA57),0)</f>
        <v/>
      </c>
      <c r="AN59" s="2" t="inlineStr">
        <is>
          <t>VALLE</t>
        </is>
      </c>
    </row>
    <row r="60" ht="15" customHeight="1" thickBot="1">
      <c r="A60" s="993" t="n"/>
      <c r="B60" s="972" t="n"/>
      <c r="C60" s="999" t="n"/>
      <c r="D60" s="1020" t="n"/>
      <c r="E60" s="1020" t="n"/>
      <c r="F60" s="1020" t="n"/>
      <c r="G60" s="1020" t="n"/>
      <c r="H60" s="1020" t="n"/>
      <c r="I60" s="999" t="n"/>
      <c r="J60" s="999" t="n"/>
      <c r="K60" s="1000" t="n"/>
      <c r="L60" s="1001" t="n"/>
      <c r="M60" s="987" t="n"/>
      <c r="N60" s="988">
        <f>IFERROR(IF(DATEDIF(TODAY(),M60,"M")&lt;=6,"ROJO",IF(DATEDIF(TODAY(),M60,"M")&gt;=12,"VERDE",IF(AND(DATEDIF(TODAY(),M60,"M")&gt;6,DATEDIF(TODAY(),M60,"M")&lt;=11),"AMARILLO",IF(M60&lt;TODAY(),"VENCIDO",0)))),O60)</f>
        <v/>
      </c>
      <c r="O60" s="989">
        <f>IF(M60=0,"","VENCIDO")</f>
        <v/>
      </c>
      <c r="Q60" s="1002" t="n"/>
      <c r="R60" s="998" t="n"/>
      <c r="S60" s="998" t="n"/>
      <c r="T60" s="998" t="n"/>
      <c r="U60" s="998" t="n"/>
      <c r="V60" s="998" t="n"/>
      <c r="W60" s="998" t="n"/>
      <c r="X60" s="998" t="n"/>
      <c r="Y60" s="998" t="n"/>
      <c r="Z60" s="998" t="n"/>
      <c r="AA60" s="998" t="n"/>
      <c r="AB60" s="998" t="n"/>
      <c r="AC60" s="1003" t="n"/>
      <c r="AN60" s="2" t="inlineStr">
        <is>
          <t>BUENAVENTURA</t>
        </is>
      </c>
    </row>
    <row r="61" ht="14.4" customHeight="1" thickBot="1">
      <c r="A61" s="1004" t="n"/>
      <c r="B61" s="1005" t="n"/>
      <c r="C61" s="1021" t="n"/>
      <c r="D61" s="1022" t="n"/>
      <c r="E61" s="1022" t="n"/>
      <c r="F61" s="1023" t="n"/>
      <c r="G61" s="1023" t="n"/>
      <c r="H61" s="1023" t="n"/>
      <c r="I61" s="1024" t="n"/>
      <c r="J61" s="1010">
        <f>J56=K61</f>
        <v/>
      </c>
      <c r="K61" s="1025">
        <f>SUM(K56:K60)</f>
        <v/>
      </c>
      <c r="L61" s="1015" t="n"/>
      <c r="M61" s="1013" t="n"/>
      <c r="N61" s="1014">
        <f>IFERROR(IF(DATEDIF(TODAY(),M61,"M")&lt;=6,"ROJO",IF(DATEDIF(TODAY(),M61,"M")&gt;=12,"VERDE",IF(AND(DATEDIF(TODAY(),M61,"M")&gt;6,DATEDIF(TODAY(),M61,"M")&lt;=11),"AMARILLO",IF(M61&lt;TODAY(),"VENCIDO",0)))),O61)</f>
        <v/>
      </c>
      <c r="O61" s="989">
        <f>IF(M61=0,"","VENCIDO")</f>
        <v/>
      </c>
      <c r="Q61" s="1015" t="n"/>
      <c r="R61" s="1016" t="n"/>
      <c r="S61" s="1016" t="n"/>
      <c r="T61" s="1016" t="n"/>
      <c r="U61" s="1016" t="n"/>
      <c r="V61" s="1016" t="n"/>
      <c r="W61" s="1016" t="n"/>
      <c r="X61" s="1016" t="n"/>
      <c r="Y61" s="1016" t="n"/>
      <c r="Z61" s="1016" t="n"/>
      <c r="AA61" s="1016" t="n"/>
      <c r="AB61" s="1016" t="n"/>
      <c r="AC61" s="194" t="n"/>
      <c r="AN61" s="2" t="inlineStr">
        <is>
          <t>VAUPES</t>
        </is>
      </c>
    </row>
    <row r="62" ht="14.25" customHeight="1">
      <c r="A62" s="979" t="inlineStr">
        <is>
          <t>DTaP Pediatrica</t>
        </is>
      </c>
      <c r="B62" s="980" t="n"/>
      <c r="C62" s="1017">
        <f>ENERO!K61</f>
        <v/>
      </c>
      <c r="D62" s="1018" t="n"/>
      <c r="E62" s="1018" t="n"/>
      <c r="F62" s="1018" t="n"/>
      <c r="G62" s="1018" t="n"/>
      <c r="H62" s="1018" t="n"/>
      <c r="I62" s="983">
        <f>AC62</f>
        <v/>
      </c>
      <c r="J62" s="1019">
        <f>+(C62+D62+F62+E62)-(G62+H62+I62)</f>
        <v/>
      </c>
      <c r="K62" s="985" t="n"/>
      <c r="L62" s="986" t="n"/>
      <c r="M62" s="987" t="n"/>
      <c r="N62" s="988">
        <f>IFERROR(IF(DATEDIF(TODAY(),M62,"M")&lt;=6,"ROJO",IF(DATEDIF(TODAY(),M62,"M")&gt;=12,"VERDE",IF(AND(DATEDIF(TODAY(),M62,"M")&gt;6,DATEDIF(TODAY(),M62,"M")&lt;=11),"AMARILLO",IF(M62&lt;TODAY(),"VENCIDO",0)))),O62)</f>
        <v/>
      </c>
      <c r="O62" s="989">
        <f>IF(M62=0,"","VENCIDO")</f>
        <v/>
      </c>
      <c r="Q62" s="990" t="n"/>
      <c r="R62" s="991" t="n"/>
      <c r="S62" s="991" t="n"/>
      <c r="T62" s="991" t="n"/>
      <c r="U62" s="991" t="n"/>
      <c r="V62" s="991" t="n"/>
      <c r="W62" s="991" t="n"/>
      <c r="X62" s="991" t="n"/>
      <c r="Y62" s="991" t="n"/>
      <c r="Z62" s="991" t="n"/>
      <c r="AA62" s="991" t="n"/>
      <c r="AB62" s="991" t="n"/>
      <c r="AC62" s="992">
        <f>SUM(Q62:AB66)</f>
        <v/>
      </c>
      <c r="AH62" s="2">
        <f>+IF(AC62&lt;&gt;I62,1,0)</f>
        <v/>
      </c>
      <c r="AN62" s="2" t="inlineStr">
        <is>
          <t>VICHADA</t>
        </is>
      </c>
    </row>
    <row r="63" ht="14.25" customHeight="1">
      <c r="A63" s="993" t="n"/>
      <c r="B63" s="972" t="n"/>
      <c r="C63" s="973" t="n"/>
      <c r="D63" s="994" t="n"/>
      <c r="E63" s="994" t="n"/>
      <c r="F63" s="994" t="n"/>
      <c r="G63" s="994" t="n"/>
      <c r="H63" s="994" t="n"/>
      <c r="I63" s="973" t="n"/>
      <c r="J63" s="973" t="n"/>
      <c r="K63" s="995" t="n"/>
      <c r="L63" s="996" t="n"/>
      <c r="M63" s="987" t="n"/>
      <c r="N63" s="988">
        <f>IFERROR(IF(DATEDIF(TODAY(),M63,"M")&lt;=6,"ROJO",IF(DATEDIF(TODAY(),M63,"M")&gt;=12,"VERDE",IF(AND(DATEDIF(TODAY(),M63,"M")&gt;6,DATEDIF(TODAY(),M63,"M")&lt;=11),"AMARILLO",IF(M63&lt;TODAY(),"VENCIDO",0)))),O63)</f>
        <v/>
      </c>
      <c r="O63" s="989">
        <f>IF(M63=0,"","VENCIDO")</f>
        <v/>
      </c>
      <c r="Q63" s="997" t="n"/>
      <c r="R63" s="994" t="n"/>
      <c r="S63" s="994" t="n"/>
      <c r="T63" s="994" t="n"/>
      <c r="U63" s="994" t="n"/>
      <c r="V63" s="994" t="n"/>
      <c r="W63" s="994" t="n"/>
      <c r="X63" s="994" t="n"/>
      <c r="Y63" s="994" t="n"/>
      <c r="Z63" s="994" t="n"/>
      <c r="AA63" s="994" t="n"/>
      <c r="AB63" s="994" t="n"/>
      <c r="AC63" s="974" t="n"/>
    </row>
    <row r="64" ht="14.25" customHeight="1">
      <c r="A64" s="993" t="n"/>
      <c r="B64" s="972" t="n"/>
      <c r="C64" s="973" t="n"/>
      <c r="D64" s="994" t="n"/>
      <c r="E64" s="994" t="n"/>
      <c r="F64" s="994" t="n"/>
      <c r="G64" s="994" t="n"/>
      <c r="H64" s="994" t="n"/>
      <c r="I64" s="973" t="n"/>
      <c r="J64" s="973" t="n"/>
      <c r="K64" s="995" t="n"/>
      <c r="L64" s="996" t="n"/>
      <c r="M64" s="987" t="n"/>
      <c r="N64" s="988">
        <f>IFERROR(IF(DATEDIF(TODAY(),M64,"M")&lt;=6,"ROJO",IF(DATEDIF(TODAY(),M64,"M")&gt;=12,"VERDE",IF(AND(DATEDIF(TODAY(),M64,"M")&gt;6,DATEDIF(TODAY(),M64,"M")&lt;=11),"AMARILLO",IF(M64&lt;TODAY(),"VENCIDO",0)))),O64)</f>
        <v/>
      </c>
      <c r="O64" s="989">
        <f>IF(M64=0,"","VENCIDO")</f>
        <v/>
      </c>
      <c r="Q64" s="997" t="n"/>
      <c r="R64" s="994" t="n"/>
      <c r="S64" s="994" t="n"/>
      <c r="T64" s="994" t="n"/>
      <c r="U64" s="994" t="n"/>
      <c r="V64" s="994" t="n"/>
      <c r="W64" s="994" t="n"/>
      <c r="X64" s="994" t="n"/>
      <c r="Y64" s="994" t="n"/>
      <c r="Z64" s="994" t="n"/>
      <c r="AA64" s="994" t="n"/>
      <c r="AB64" s="994" t="n"/>
      <c r="AC64" s="974" t="n"/>
      <c r="AE64" s="2">
        <f>IFERROR(AA62*100/(W62+AA62),0)</f>
        <v/>
      </c>
    </row>
    <row r="65" ht="14.25" customHeight="1">
      <c r="A65" s="993" t="n"/>
      <c r="B65" s="972" t="n"/>
      <c r="C65" s="973" t="n"/>
      <c r="D65" s="994" t="n"/>
      <c r="E65" s="994" t="n"/>
      <c r="F65" s="994" t="n"/>
      <c r="G65" s="994" t="n"/>
      <c r="H65" s="994" t="n"/>
      <c r="I65" s="973" t="n"/>
      <c r="J65" s="973" t="n"/>
      <c r="K65" s="995" t="n"/>
      <c r="L65" s="996" t="n"/>
      <c r="M65" s="987" t="n"/>
      <c r="N65" s="988">
        <f>IFERROR(IF(DATEDIF(TODAY(),M65,"M")&lt;=6,"ROJO",IF(DATEDIF(TODAY(),M65,"M")&gt;=12,"VERDE",IF(AND(DATEDIF(TODAY(),M65,"M")&gt;6,DATEDIF(TODAY(),M65,"M")&lt;=11),"AMARILLO",IF(M65&lt;TODAY(),"VENCIDO",0)))),O65)</f>
        <v/>
      </c>
      <c r="O65" s="989">
        <f>IF(M65=0,"","VENCIDO")</f>
        <v/>
      </c>
      <c r="Q65" s="997" t="n"/>
      <c r="R65" s="994" t="n"/>
      <c r="S65" s="994" t="n"/>
      <c r="T65" s="994" t="n"/>
      <c r="U65" s="994" t="n"/>
      <c r="V65" s="994" t="n"/>
      <c r="W65" s="994" t="n"/>
      <c r="X65" s="994" t="n"/>
      <c r="Y65" s="994" t="n"/>
      <c r="Z65" s="994" t="n"/>
      <c r="AA65" s="994" t="n"/>
      <c r="AB65" s="994" t="n"/>
      <c r="AC65" s="974" t="n"/>
    </row>
    <row r="66" ht="15" customHeight="1" thickBot="1">
      <c r="A66" s="993" t="n"/>
      <c r="B66" s="972" t="n"/>
      <c r="C66" s="999" t="n"/>
      <c r="D66" s="1020" t="n"/>
      <c r="E66" s="1020" t="n"/>
      <c r="F66" s="1020" t="n"/>
      <c r="G66" s="1020" t="n"/>
      <c r="H66" s="1020" t="n"/>
      <c r="I66" s="999" t="n"/>
      <c r="J66" s="999" t="n"/>
      <c r="K66" s="1000" t="n"/>
      <c r="L66" s="1001" t="n"/>
      <c r="M66" s="987" t="n"/>
      <c r="N66" s="988">
        <f>IFERROR(IF(DATEDIF(TODAY(),M66,"M")&lt;=6,"ROJO",IF(DATEDIF(TODAY(),M66,"M")&gt;=12,"VERDE",IF(AND(DATEDIF(TODAY(),M66,"M")&gt;6,DATEDIF(TODAY(),M66,"M")&lt;=11),"AMARILLO",IF(M66&lt;TODAY(),"VENCIDO",0)))),O66)</f>
        <v/>
      </c>
      <c r="O66" s="989">
        <f>IF(M66=0,"","VENCIDO")</f>
        <v/>
      </c>
      <c r="Q66" s="1002" t="n"/>
      <c r="R66" s="998" t="n"/>
      <c r="S66" s="998" t="n"/>
      <c r="T66" s="998" t="n"/>
      <c r="U66" s="998" t="n"/>
      <c r="V66" s="998" t="n"/>
      <c r="W66" s="998" t="n"/>
      <c r="X66" s="998" t="n"/>
      <c r="Y66" s="998" t="n"/>
      <c r="Z66" s="998" t="n"/>
      <c r="AA66" s="998" t="n"/>
      <c r="AB66" s="998" t="n"/>
      <c r="AC66" s="1003" t="n"/>
    </row>
    <row r="67" ht="14.4" customHeight="1" thickBot="1">
      <c r="A67" s="1004" t="n"/>
      <c r="B67" s="1005" t="n"/>
      <c r="C67" s="1021" t="n"/>
      <c r="D67" s="1022" t="n"/>
      <c r="E67" s="1022" t="n"/>
      <c r="F67" s="1023" t="n"/>
      <c r="G67" s="1023" t="n"/>
      <c r="H67" s="1023" t="n"/>
      <c r="I67" s="1024" t="n"/>
      <c r="J67" s="1010">
        <f>J62=K67</f>
        <v/>
      </c>
      <c r="K67" s="1025">
        <f>SUM(K62:K66)</f>
        <v/>
      </c>
      <c r="L67" s="1015" t="n"/>
      <c r="M67" s="1013" t="n"/>
      <c r="N67" s="1014">
        <f>IFERROR(IF(DATEDIF(TODAY(),M67,"M")&lt;=6,"ROJO",IF(DATEDIF(TODAY(),M67,"M")&gt;=12,"VERDE",IF(AND(DATEDIF(TODAY(),M67,"M")&gt;6,DATEDIF(TODAY(),M67,"M")&lt;=11),"AMARILLO",IF(M67&lt;TODAY(),"VENCIDO",0)))),O67)</f>
        <v/>
      </c>
      <c r="O67" s="989">
        <f>IF(M67=0,"","VENCIDO")</f>
        <v/>
      </c>
      <c r="Q67" s="1015" t="n"/>
      <c r="R67" s="1016" t="n"/>
      <c r="S67" s="1016" t="n"/>
      <c r="T67" s="1016" t="n"/>
      <c r="U67" s="1016" t="n"/>
      <c r="V67" s="1016" t="n"/>
      <c r="W67" s="1016" t="n"/>
      <c r="X67" s="1016" t="n"/>
      <c r="Y67" s="1016" t="n"/>
      <c r="Z67" s="1016" t="n"/>
      <c r="AA67" s="1016" t="n"/>
      <c r="AB67" s="1016" t="n"/>
      <c r="AC67" s="194" t="n"/>
    </row>
    <row r="68" ht="14.25" customHeight="1">
      <c r="A68" s="979" t="inlineStr">
        <is>
          <t>Td pediatrica</t>
        </is>
      </c>
      <c r="B68" s="980" t="n"/>
      <c r="C68" s="1017">
        <f>ENERO!#REF!</f>
        <v/>
      </c>
      <c r="D68" s="1018" t="n"/>
      <c r="E68" s="1018" t="n"/>
      <c r="F68" s="1018" t="n"/>
      <c r="G68" s="1018" t="n"/>
      <c r="H68" s="1018" t="n"/>
      <c r="I68" s="983">
        <f>AC68</f>
        <v/>
      </c>
      <c r="J68" s="1019">
        <f>+(C68+D68+F68+E68)-(G68+H68+I68)</f>
        <v/>
      </c>
      <c r="K68" s="985" t="n"/>
      <c r="L68" s="986" t="n"/>
      <c r="M68" s="987" t="n"/>
      <c r="N68" s="988">
        <f>IFERROR(IF(DATEDIF(TODAY(),M68,"M")&lt;=6,"ROJO",IF(DATEDIF(TODAY(),M68,"M")&gt;=12,"VERDE",IF(AND(DATEDIF(TODAY(),M68,"M")&gt;6,DATEDIF(TODAY(),M68,"M")&lt;=11),"AMARILLO",IF(M68&lt;TODAY(),"VENCIDO",0)))),O68)</f>
        <v/>
      </c>
      <c r="O68" s="989">
        <f>IF(M68=0,"","VENCIDO")</f>
        <v/>
      </c>
      <c r="Q68" s="990" t="n"/>
      <c r="R68" s="991" t="n"/>
      <c r="S68" s="991" t="n"/>
      <c r="T68" s="991" t="n"/>
      <c r="U68" s="991" t="n"/>
      <c r="V68" s="991" t="n"/>
      <c r="W68" s="991" t="n"/>
      <c r="X68" s="991" t="n"/>
      <c r="Y68" s="991" t="n"/>
      <c r="Z68" s="991" t="n"/>
      <c r="AA68" s="991" t="n"/>
      <c r="AB68" s="991" t="n"/>
      <c r="AC68" s="992">
        <f>SUM(Q68:AB72)</f>
        <v/>
      </c>
      <c r="AH68" s="2">
        <f>+IF(AC68&lt;&gt;I68,1,0)</f>
        <v/>
      </c>
    </row>
    <row r="69" ht="14.25" customHeight="1">
      <c r="A69" s="993" t="n"/>
      <c r="B69" s="972" t="n"/>
      <c r="C69" s="973" t="n"/>
      <c r="D69" s="994" t="n"/>
      <c r="E69" s="994" t="n"/>
      <c r="F69" s="994" t="n"/>
      <c r="G69" s="994" t="n"/>
      <c r="H69" s="994" t="n"/>
      <c r="I69" s="973" t="n"/>
      <c r="J69" s="973" t="n"/>
      <c r="K69" s="995" t="n"/>
      <c r="L69" s="996" t="n"/>
      <c r="M69" s="987" t="n"/>
      <c r="N69" s="988">
        <f>IFERROR(IF(DATEDIF(TODAY(),M69,"M")&lt;=6,"ROJO",IF(DATEDIF(TODAY(),M69,"M")&gt;=12,"VERDE",IF(AND(DATEDIF(TODAY(),M69,"M")&gt;6,DATEDIF(TODAY(),M69,"M")&lt;=11),"AMARILLO",IF(M69&lt;TODAY(),"VENCIDO",0)))),O69)</f>
        <v/>
      </c>
      <c r="O69" s="989">
        <f>IF(M69=0,"","VENCIDO")</f>
        <v/>
      </c>
      <c r="Q69" s="997" t="n"/>
      <c r="R69" s="994" t="n"/>
      <c r="S69" s="994" t="n"/>
      <c r="T69" s="994" t="n"/>
      <c r="U69" s="994" t="n"/>
      <c r="V69" s="994" t="n"/>
      <c r="W69" s="994" t="n"/>
      <c r="X69" s="994" t="n"/>
      <c r="Y69" s="994" t="n"/>
      <c r="Z69" s="994" t="n"/>
      <c r="AA69" s="994" t="n"/>
      <c r="AB69" s="994" t="n"/>
      <c r="AC69" s="974" t="n"/>
    </row>
    <row r="70" ht="14.25" customHeight="1">
      <c r="A70" s="993" t="n"/>
      <c r="B70" s="972" t="n"/>
      <c r="C70" s="973" t="n"/>
      <c r="D70" s="994" t="n"/>
      <c r="E70" s="994" t="n"/>
      <c r="F70" s="994" t="n"/>
      <c r="G70" s="994" t="n"/>
      <c r="H70" s="994" t="n"/>
      <c r="I70" s="973" t="n"/>
      <c r="J70" s="973" t="n"/>
      <c r="K70" s="995" t="n"/>
      <c r="L70" s="996" t="n"/>
      <c r="M70" s="987" t="n"/>
      <c r="N70" s="988">
        <f>IFERROR(IF(DATEDIF(TODAY(),M70,"M")&lt;=6,"ROJO",IF(DATEDIF(TODAY(),M70,"M")&gt;=12,"VERDE",IF(AND(DATEDIF(TODAY(),M70,"M")&gt;6,DATEDIF(TODAY(),M70,"M")&lt;=11),"AMARILLO",IF(M70&lt;TODAY(),"VENCIDO",0)))),O70)</f>
        <v/>
      </c>
      <c r="O70" s="989">
        <f>IF(M70=0,"","VENCIDO")</f>
        <v/>
      </c>
      <c r="Q70" s="997" t="n"/>
      <c r="R70" s="994" t="n"/>
      <c r="S70" s="994" t="n"/>
      <c r="T70" s="994" t="n"/>
      <c r="U70" s="994" t="n"/>
      <c r="V70" s="994" t="n"/>
      <c r="W70" s="994" t="n"/>
      <c r="X70" s="994" t="n"/>
      <c r="Y70" s="994" t="n"/>
      <c r="Z70" s="994" t="n"/>
      <c r="AA70" s="994" t="n"/>
      <c r="AB70" s="994" t="n"/>
      <c r="AC70" s="974" t="n"/>
      <c r="AE70" s="2">
        <f>IFERROR(AA68*100/(W68+AA68),0)</f>
        <v/>
      </c>
    </row>
    <row r="71" ht="14.25" customHeight="1">
      <c r="A71" s="993" t="n"/>
      <c r="B71" s="972" t="n"/>
      <c r="C71" s="973" t="n"/>
      <c r="D71" s="994" t="n"/>
      <c r="E71" s="994" t="n"/>
      <c r="F71" s="994" t="n"/>
      <c r="G71" s="994" t="n"/>
      <c r="H71" s="994" t="n"/>
      <c r="I71" s="973" t="n"/>
      <c r="J71" s="973" t="n"/>
      <c r="K71" s="995" t="n"/>
      <c r="L71" s="996" t="n"/>
      <c r="M71" s="987" t="n"/>
      <c r="N71" s="988">
        <f>IFERROR(IF(DATEDIF(TODAY(),M71,"M")&lt;=6,"ROJO",IF(DATEDIF(TODAY(),M71,"M")&gt;=12,"VERDE",IF(AND(DATEDIF(TODAY(),M71,"M")&gt;6,DATEDIF(TODAY(),M71,"M")&lt;=11),"AMARILLO",IF(M71&lt;TODAY(),"VENCIDO",0)))),O71)</f>
        <v/>
      </c>
      <c r="O71" s="989">
        <f>IF(M71=0,"","VENCIDO")</f>
        <v/>
      </c>
      <c r="Q71" s="997" t="n"/>
      <c r="R71" s="994" t="n"/>
      <c r="S71" s="994" t="n"/>
      <c r="T71" s="994" t="n"/>
      <c r="U71" s="994" t="n"/>
      <c r="V71" s="994" t="n"/>
      <c r="W71" s="994" t="n"/>
      <c r="X71" s="994" t="n"/>
      <c r="Y71" s="994" t="n"/>
      <c r="Z71" s="994" t="n"/>
      <c r="AA71" s="994" t="n"/>
      <c r="AB71" s="994" t="n"/>
      <c r="AC71" s="974" t="n"/>
    </row>
    <row r="72" ht="15" customHeight="1" thickBot="1">
      <c r="A72" s="993" t="n"/>
      <c r="B72" s="972" t="n"/>
      <c r="C72" s="999" t="n"/>
      <c r="D72" s="1020" t="n"/>
      <c r="E72" s="1020" t="n"/>
      <c r="F72" s="1020" t="n"/>
      <c r="G72" s="1020" t="n"/>
      <c r="H72" s="1020" t="n"/>
      <c r="I72" s="999" t="n"/>
      <c r="J72" s="999" t="n"/>
      <c r="K72" s="1000" t="n"/>
      <c r="L72" s="1001" t="n"/>
      <c r="M72" s="987" t="n"/>
      <c r="N72" s="988">
        <f>IFERROR(IF(DATEDIF(TODAY(),M72,"M")&lt;=6,"ROJO",IF(DATEDIF(TODAY(),M72,"M")&gt;=12,"VERDE",IF(AND(DATEDIF(TODAY(),M72,"M")&gt;6,DATEDIF(TODAY(),M72,"M")&lt;=11),"AMARILLO",IF(M72&lt;TODAY(),"VENCIDO",0)))),O72)</f>
        <v/>
      </c>
      <c r="O72" s="989">
        <f>IF(M72=0,"","VENCIDO")</f>
        <v/>
      </c>
      <c r="Q72" s="1002" t="n"/>
      <c r="R72" s="998" t="n"/>
      <c r="S72" s="998" t="n"/>
      <c r="T72" s="998" t="n"/>
      <c r="U72" s="998" t="n"/>
      <c r="V72" s="998" t="n"/>
      <c r="W72" s="998" t="n"/>
      <c r="X72" s="998" t="n"/>
      <c r="Y72" s="998" t="n"/>
      <c r="Z72" s="998" t="n"/>
      <c r="AA72" s="998" t="n"/>
      <c r="AB72" s="998" t="n"/>
      <c r="AC72" s="1003" t="n"/>
    </row>
    <row r="73" ht="14.4" customHeight="1" thickBot="1">
      <c r="A73" s="1004" t="n"/>
      <c r="B73" s="1005" t="n"/>
      <c r="C73" s="1021" t="n"/>
      <c r="D73" s="1022" t="n"/>
      <c r="E73" s="1022" t="n"/>
      <c r="F73" s="1023" t="n"/>
      <c r="G73" s="1023" t="n"/>
      <c r="H73" s="1023" t="n"/>
      <c r="I73" s="1024" t="n"/>
      <c r="J73" s="1010">
        <f>J68=K73</f>
        <v/>
      </c>
      <c r="K73" s="1025">
        <f>SUM(K68:K72)</f>
        <v/>
      </c>
      <c r="L73" s="1015" t="n"/>
      <c r="M73" s="1013" t="n"/>
      <c r="N73" s="1014">
        <f>IFERROR(IF(DATEDIF(TODAY(),M73,"M")&lt;=6,"ROJO",IF(DATEDIF(TODAY(),M73,"M")&gt;=12,"VERDE",IF(AND(DATEDIF(TODAY(),M73,"M")&gt;6,DATEDIF(TODAY(),M73,"M")&lt;=11),"AMARILLO",IF(M73&lt;TODAY(),"VENCIDO",0)))),O73)</f>
        <v/>
      </c>
      <c r="O73" s="989">
        <f>IF(M73=0,"","VENCIDO")</f>
        <v/>
      </c>
      <c r="Q73" s="1015" t="n"/>
      <c r="R73" s="1016" t="n"/>
      <c r="S73" s="1016" t="n"/>
      <c r="T73" s="1016" t="n"/>
      <c r="U73" s="1016" t="n"/>
      <c r="V73" s="1016" t="n"/>
      <c r="W73" s="1016" t="n"/>
      <c r="X73" s="1016" t="n"/>
      <c r="Y73" s="1016" t="n"/>
      <c r="Z73" s="1016" t="n"/>
      <c r="AA73" s="1016" t="n"/>
      <c r="AB73" s="1016" t="n"/>
      <c r="AC73" s="194" t="n"/>
    </row>
    <row r="74" ht="14.25" customHeight="1">
      <c r="A74" s="979" t="inlineStr">
        <is>
          <t>Rotavirus</t>
        </is>
      </c>
      <c r="B74" s="980" t="n"/>
      <c r="C74" s="1017">
        <f>ENERO!K67</f>
        <v/>
      </c>
      <c r="D74" s="1018" t="n"/>
      <c r="E74" s="1018" t="n"/>
      <c r="F74" s="1018" t="n"/>
      <c r="G74" s="1018" t="n"/>
      <c r="H74" s="1018" t="n"/>
      <c r="I74" s="983">
        <f>AC74</f>
        <v/>
      </c>
      <c r="J74" s="1019">
        <f>+(C74+D74+F74+E74)-(G74+H74+I74)</f>
        <v/>
      </c>
      <c r="K74" s="985" t="n"/>
      <c r="L74" s="986" t="n"/>
      <c r="M74" s="987" t="n"/>
      <c r="N74" s="988">
        <f>IFERROR(IF(DATEDIF(TODAY(),M74,"M")&lt;=6,"ROJO",IF(DATEDIF(TODAY(),M74,"M")&gt;=12,"VERDE",IF(AND(DATEDIF(TODAY(),M74,"M")&gt;6,DATEDIF(TODAY(),M74,"M")&lt;=11),"AMARILLO",IF(M74&lt;TODAY(),"VENCIDO",0)))),O74)</f>
        <v/>
      </c>
      <c r="O74" s="989">
        <f>IF(M74=0,"","VENCIDO")</f>
        <v/>
      </c>
      <c r="Q74" s="990" t="n"/>
      <c r="R74" s="991" t="n"/>
      <c r="S74" s="991" t="n"/>
      <c r="T74" s="991" t="n"/>
      <c r="U74" s="991" t="n"/>
      <c r="V74" s="991" t="n"/>
      <c r="W74" s="991" t="n"/>
      <c r="X74" s="991" t="n"/>
      <c r="Y74" s="991" t="n"/>
      <c r="Z74" s="991" t="n"/>
      <c r="AA74" s="991" t="n"/>
      <c r="AB74" s="991" t="n"/>
      <c r="AC74" s="992">
        <f>SUM(Q74:AB78)</f>
        <v/>
      </c>
      <c r="AH74" s="2">
        <f>+IF(AC74&lt;&gt;I74,1,0)</f>
        <v/>
      </c>
    </row>
    <row r="75" ht="14.25" customHeight="1">
      <c r="A75" s="993" t="n"/>
      <c r="B75" s="972" t="n"/>
      <c r="C75" s="973" t="n"/>
      <c r="D75" s="994" t="n"/>
      <c r="E75" s="994" t="n"/>
      <c r="F75" s="994" t="n"/>
      <c r="G75" s="994" t="n"/>
      <c r="H75" s="994" t="n"/>
      <c r="I75" s="973" t="n"/>
      <c r="J75" s="973" t="n"/>
      <c r="K75" s="995" t="n"/>
      <c r="L75" s="996" t="n"/>
      <c r="M75" s="987" t="n"/>
      <c r="N75" s="988">
        <f>IFERROR(IF(DATEDIF(TODAY(),M75,"M")&lt;=6,"ROJO",IF(DATEDIF(TODAY(),M75,"M")&gt;=12,"VERDE",IF(AND(DATEDIF(TODAY(),M75,"M")&gt;6,DATEDIF(TODAY(),M75,"M")&lt;=11),"AMARILLO",IF(M75&lt;TODAY(),"VENCIDO",0)))),O75)</f>
        <v/>
      </c>
      <c r="O75" s="989">
        <f>IF(M75=0,"","VENCIDO")</f>
        <v/>
      </c>
      <c r="Q75" s="997" t="n"/>
      <c r="R75" s="994" t="n"/>
      <c r="S75" s="994" t="n"/>
      <c r="T75" s="994" t="n"/>
      <c r="U75" s="994" t="n"/>
      <c r="V75" s="994" t="n"/>
      <c r="W75" s="994" t="n"/>
      <c r="X75" s="994" t="n"/>
      <c r="Y75" s="994" t="n"/>
      <c r="Z75" s="994" t="n"/>
      <c r="AA75" s="994" t="n"/>
      <c r="AB75" s="994" t="n"/>
      <c r="AC75" s="974" t="n"/>
      <c r="AE75" s="2">
        <f>IFERROR(AA73*100/(W73+AA73),0)</f>
        <v/>
      </c>
    </row>
    <row r="76" ht="14.25" customHeight="1">
      <c r="A76" s="993" t="n"/>
      <c r="B76" s="972" t="n"/>
      <c r="C76" s="973" t="n"/>
      <c r="D76" s="994" t="n"/>
      <c r="E76" s="994" t="n"/>
      <c r="F76" s="994" t="n"/>
      <c r="G76" s="994" t="n"/>
      <c r="H76" s="994" t="n"/>
      <c r="I76" s="973" t="n"/>
      <c r="J76" s="973" t="n"/>
      <c r="K76" s="995" t="n"/>
      <c r="L76" s="996" t="n"/>
      <c r="M76" s="987" t="n"/>
      <c r="N76" s="988">
        <f>IFERROR(IF(DATEDIF(TODAY(),M76,"M")&lt;=6,"ROJO",IF(DATEDIF(TODAY(),M76,"M")&gt;=12,"VERDE",IF(AND(DATEDIF(TODAY(),M76,"M")&gt;6,DATEDIF(TODAY(),M76,"M")&lt;=11),"AMARILLO",IF(M76&lt;TODAY(),"VENCIDO",0)))),O76)</f>
        <v/>
      </c>
      <c r="O76" s="989">
        <f>IF(M76=0,"","VENCIDO")</f>
        <v/>
      </c>
      <c r="Q76" s="997" t="n"/>
      <c r="R76" s="994" t="n"/>
      <c r="S76" s="994" t="n"/>
      <c r="T76" s="994" t="n"/>
      <c r="U76" s="994" t="n"/>
      <c r="V76" s="994" t="n"/>
      <c r="W76" s="994" t="n"/>
      <c r="X76" s="994" t="n"/>
      <c r="Y76" s="994" t="n"/>
      <c r="Z76" s="994" t="n"/>
      <c r="AA76" s="994" t="n"/>
      <c r="AB76" s="994" t="n"/>
      <c r="AC76" s="974" t="n"/>
    </row>
    <row r="77" ht="14.25" customHeight="1">
      <c r="A77" s="993" t="n"/>
      <c r="B77" s="972" t="n"/>
      <c r="C77" s="973" t="n"/>
      <c r="D77" s="994" t="n"/>
      <c r="E77" s="994" t="n"/>
      <c r="F77" s="994" t="n"/>
      <c r="G77" s="994" t="n"/>
      <c r="H77" s="994" t="n"/>
      <c r="I77" s="973" t="n"/>
      <c r="J77" s="973" t="n"/>
      <c r="K77" s="995" t="n"/>
      <c r="L77" s="996" t="n"/>
      <c r="M77" s="987" t="n"/>
      <c r="N77" s="988">
        <f>IFERROR(IF(DATEDIF(TODAY(),M77,"M")&lt;=6,"ROJO",IF(DATEDIF(TODAY(),M77,"M")&gt;=12,"VERDE",IF(AND(DATEDIF(TODAY(),M77,"M")&gt;6,DATEDIF(TODAY(),M77,"M")&lt;=11),"AMARILLO",IF(M77&lt;TODAY(),"VENCIDO",0)))),O77)</f>
        <v/>
      </c>
      <c r="O77" s="989">
        <f>IF(M77=0,"","VENCIDO")</f>
        <v/>
      </c>
      <c r="Q77" s="997" t="n"/>
      <c r="R77" s="994" t="n"/>
      <c r="S77" s="994" t="n"/>
      <c r="T77" s="994" t="n"/>
      <c r="U77" s="994" t="n"/>
      <c r="V77" s="994" t="n"/>
      <c r="W77" s="994" t="n"/>
      <c r="X77" s="994" t="n"/>
      <c r="Y77" s="994" t="n"/>
      <c r="Z77" s="994" t="n"/>
      <c r="AA77" s="994" t="n"/>
      <c r="AB77" s="994" t="n"/>
      <c r="AC77" s="974" t="n"/>
    </row>
    <row r="78" ht="15" customHeight="1" thickBot="1">
      <c r="A78" s="993" t="n"/>
      <c r="B78" s="972" t="n"/>
      <c r="C78" s="999" t="n"/>
      <c r="D78" s="1020" t="n"/>
      <c r="E78" s="1020" t="n"/>
      <c r="F78" s="1020" t="n"/>
      <c r="G78" s="1020" t="n"/>
      <c r="H78" s="1020" t="n"/>
      <c r="I78" s="999" t="n"/>
      <c r="J78" s="999" t="n"/>
      <c r="K78" s="1000" t="n"/>
      <c r="L78" s="1001" t="n"/>
      <c r="M78" s="987" t="n"/>
      <c r="N78" s="988">
        <f>IFERROR(IF(DATEDIF(TODAY(),M78,"M")&lt;=6,"ROJO",IF(DATEDIF(TODAY(),M78,"M")&gt;=12,"VERDE",IF(AND(DATEDIF(TODAY(),M78,"M")&gt;6,DATEDIF(TODAY(),M78,"M")&lt;=11),"AMARILLO",IF(M78&lt;TODAY(),"VENCIDO",0)))),O78)</f>
        <v/>
      </c>
      <c r="O78" s="989">
        <f>IF(M78=0,"","VENCIDO")</f>
        <v/>
      </c>
      <c r="Q78" s="1002" t="n"/>
      <c r="R78" s="998" t="n"/>
      <c r="S78" s="998" t="n"/>
      <c r="T78" s="998" t="n"/>
      <c r="U78" s="998" t="n"/>
      <c r="V78" s="998" t="n"/>
      <c r="W78" s="998" t="n"/>
      <c r="X78" s="998" t="n"/>
      <c r="Y78" s="998" t="n"/>
      <c r="Z78" s="998" t="n"/>
      <c r="AA78" s="998" t="n"/>
      <c r="AB78" s="998" t="n"/>
      <c r="AC78" s="1003" t="n"/>
    </row>
    <row r="79" ht="14.4" customHeight="1" thickBot="1">
      <c r="A79" s="1004" t="n"/>
      <c r="B79" s="1005" t="n"/>
      <c r="C79" s="1021" t="n"/>
      <c r="D79" s="1022" t="n"/>
      <c r="E79" s="1022" t="n"/>
      <c r="F79" s="1023" t="n"/>
      <c r="G79" s="1023" t="n"/>
      <c r="H79" s="1023" t="n"/>
      <c r="I79" s="1024" t="n"/>
      <c r="J79" s="1010">
        <f>J74=K79</f>
        <v/>
      </c>
      <c r="K79" s="1025">
        <f>SUM(K74:K78)</f>
        <v/>
      </c>
      <c r="L79" s="1015" t="n"/>
      <c r="M79" s="1013" t="n"/>
      <c r="N79" s="1014">
        <f>IFERROR(IF(DATEDIF(TODAY(),M79,"M")&lt;=6,"ROJO",IF(DATEDIF(TODAY(),M79,"M")&gt;=12,"VERDE",IF(AND(DATEDIF(TODAY(),M79,"M")&gt;6,DATEDIF(TODAY(),M79,"M")&lt;=11),"AMARILLO",IF(M79&lt;TODAY(),"VENCIDO",0)))),O79)</f>
        <v/>
      </c>
      <c r="O79" s="989">
        <f>IF(M79=0,"","VENCIDO")</f>
        <v/>
      </c>
      <c r="Q79" s="1015" t="n"/>
      <c r="R79" s="1016" t="n"/>
      <c r="S79" s="1016" t="n"/>
      <c r="T79" s="1016" t="n"/>
      <c r="U79" s="1016" t="n"/>
      <c r="V79" s="1016" t="n"/>
      <c r="W79" s="1016" t="n"/>
      <c r="X79" s="1016" t="n"/>
      <c r="Y79" s="1016" t="n"/>
      <c r="Z79" s="1016" t="n"/>
      <c r="AA79" s="1016" t="n"/>
      <c r="AB79" s="1016" t="n"/>
      <c r="AC79" s="194" t="n"/>
    </row>
    <row r="80" ht="14.25" customHeight="1">
      <c r="A80" s="979" t="inlineStr">
        <is>
          <t>Neumococo_Decavalente</t>
        </is>
      </c>
      <c r="B80" s="980" t="n"/>
      <c r="C80" s="1017">
        <f>ENERO!K73</f>
        <v/>
      </c>
      <c r="D80" s="1018" t="n"/>
      <c r="E80" s="1018" t="n"/>
      <c r="F80" s="1018" t="n"/>
      <c r="G80" s="1018" t="n"/>
      <c r="H80" s="1018" t="n"/>
      <c r="I80" s="983">
        <f>AC80</f>
        <v/>
      </c>
      <c r="J80" s="1019">
        <f>+(C80+D80+F80+E80)-(G80+H80+I80)</f>
        <v/>
      </c>
      <c r="K80" s="985" t="n"/>
      <c r="L80" s="986" t="n"/>
      <c r="M80" s="987" t="n"/>
      <c r="N80" s="988">
        <f>IFERROR(IF(DATEDIF(TODAY(),M80,"M")&lt;=6,"ROJO",IF(DATEDIF(TODAY(),M80,"M")&gt;=12,"VERDE",IF(AND(DATEDIF(TODAY(),M80,"M")&gt;6,DATEDIF(TODAY(),M80,"M")&lt;=11),"AMARILLO",IF(M80&lt;TODAY(),"VENCIDO",0)))),O80)</f>
        <v/>
      </c>
      <c r="O80" s="989">
        <f>IF(M80=0,"","VENCIDO")</f>
        <v/>
      </c>
      <c r="Q80" s="990" t="n"/>
      <c r="R80" s="991" t="n"/>
      <c r="S80" s="991" t="n"/>
      <c r="T80" s="991" t="n"/>
      <c r="U80" s="991" t="n"/>
      <c r="V80" s="991" t="n"/>
      <c r="W80" s="991" t="n"/>
      <c r="X80" s="991" t="n"/>
      <c r="Y80" s="991" t="n"/>
      <c r="Z80" s="991" t="n"/>
      <c r="AA80" s="991" t="n"/>
      <c r="AB80" s="991" t="n"/>
      <c r="AC80" s="992">
        <f>SUM(Q80:AB84)</f>
        <v/>
      </c>
      <c r="AH80" s="2">
        <f>+IF(AC80&lt;&gt;I80,1,0)</f>
        <v/>
      </c>
    </row>
    <row r="81" ht="14.25" customHeight="1">
      <c r="A81" s="993" t="n"/>
      <c r="B81" s="972" t="n"/>
      <c r="C81" s="973" t="n"/>
      <c r="D81" s="994" t="n"/>
      <c r="E81" s="994" t="n"/>
      <c r="F81" s="994" t="n"/>
      <c r="G81" s="994" t="n"/>
      <c r="H81" s="994" t="n"/>
      <c r="I81" s="973" t="n"/>
      <c r="J81" s="973" t="n"/>
      <c r="K81" s="995" t="n"/>
      <c r="L81" s="996" t="n"/>
      <c r="M81" s="987" t="n"/>
      <c r="N81" s="988">
        <f>IFERROR(IF(DATEDIF(TODAY(),M81,"M")&lt;=6,"ROJO",IF(DATEDIF(TODAY(),M81,"M")&gt;=12,"VERDE",IF(AND(DATEDIF(TODAY(),M81,"M")&gt;6,DATEDIF(TODAY(),M81,"M")&lt;=11),"AMARILLO",IF(M81&lt;TODAY(),"VENCIDO",0)))),O81)</f>
        <v/>
      </c>
      <c r="O81" s="989">
        <f>IF(M81=0,"","VENCIDO")</f>
        <v/>
      </c>
      <c r="Q81" s="997" t="n"/>
      <c r="R81" s="994" t="n"/>
      <c r="S81" s="994" t="n"/>
      <c r="T81" s="994" t="n"/>
      <c r="U81" s="994" t="n"/>
      <c r="V81" s="994" t="n"/>
      <c r="W81" s="994" t="n"/>
      <c r="X81" s="994" t="n"/>
      <c r="Y81" s="994" t="n"/>
      <c r="Z81" s="994" t="n"/>
      <c r="AA81" s="994" t="n"/>
      <c r="AB81" s="994" t="n"/>
      <c r="AC81" s="974" t="n"/>
      <c r="AE81" s="2">
        <f>IFERROR(AA79*100/(W79+AA79),0)</f>
        <v/>
      </c>
    </row>
    <row r="82" ht="14.25" customHeight="1">
      <c r="A82" s="993" t="n"/>
      <c r="B82" s="972" t="n"/>
      <c r="C82" s="973" t="n"/>
      <c r="D82" s="994" t="n"/>
      <c r="E82" s="994" t="n"/>
      <c r="F82" s="994" t="n"/>
      <c r="G82" s="994" t="n"/>
      <c r="H82" s="994" t="n"/>
      <c r="I82" s="973" t="n"/>
      <c r="J82" s="973" t="n"/>
      <c r="K82" s="995" t="n"/>
      <c r="L82" s="996" t="n"/>
      <c r="M82" s="987" t="n"/>
      <c r="N82" s="988">
        <f>IFERROR(IF(DATEDIF(TODAY(),M82,"M")&lt;=6,"ROJO",IF(DATEDIF(TODAY(),M82,"M")&gt;=12,"VERDE",IF(AND(DATEDIF(TODAY(),M82,"M")&gt;6,DATEDIF(TODAY(),M82,"M")&lt;=11),"AMARILLO",IF(M82&lt;TODAY(),"VENCIDO",0)))),O82)</f>
        <v/>
      </c>
      <c r="O82" s="989">
        <f>IF(M82=0,"","VENCIDO")</f>
        <v/>
      </c>
      <c r="Q82" s="997" t="n"/>
      <c r="R82" s="994" t="n"/>
      <c r="S82" s="994" t="n"/>
      <c r="T82" s="994" t="n"/>
      <c r="U82" s="994" t="n"/>
      <c r="V82" s="994" t="n"/>
      <c r="W82" s="994" t="n"/>
      <c r="X82" s="994" t="n"/>
      <c r="Y82" s="994" t="n"/>
      <c r="Z82" s="994" t="n"/>
      <c r="AA82" s="994" t="n"/>
      <c r="AB82" s="994" t="n"/>
      <c r="AC82" s="974" t="n"/>
    </row>
    <row r="83" ht="14.25" customHeight="1">
      <c r="A83" s="993" t="n"/>
      <c r="B83" s="972" t="n"/>
      <c r="C83" s="973" t="n"/>
      <c r="D83" s="994" t="n"/>
      <c r="E83" s="994" t="n"/>
      <c r="F83" s="994" t="n"/>
      <c r="G83" s="994" t="n"/>
      <c r="H83" s="994" t="n"/>
      <c r="I83" s="973" t="n"/>
      <c r="J83" s="973" t="n"/>
      <c r="K83" s="995" t="n"/>
      <c r="L83" s="996" t="n"/>
      <c r="M83" s="987" t="n"/>
      <c r="N83" s="988">
        <f>IFERROR(IF(DATEDIF(TODAY(),M83,"M")&lt;=6,"ROJO",IF(DATEDIF(TODAY(),M83,"M")&gt;=12,"VERDE",IF(AND(DATEDIF(TODAY(),M83,"M")&gt;6,DATEDIF(TODAY(),M83,"M")&lt;=11),"AMARILLO",IF(M83&lt;TODAY(),"VENCIDO",0)))),O83)</f>
        <v/>
      </c>
      <c r="O83" s="989">
        <f>IF(M83=0,"","VENCIDO")</f>
        <v/>
      </c>
      <c r="Q83" s="997" t="n"/>
      <c r="R83" s="994" t="n"/>
      <c r="S83" s="994" t="n"/>
      <c r="T83" s="994" t="n"/>
      <c r="U83" s="994" t="n"/>
      <c r="V83" s="994" t="n"/>
      <c r="W83" s="994" t="n"/>
      <c r="X83" s="994" t="n"/>
      <c r="Y83" s="994" t="n"/>
      <c r="Z83" s="994" t="n"/>
      <c r="AA83" s="994" t="n"/>
      <c r="AB83" s="994" t="n"/>
      <c r="AC83" s="974" t="n"/>
    </row>
    <row r="84" ht="15" customHeight="1" thickBot="1">
      <c r="A84" s="993" t="n"/>
      <c r="B84" s="972" t="n"/>
      <c r="C84" s="999" t="n"/>
      <c r="D84" s="1020" t="n"/>
      <c r="E84" s="1020" t="n"/>
      <c r="F84" s="1020" t="n"/>
      <c r="G84" s="1020" t="n"/>
      <c r="H84" s="1020" t="n"/>
      <c r="I84" s="999" t="n"/>
      <c r="J84" s="999" t="n"/>
      <c r="K84" s="1000" t="n"/>
      <c r="L84" s="1001" t="n"/>
      <c r="M84" s="987" t="n"/>
      <c r="N84" s="988">
        <f>IFERROR(IF(DATEDIF(TODAY(),M84,"M")&lt;=6,"ROJO",IF(DATEDIF(TODAY(),M84,"M")&gt;=12,"VERDE",IF(AND(DATEDIF(TODAY(),M84,"M")&gt;6,DATEDIF(TODAY(),M84,"M")&lt;=11),"AMARILLO",IF(M84&lt;TODAY(),"VENCIDO",0)))),O84)</f>
        <v/>
      </c>
      <c r="O84" s="989">
        <f>IF(M84=0,"","VENCIDO")</f>
        <v/>
      </c>
      <c r="Q84" s="1002" t="n"/>
      <c r="R84" s="998" t="n"/>
      <c r="S84" s="998" t="n"/>
      <c r="T84" s="998" t="n"/>
      <c r="U84" s="998" t="n"/>
      <c r="V84" s="998" t="n"/>
      <c r="W84" s="998" t="n"/>
      <c r="X84" s="998" t="n"/>
      <c r="Y84" s="998" t="n"/>
      <c r="Z84" s="998" t="n"/>
      <c r="AA84" s="998" t="n"/>
      <c r="AB84" s="998" t="n"/>
      <c r="AC84" s="1003" t="n"/>
    </row>
    <row r="85" ht="14.4" customHeight="1" thickBot="1">
      <c r="A85" s="1004" t="n"/>
      <c r="B85" s="1005" t="n"/>
      <c r="C85" s="1021" t="n"/>
      <c r="D85" s="1022" t="n"/>
      <c r="E85" s="1022" t="n"/>
      <c r="F85" s="1023" t="n"/>
      <c r="G85" s="1023" t="n"/>
      <c r="H85" s="1023" t="n"/>
      <c r="I85" s="1024" t="n"/>
      <c r="J85" s="1010">
        <f>J80=K85</f>
        <v/>
      </c>
      <c r="K85" s="1025">
        <f>SUM(K80:K84)</f>
        <v/>
      </c>
      <c r="L85" s="1015" t="n"/>
      <c r="M85" s="1013" t="n"/>
      <c r="N85" s="1014">
        <f>IFERROR(IF(DATEDIF(TODAY(),M85,"M")&lt;=6,"ROJO",IF(DATEDIF(TODAY(),M85,"M")&gt;=12,"VERDE",IF(AND(DATEDIF(TODAY(),M85,"M")&gt;6,DATEDIF(TODAY(),M85,"M")&lt;=11),"AMARILLO",IF(M85&lt;TODAY(),"VENCIDO",0)))),O85)</f>
        <v/>
      </c>
      <c r="O85" s="989">
        <f>IF(M85=0,"","VENCIDO")</f>
        <v/>
      </c>
      <c r="Q85" s="1015" t="n"/>
      <c r="R85" s="1016" t="n"/>
      <c r="S85" s="1016" t="n"/>
      <c r="T85" s="1016" t="n"/>
      <c r="U85" s="1016" t="n"/>
      <c r="V85" s="1016" t="n"/>
      <c r="W85" s="1016" t="n"/>
      <c r="X85" s="1016" t="n"/>
      <c r="Y85" s="1016" t="n"/>
      <c r="Z85" s="1016" t="n"/>
      <c r="AA85" s="1016" t="n"/>
      <c r="AB85" s="1016" t="n"/>
      <c r="AC85" s="194" t="n"/>
    </row>
    <row r="86" ht="14.25" customHeight="1">
      <c r="A86" s="979" t="inlineStr">
        <is>
          <t>Neumococo_Trecevalente</t>
        </is>
      </c>
      <c r="B86" s="980" t="n"/>
      <c r="C86" s="1017">
        <f>ENERO!K79</f>
        <v/>
      </c>
      <c r="D86" s="1018" t="n"/>
      <c r="E86" s="1018" t="n"/>
      <c r="F86" s="1018" t="n"/>
      <c r="G86" s="1018" t="n"/>
      <c r="H86" s="1018" t="n"/>
      <c r="I86" s="983">
        <f>AC86</f>
        <v/>
      </c>
      <c r="J86" s="1019">
        <f>+(C86+D86+F86+E86)-(G86+H86+I86)</f>
        <v/>
      </c>
      <c r="K86" s="985" t="n"/>
      <c r="L86" s="986" t="n"/>
      <c r="M86" s="987" t="n"/>
      <c r="N86" s="988">
        <f>IFERROR(IF(DATEDIF(TODAY(),M86,"M")&lt;=6,"ROJO",IF(DATEDIF(TODAY(),M86,"M")&gt;=12,"VERDE",IF(AND(DATEDIF(TODAY(),M86,"M")&gt;6,DATEDIF(TODAY(),M86,"M")&lt;=11),"AMARILLO",IF(M86&lt;TODAY(),"VENCIDO",0)))),O86)</f>
        <v/>
      </c>
      <c r="O86" s="989">
        <f>IF(M86=0,"","VENCIDO")</f>
        <v/>
      </c>
      <c r="Q86" s="990" t="n"/>
      <c r="R86" s="991" t="n"/>
      <c r="S86" s="991" t="n"/>
      <c r="T86" s="991" t="n"/>
      <c r="U86" s="991" t="n"/>
      <c r="V86" s="991" t="n"/>
      <c r="W86" s="991" t="n"/>
      <c r="X86" s="991" t="n"/>
      <c r="Y86" s="991" t="n"/>
      <c r="Z86" s="991" t="n"/>
      <c r="AA86" s="991" t="n"/>
      <c r="AB86" s="991" t="n"/>
      <c r="AC86" s="992">
        <f>SUM(Q86:AB90)</f>
        <v/>
      </c>
      <c r="AE86" s="2">
        <f>IFERROR(AA84*100/(W84+AA84),0)</f>
        <v/>
      </c>
      <c r="AH86" s="2">
        <f>+IF(AC86&lt;&gt;I86,1,0)</f>
        <v/>
      </c>
    </row>
    <row r="87" ht="14.25" customHeight="1">
      <c r="A87" s="993" t="n"/>
      <c r="B87" s="972" t="n"/>
      <c r="C87" s="973" t="n"/>
      <c r="D87" s="994" t="n"/>
      <c r="E87" s="994" t="n"/>
      <c r="F87" s="994" t="n"/>
      <c r="G87" s="994" t="n"/>
      <c r="H87" s="994" t="n"/>
      <c r="I87" s="973" t="n"/>
      <c r="J87" s="973" t="n"/>
      <c r="K87" s="995" t="n"/>
      <c r="L87" s="996" t="n"/>
      <c r="M87" s="987" t="n"/>
      <c r="N87" s="988">
        <f>IFERROR(IF(DATEDIF(TODAY(),M87,"M")&lt;=6,"ROJO",IF(DATEDIF(TODAY(),M87,"M")&gt;=12,"VERDE",IF(AND(DATEDIF(TODAY(),M87,"M")&gt;6,DATEDIF(TODAY(),M87,"M")&lt;=11),"AMARILLO",IF(M87&lt;TODAY(),"VENCIDO",0)))),O87)</f>
        <v/>
      </c>
      <c r="O87" s="989">
        <f>IF(M87=0,"","VENCIDO")</f>
        <v/>
      </c>
      <c r="Q87" s="997" t="n"/>
      <c r="R87" s="994" t="n"/>
      <c r="S87" s="994" t="n"/>
      <c r="T87" s="994" t="n"/>
      <c r="U87" s="994" t="n"/>
      <c r="V87" s="994" t="n"/>
      <c r="W87" s="994" t="n"/>
      <c r="X87" s="994" t="n"/>
      <c r="Y87" s="994" t="n"/>
      <c r="Z87" s="994" t="n"/>
      <c r="AA87" s="994" t="n"/>
      <c r="AB87" s="994" t="n"/>
      <c r="AC87" s="974" t="n"/>
    </row>
    <row r="88" ht="14.25" customHeight="1">
      <c r="A88" s="993" t="n"/>
      <c r="B88" s="972" t="n"/>
      <c r="C88" s="973" t="n"/>
      <c r="D88" s="994" t="n"/>
      <c r="E88" s="994" t="n"/>
      <c r="F88" s="994" t="n"/>
      <c r="G88" s="994" t="n"/>
      <c r="H88" s="994" t="n"/>
      <c r="I88" s="973" t="n"/>
      <c r="J88" s="973" t="n"/>
      <c r="K88" s="995" t="n"/>
      <c r="L88" s="996" t="n"/>
      <c r="M88" s="987" t="n"/>
      <c r="N88" s="988">
        <f>IFERROR(IF(DATEDIF(TODAY(),M88,"M")&lt;=6,"ROJO",IF(DATEDIF(TODAY(),M88,"M")&gt;=12,"VERDE",IF(AND(DATEDIF(TODAY(),M88,"M")&gt;6,DATEDIF(TODAY(),M88,"M")&lt;=11),"AMARILLO",IF(M88&lt;TODAY(),"VENCIDO",0)))),O88)</f>
        <v/>
      </c>
      <c r="O88" s="989">
        <f>IF(M88=0,"","VENCIDO")</f>
        <v/>
      </c>
      <c r="Q88" s="997" t="n"/>
      <c r="R88" s="994" t="n"/>
      <c r="S88" s="994" t="n"/>
      <c r="T88" s="994" t="n"/>
      <c r="U88" s="994" t="n"/>
      <c r="V88" s="994" t="n"/>
      <c r="W88" s="994" t="n"/>
      <c r="X88" s="994" t="n"/>
      <c r="Y88" s="994" t="n"/>
      <c r="Z88" s="994" t="n"/>
      <c r="AA88" s="994" t="n"/>
      <c r="AB88" s="994" t="n"/>
      <c r="AC88" s="974" t="n"/>
    </row>
    <row r="89" ht="14.25" customHeight="1">
      <c r="A89" s="993" t="n"/>
      <c r="B89" s="972" t="n"/>
      <c r="C89" s="973" t="n"/>
      <c r="D89" s="994" t="n"/>
      <c r="E89" s="994" t="n"/>
      <c r="F89" s="994" t="n"/>
      <c r="G89" s="994" t="n"/>
      <c r="H89" s="994" t="n"/>
      <c r="I89" s="973" t="n"/>
      <c r="J89" s="973" t="n"/>
      <c r="K89" s="995" t="n"/>
      <c r="L89" s="996" t="n"/>
      <c r="M89" s="987" t="n"/>
      <c r="N89" s="988">
        <f>IFERROR(IF(DATEDIF(TODAY(),M89,"M")&lt;=6,"ROJO",IF(DATEDIF(TODAY(),M89,"M")&gt;=12,"VERDE",IF(AND(DATEDIF(TODAY(),M89,"M")&gt;6,DATEDIF(TODAY(),M89,"M")&lt;=11),"AMARILLO",IF(M89&lt;TODAY(),"VENCIDO",0)))),O89)</f>
        <v/>
      </c>
      <c r="O89" s="989">
        <f>IF(M89=0,"","VENCIDO")</f>
        <v/>
      </c>
      <c r="Q89" s="997" t="n"/>
      <c r="R89" s="994" t="n"/>
      <c r="S89" s="994" t="n"/>
      <c r="T89" s="994" t="n"/>
      <c r="U89" s="994" t="n"/>
      <c r="V89" s="994" t="n"/>
      <c r="W89" s="994" t="n"/>
      <c r="X89" s="994" t="n"/>
      <c r="Y89" s="994" t="n"/>
      <c r="Z89" s="994" t="n"/>
      <c r="AA89" s="994" t="n"/>
      <c r="AB89" s="994" t="n"/>
      <c r="AC89" s="974" t="n"/>
    </row>
    <row r="90" ht="15" customHeight="1" thickBot="1">
      <c r="A90" s="993" t="n"/>
      <c r="B90" s="972" t="n"/>
      <c r="C90" s="999" t="n"/>
      <c r="D90" s="1020" t="n"/>
      <c r="E90" s="1020" t="n"/>
      <c r="F90" s="1020" t="n"/>
      <c r="G90" s="1020" t="n"/>
      <c r="H90" s="1020" t="n"/>
      <c r="I90" s="999" t="n"/>
      <c r="J90" s="999" t="n"/>
      <c r="K90" s="1000" t="n"/>
      <c r="L90" s="1001" t="n"/>
      <c r="M90" s="987" t="n"/>
      <c r="N90" s="988">
        <f>IFERROR(IF(DATEDIF(TODAY(),M90,"M")&lt;=6,"ROJO",IF(DATEDIF(TODAY(),M90,"M")&gt;=12,"VERDE",IF(AND(DATEDIF(TODAY(),M90,"M")&gt;6,DATEDIF(TODAY(),M90,"M")&lt;=11),"AMARILLO",IF(M90&lt;TODAY(),"VENCIDO",0)))),O90)</f>
        <v/>
      </c>
      <c r="O90" s="989">
        <f>IF(M90=0,"","VENCIDO")</f>
        <v/>
      </c>
      <c r="Q90" s="1002" t="n"/>
      <c r="R90" s="998" t="n"/>
      <c r="S90" s="998" t="n"/>
      <c r="T90" s="998" t="n"/>
      <c r="U90" s="998" t="n"/>
      <c r="V90" s="998" t="n"/>
      <c r="W90" s="998" t="n"/>
      <c r="X90" s="998" t="n"/>
      <c r="Y90" s="998" t="n"/>
      <c r="Z90" s="998" t="n"/>
      <c r="AA90" s="998" t="n"/>
      <c r="AB90" s="998" t="n"/>
      <c r="AC90" s="1003" t="n"/>
    </row>
    <row r="91" ht="14.4" customHeight="1" thickBot="1">
      <c r="A91" s="1004" t="n"/>
      <c r="B91" s="1005" t="n"/>
      <c r="C91" s="1021" t="n"/>
      <c r="D91" s="1022" t="n"/>
      <c r="E91" s="1022" t="n"/>
      <c r="F91" s="1023" t="n"/>
      <c r="G91" s="1023" t="n"/>
      <c r="H91" s="1023" t="n"/>
      <c r="I91" s="1024" t="n"/>
      <c r="J91" s="1010">
        <f>J86=K91</f>
        <v/>
      </c>
      <c r="K91" s="1025">
        <f>SUM(K86:K90)</f>
        <v/>
      </c>
      <c r="L91" s="1015" t="n"/>
      <c r="M91" s="1013" t="n"/>
      <c r="N91" s="1014">
        <f>IFERROR(IF(DATEDIF(TODAY(),M91,"M")&lt;=6,"ROJO",IF(DATEDIF(TODAY(),M91,"M")&gt;=12,"VERDE",IF(AND(DATEDIF(TODAY(),M91,"M")&gt;6,DATEDIF(TODAY(),M91,"M")&lt;=11),"AMARILLO",IF(M91&lt;TODAY(),"VENCIDO",0)))),O91)</f>
        <v/>
      </c>
      <c r="O91" s="989">
        <f>IF(M91=0,"","VENCIDO")</f>
        <v/>
      </c>
      <c r="Q91" s="1015" t="n"/>
      <c r="R91" s="1016" t="n"/>
      <c r="S91" s="1016" t="n"/>
      <c r="T91" s="1016" t="n"/>
      <c r="U91" s="1016" t="n"/>
      <c r="V91" s="1016" t="n"/>
      <c r="W91" s="1016" t="n"/>
      <c r="X91" s="1016" t="n"/>
      <c r="Y91" s="1016" t="n"/>
      <c r="Z91" s="1016" t="n"/>
      <c r="AA91" s="1016" t="n"/>
      <c r="AB91" s="1016" t="n"/>
      <c r="AC91" s="194" t="n"/>
    </row>
    <row r="92" ht="14.25" customHeight="1">
      <c r="A92" s="979" t="inlineStr">
        <is>
          <t>Triple Viral (vacuna)</t>
        </is>
      </c>
      <c r="B92" s="980" t="n"/>
      <c r="C92" s="1017">
        <f>ENERO!K85</f>
        <v/>
      </c>
      <c r="D92" s="1018" t="n"/>
      <c r="E92" s="1018" t="n"/>
      <c r="F92" s="1018" t="n"/>
      <c r="G92" s="1018" t="n"/>
      <c r="H92" s="1018" t="n"/>
      <c r="I92" s="983">
        <f>AC92</f>
        <v/>
      </c>
      <c r="J92" s="1019">
        <f>+(C92+D92+F92+E92)-(G92+H92+I92)</f>
        <v/>
      </c>
      <c r="K92" s="985" t="n"/>
      <c r="L92" s="986" t="n"/>
      <c r="M92" s="987" t="n">
        <v>45199</v>
      </c>
      <c r="N92" s="988">
        <f>IFERROR(IF(DATEDIF(TODAY(),M92,"M")&lt;=6,"ROJO",IF(DATEDIF(TODAY(),M92,"M")&gt;=12,"VERDE",IF(AND(DATEDIF(TODAY(),M92,"M")&gt;6,DATEDIF(TODAY(),M92,"M")&lt;=11),"AMARILLO",IF(M92&lt;TODAY(),"VENCIDO",0)))),O92)</f>
        <v/>
      </c>
      <c r="O92" s="989">
        <f>IF(M92=0,"","VENCIDO")</f>
        <v/>
      </c>
      <c r="Q92" s="990" t="n"/>
      <c r="R92" s="991" t="n"/>
      <c r="S92" s="991" t="n"/>
      <c r="T92" s="991" t="n"/>
      <c r="U92" s="991" t="n"/>
      <c r="V92" s="991" t="n"/>
      <c r="W92" s="991" t="n"/>
      <c r="X92" s="991" t="n"/>
      <c r="Y92" s="991" t="n"/>
      <c r="Z92" s="991" t="n"/>
      <c r="AA92" s="991" t="n"/>
      <c r="AB92" s="991" t="n"/>
      <c r="AC92" s="992">
        <f>SUM(Q92:AB96)</f>
        <v/>
      </c>
      <c r="AE92" s="2">
        <f>IFERROR(AA90*100/(W90+AA90),0)</f>
        <v/>
      </c>
      <c r="AH92" s="2">
        <f>+IF(AC92&lt;&gt;I92,1,0)</f>
        <v/>
      </c>
    </row>
    <row r="93" ht="14.25" customHeight="1">
      <c r="A93" s="993" t="n"/>
      <c r="B93" s="972" t="n"/>
      <c r="C93" s="973" t="n"/>
      <c r="D93" s="994" t="n"/>
      <c r="E93" s="994" t="n"/>
      <c r="F93" s="994" t="n"/>
      <c r="G93" s="994" t="n"/>
      <c r="H93" s="994" t="n"/>
      <c r="I93" s="973" t="n"/>
      <c r="J93" s="973" t="n"/>
      <c r="K93" s="995" t="n"/>
      <c r="L93" s="996" t="n"/>
      <c r="M93" s="987" t="n">
        <v>45138</v>
      </c>
      <c r="N93" s="988">
        <f>IFERROR(IF(DATEDIF(TODAY(),M93,"M")&lt;=6,"ROJO",IF(DATEDIF(TODAY(),M93,"M")&gt;=12,"VERDE",IF(AND(DATEDIF(TODAY(),M93,"M")&gt;6,DATEDIF(TODAY(),M93,"M")&lt;=11),"AMARILLO",IF(M93&lt;TODAY(),"VENCIDO",0)))),O93)</f>
        <v/>
      </c>
      <c r="O93" s="989">
        <f>IF(M93=0,"","VENCIDO")</f>
        <v/>
      </c>
      <c r="Q93" s="997" t="n"/>
      <c r="R93" s="994" t="n"/>
      <c r="S93" s="994" t="n"/>
      <c r="T93" s="994" t="n"/>
      <c r="U93" s="994" t="n"/>
      <c r="V93" s="994" t="n"/>
      <c r="W93" s="994" t="n"/>
      <c r="X93" s="994" t="n"/>
      <c r="Y93" s="994" t="n"/>
      <c r="Z93" s="994" t="n"/>
      <c r="AA93" s="994" t="n"/>
      <c r="AB93" s="994" t="n"/>
      <c r="AC93" s="974" t="n"/>
    </row>
    <row r="94" ht="14.25" customHeight="1">
      <c r="A94" s="993" t="n"/>
      <c r="B94" s="972" t="n"/>
      <c r="C94" s="973" t="n"/>
      <c r="D94" s="994" t="n"/>
      <c r="E94" s="994" t="n"/>
      <c r="F94" s="994" t="n"/>
      <c r="G94" s="994" t="n"/>
      <c r="H94" s="994" t="n"/>
      <c r="I94" s="973" t="n"/>
      <c r="J94" s="973" t="n"/>
      <c r="K94" s="995" t="n"/>
      <c r="L94" s="996" t="n"/>
      <c r="M94" s="987" t="n">
        <v>45138</v>
      </c>
      <c r="N94" s="988">
        <f>IFERROR(IF(DATEDIF(TODAY(),M94,"M")&lt;=6,"ROJO",IF(DATEDIF(TODAY(),M94,"M")&gt;=12,"VERDE",IF(AND(DATEDIF(TODAY(),M94,"M")&gt;6,DATEDIF(TODAY(),M94,"M")&lt;=11),"AMARILLO",IF(M94&lt;TODAY(),"VENCIDO",0)))),O94)</f>
        <v/>
      </c>
      <c r="O94" s="989">
        <f>IF(M94=0,"","VENCIDO")</f>
        <v/>
      </c>
      <c r="Q94" s="997" t="n"/>
      <c r="R94" s="994" t="n"/>
      <c r="S94" s="994" t="n"/>
      <c r="T94" s="994" t="n"/>
      <c r="U94" s="994" t="n"/>
      <c r="V94" s="994" t="n"/>
      <c r="W94" s="994" t="n"/>
      <c r="X94" s="994" t="n"/>
      <c r="Y94" s="994" t="n"/>
      <c r="Z94" s="994" t="n"/>
      <c r="AA94" s="994" t="n"/>
      <c r="AB94" s="994" t="n"/>
      <c r="AC94" s="974" t="n"/>
    </row>
    <row r="95" ht="14.25" customHeight="1">
      <c r="A95" s="993" t="n"/>
      <c r="B95" s="972" t="n"/>
      <c r="C95" s="973" t="n"/>
      <c r="D95" s="994" t="n"/>
      <c r="E95" s="994" t="n"/>
      <c r="F95" s="994" t="n"/>
      <c r="G95" s="994" t="n"/>
      <c r="H95" s="994" t="n"/>
      <c r="I95" s="973" t="n"/>
      <c r="J95" s="973" t="n"/>
      <c r="K95" s="995" t="n"/>
      <c r="L95" s="996" t="n"/>
      <c r="M95" s="987" t="n">
        <v>45260</v>
      </c>
      <c r="N95" s="988">
        <f>IFERROR(IF(DATEDIF(TODAY(),M95,"M")&lt;=6,"ROJO",IF(DATEDIF(TODAY(),M95,"M")&gt;=12,"VERDE",IF(AND(DATEDIF(TODAY(),M95,"M")&gt;6,DATEDIF(TODAY(),M95,"M")&lt;=11),"AMARILLO",IF(M95&lt;TODAY(),"VENCIDO",0)))),O95)</f>
        <v/>
      </c>
      <c r="O95" s="989">
        <f>IF(M95=0,"","VENCIDO")</f>
        <v/>
      </c>
      <c r="Q95" s="997" t="n"/>
      <c r="R95" s="994" t="n"/>
      <c r="S95" s="994" t="n"/>
      <c r="T95" s="994" t="n"/>
      <c r="U95" s="994" t="n"/>
      <c r="V95" s="994" t="n"/>
      <c r="W95" s="994" t="n"/>
      <c r="X95" s="994" t="n"/>
      <c r="Y95" s="994" t="n"/>
      <c r="Z95" s="994" t="n"/>
      <c r="AA95" s="994" t="n"/>
      <c r="AB95" s="994" t="n"/>
      <c r="AC95" s="974" t="n"/>
    </row>
    <row r="96" ht="15" customHeight="1" thickBot="1">
      <c r="A96" s="993" t="n"/>
      <c r="B96" s="972" t="n"/>
      <c r="C96" s="999" t="n"/>
      <c r="D96" s="1020" t="n"/>
      <c r="E96" s="1020" t="n"/>
      <c r="F96" s="1020" t="n"/>
      <c r="G96" s="1020" t="n"/>
      <c r="H96" s="1020" t="n"/>
      <c r="I96" s="999" t="n"/>
      <c r="J96" s="999" t="n"/>
      <c r="K96" s="1000" t="n"/>
      <c r="L96" s="1001" t="n"/>
      <c r="M96" s="987" t="n">
        <v>44985</v>
      </c>
      <c r="N96" s="988">
        <f>IFERROR(IF(DATEDIF(TODAY(),M96,"M")&lt;=6,"ROJO",IF(DATEDIF(TODAY(),M96,"M")&gt;=12,"VERDE",IF(AND(DATEDIF(TODAY(),M96,"M")&gt;6,DATEDIF(TODAY(),M96,"M")&lt;=11),"AMARILLO",IF(M96&lt;TODAY(),"VENCIDO",0)))),O96)</f>
        <v/>
      </c>
      <c r="O96" s="989">
        <f>IF(M96=0,"","VENCIDO")</f>
        <v/>
      </c>
      <c r="Q96" s="1002" t="n"/>
      <c r="R96" s="998" t="n"/>
      <c r="S96" s="998" t="n"/>
      <c r="T96" s="998" t="n"/>
      <c r="U96" s="998" t="n"/>
      <c r="V96" s="998" t="n"/>
      <c r="W96" s="998" t="n"/>
      <c r="X96" s="998" t="n"/>
      <c r="Y96" s="998" t="n"/>
      <c r="Z96" s="998" t="n"/>
      <c r="AA96" s="998" t="n"/>
      <c r="AB96" s="998" t="n"/>
      <c r="AC96" s="1003" t="n"/>
    </row>
    <row r="97" ht="14.4" customHeight="1" thickBot="1">
      <c r="A97" s="1004" t="n"/>
      <c r="B97" s="1005" t="n"/>
      <c r="C97" s="1021" t="n"/>
      <c r="D97" s="1022" t="n"/>
      <c r="E97" s="1022" t="n"/>
      <c r="F97" s="1023" t="n"/>
      <c r="G97" s="1023" t="n"/>
      <c r="H97" s="1023" t="n"/>
      <c r="I97" s="1024" t="n"/>
      <c r="J97" s="1010">
        <f>J92=K97</f>
        <v/>
      </c>
      <c r="K97" s="1025">
        <f>SUM(K92:K96)</f>
        <v/>
      </c>
      <c r="L97" s="1015" t="n"/>
      <c r="M97" s="1013" t="n"/>
      <c r="N97" s="1014">
        <f>IFERROR(IF(DATEDIF(TODAY(),M97,"M")&lt;=6,"ROJO",IF(DATEDIF(TODAY(),M97,"M")&gt;=12,"VERDE",IF(AND(DATEDIF(TODAY(),M97,"M")&gt;6,DATEDIF(TODAY(),M97,"M")&lt;=11),"AMARILLO",IF(M97&lt;TODAY(),"VENCIDO",0)))),O97)</f>
        <v/>
      </c>
      <c r="O97" s="989">
        <f>IF(M97=0,"","VENCIDO")</f>
        <v/>
      </c>
      <c r="Q97" s="1015" t="n"/>
      <c r="R97" s="1016" t="n"/>
      <c r="S97" s="1016" t="n"/>
      <c r="T97" s="1016" t="n"/>
      <c r="U97" s="1016" t="n"/>
      <c r="V97" s="1016" t="n"/>
      <c r="W97" s="1016" t="n"/>
      <c r="X97" s="1016" t="n"/>
      <c r="Y97" s="1016" t="n"/>
      <c r="Z97" s="1016" t="n"/>
      <c r="AA97" s="1016" t="n"/>
      <c r="AB97" s="1016" t="n"/>
      <c r="AC97" s="194" t="n"/>
      <c r="AE97" s="2">
        <f>IFERROR(AA95*100/(W95+AA95),0)</f>
        <v/>
      </c>
    </row>
    <row r="98" ht="14.25" customHeight="1">
      <c r="A98" s="979" t="inlineStr">
        <is>
          <t>Sarampion Rubéola (vacuna)</t>
        </is>
      </c>
      <c r="B98" s="980" t="n"/>
      <c r="C98" s="1017">
        <f>ENERO!K103</f>
        <v/>
      </c>
      <c r="D98" s="1018" t="n"/>
      <c r="E98" s="1018" t="n"/>
      <c r="F98" s="1018" t="n"/>
      <c r="G98" s="1018" t="n"/>
      <c r="H98" s="1018" t="n"/>
      <c r="I98" s="983">
        <f>AC98</f>
        <v/>
      </c>
      <c r="J98" s="1019">
        <f>+(C98+D98+F98+E98)-(G98+H98+I98)</f>
        <v/>
      </c>
      <c r="K98" s="985" t="n"/>
      <c r="L98" s="986" t="n"/>
      <c r="M98" s="987" t="n">
        <v>45260</v>
      </c>
      <c r="N98" s="988">
        <f>IFERROR(IF(DATEDIF(TODAY(),M98,"M")&lt;=6,"ROJO",IF(DATEDIF(TODAY(),M98,"M")&gt;=12,"VERDE",IF(AND(DATEDIF(TODAY(),M98,"M")&gt;6,DATEDIF(TODAY(),M98,"M")&lt;=11),"AMARILLO",IF(M98&lt;TODAY(),"VENCIDO",0)))),O98)</f>
        <v/>
      </c>
      <c r="O98" s="989">
        <f>IF(M98=0,"","VENCIDO")</f>
        <v/>
      </c>
      <c r="Q98" s="990" t="n"/>
      <c r="R98" s="991" t="n"/>
      <c r="S98" s="991" t="n"/>
      <c r="T98" s="991" t="n"/>
      <c r="U98" s="991" t="n"/>
      <c r="V98" s="991" t="n"/>
      <c r="W98" s="991" t="n"/>
      <c r="X98" s="991" t="n"/>
      <c r="Y98" s="991" t="n"/>
      <c r="Z98" s="991" t="n"/>
      <c r="AA98" s="991" t="n"/>
      <c r="AB98" s="991" t="n"/>
      <c r="AC98" s="992">
        <f>SUM(Q98:AB102)</f>
        <v/>
      </c>
      <c r="AH98" s="2">
        <f>+IF(AC98&lt;&gt;I98,1,0)</f>
        <v/>
      </c>
    </row>
    <row r="99" ht="14.25" customHeight="1">
      <c r="A99" s="993" t="n"/>
      <c r="B99" s="972" t="n"/>
      <c r="C99" s="973" t="n"/>
      <c r="D99" s="994" t="n"/>
      <c r="E99" s="994" t="n"/>
      <c r="F99" s="994" t="n"/>
      <c r="G99" s="994" t="n"/>
      <c r="H99" s="994" t="n"/>
      <c r="I99" s="973" t="n"/>
      <c r="J99" s="973" t="n"/>
      <c r="K99" s="995" t="n"/>
      <c r="L99" s="996" t="n"/>
      <c r="M99" s="987" t="n">
        <v>45260</v>
      </c>
      <c r="N99" s="988">
        <f>IFERROR(IF(DATEDIF(TODAY(),M99,"M")&lt;=6,"ROJO",IF(DATEDIF(TODAY(),M99,"M")&gt;=12,"VERDE",IF(AND(DATEDIF(TODAY(),M99,"M")&gt;6,DATEDIF(TODAY(),M99,"M")&lt;=11),"AMARILLO",IF(M99&lt;TODAY(),"VENCIDO",0)))),O99)</f>
        <v/>
      </c>
      <c r="O99" s="989">
        <f>IF(M99=0,"","VENCIDO")</f>
        <v/>
      </c>
      <c r="Q99" s="997" t="n"/>
      <c r="R99" s="994" t="n"/>
      <c r="S99" s="994" t="n"/>
      <c r="T99" s="994" t="n"/>
      <c r="U99" s="994" t="n"/>
      <c r="V99" s="994" t="n"/>
      <c r="W99" s="994" t="n"/>
      <c r="X99" s="994" t="n"/>
      <c r="Y99" s="994" t="n"/>
      <c r="Z99" s="994" t="n"/>
      <c r="AA99" s="994" t="n"/>
      <c r="AB99" s="994" t="n"/>
      <c r="AC99" s="974" t="n"/>
    </row>
    <row r="100" ht="14.25" customHeight="1">
      <c r="A100" s="993" t="n"/>
      <c r="B100" s="972" t="n"/>
      <c r="C100" s="973" t="n"/>
      <c r="D100" s="994" t="n"/>
      <c r="E100" s="994" t="n"/>
      <c r="F100" s="994" t="n"/>
      <c r="G100" s="994" t="n"/>
      <c r="H100" s="994" t="n"/>
      <c r="I100" s="973" t="n"/>
      <c r="J100" s="973" t="n"/>
      <c r="K100" s="995" t="n"/>
      <c r="L100" s="996" t="n"/>
      <c r="M100" s="987" t="n"/>
      <c r="N100" s="988">
        <f>IFERROR(IF(DATEDIF(TODAY(),M100,"M")&lt;=6,"ROJO",IF(DATEDIF(TODAY(),M100,"M")&gt;=12,"VERDE",IF(AND(DATEDIF(TODAY(),M100,"M")&gt;6,DATEDIF(TODAY(),M100,"M")&lt;=11),"AMARILLO",IF(M100&lt;TODAY(),"VENCIDO",0)))),O100)</f>
        <v/>
      </c>
      <c r="O100" s="989">
        <f>IF(M100=0,"","VENCIDO")</f>
        <v/>
      </c>
      <c r="Q100" s="997" t="n"/>
      <c r="R100" s="994" t="n"/>
      <c r="S100" s="994" t="n"/>
      <c r="T100" s="994" t="n"/>
      <c r="U100" s="994" t="n"/>
      <c r="V100" s="994" t="n"/>
      <c r="W100" s="994" t="n"/>
      <c r="X100" s="994" t="n"/>
      <c r="Y100" s="994" t="n"/>
      <c r="Z100" s="994" t="n"/>
      <c r="AA100" s="994" t="n"/>
      <c r="AB100" s="994" t="n"/>
      <c r="AC100" s="974" t="n"/>
    </row>
    <row r="101" ht="14.25" customHeight="1">
      <c r="A101" s="993" t="n"/>
      <c r="B101" s="972" t="n"/>
      <c r="C101" s="973" t="n"/>
      <c r="D101" s="994" t="n"/>
      <c r="E101" s="994" t="n"/>
      <c r="F101" s="994" t="n"/>
      <c r="G101" s="994" t="n"/>
      <c r="H101" s="994" t="n"/>
      <c r="I101" s="973" t="n"/>
      <c r="J101" s="973" t="n"/>
      <c r="K101" s="995" t="n"/>
      <c r="L101" s="996" t="n"/>
      <c r="M101" s="987" t="n"/>
      <c r="N101" s="988">
        <f>IFERROR(IF(DATEDIF(TODAY(),M101,"M")&lt;=6,"ROJO",IF(DATEDIF(TODAY(),M101,"M")&gt;=12,"VERDE",IF(AND(DATEDIF(TODAY(),M101,"M")&gt;6,DATEDIF(TODAY(),M101,"M")&lt;=11),"AMARILLO",IF(M101&lt;TODAY(),"VENCIDO",0)))),O101)</f>
        <v/>
      </c>
      <c r="O101" s="989">
        <f>IF(M101=0,"","VENCIDO")</f>
        <v/>
      </c>
      <c r="Q101" s="997" t="n"/>
      <c r="R101" s="994" t="n"/>
      <c r="S101" s="994" t="n"/>
      <c r="T101" s="994" t="n"/>
      <c r="U101" s="994" t="n"/>
      <c r="V101" s="994" t="n"/>
      <c r="W101" s="994" t="n"/>
      <c r="X101" s="994" t="n"/>
      <c r="Y101" s="994" t="n"/>
      <c r="Z101" s="994" t="n"/>
      <c r="AA101" s="994" t="n"/>
      <c r="AB101" s="994" t="n"/>
      <c r="AC101" s="974" t="n"/>
    </row>
    <row r="102" ht="15" customHeight="1" thickBot="1">
      <c r="A102" s="993" t="n"/>
      <c r="B102" s="972" t="n"/>
      <c r="C102" s="999" t="n"/>
      <c r="D102" s="1020" t="n"/>
      <c r="E102" s="1020" t="n"/>
      <c r="F102" s="1020" t="n"/>
      <c r="G102" s="1020" t="n"/>
      <c r="H102" s="1020" t="n"/>
      <c r="I102" s="999" t="n"/>
      <c r="J102" s="999" t="n"/>
      <c r="K102" s="1000" t="n"/>
      <c r="L102" s="1001" t="n"/>
      <c r="M102" s="987" t="n"/>
      <c r="N102" s="988">
        <f>IFERROR(IF(DATEDIF(TODAY(),M102,"M")&lt;=6,"ROJO",IF(DATEDIF(TODAY(),M102,"M")&gt;=12,"VERDE",IF(AND(DATEDIF(TODAY(),M102,"M")&gt;6,DATEDIF(TODAY(),M102,"M")&lt;=11),"AMARILLO",IF(M102&lt;TODAY(),"VENCIDO",0)))),O102)</f>
        <v/>
      </c>
      <c r="O102" s="989">
        <f>IF(M102=0,"","VENCIDO")</f>
        <v/>
      </c>
      <c r="Q102" s="1002" t="n"/>
      <c r="R102" s="998" t="n"/>
      <c r="S102" s="998" t="n"/>
      <c r="T102" s="998" t="n"/>
      <c r="U102" s="998" t="n"/>
      <c r="V102" s="998" t="n"/>
      <c r="W102" s="998" t="n"/>
      <c r="X102" s="998" t="n"/>
      <c r="Y102" s="998" t="n"/>
      <c r="Z102" s="998" t="n"/>
      <c r="AA102" s="998" t="n"/>
      <c r="AB102" s="998" t="n"/>
      <c r="AC102" s="1003" t="n"/>
    </row>
    <row r="103" ht="14.4" customHeight="1" thickBot="1">
      <c r="A103" s="1004" t="n"/>
      <c r="B103" s="1005" t="n"/>
      <c r="C103" s="1021" t="n"/>
      <c r="D103" s="1022" t="n"/>
      <c r="E103" s="1022" t="n"/>
      <c r="F103" s="1023" t="n"/>
      <c r="G103" s="1023" t="n"/>
      <c r="H103" s="1023" t="n"/>
      <c r="I103" s="1024" t="n"/>
      <c r="J103" s="1010">
        <f>J98=K103</f>
        <v/>
      </c>
      <c r="K103" s="1025">
        <f>SUM(K98:K102)</f>
        <v/>
      </c>
      <c r="L103" s="1015" t="n"/>
      <c r="M103" s="1013" t="n"/>
      <c r="N103" s="1014">
        <f>IFERROR(IF(DATEDIF(TODAY(),M103,"M")&lt;=6,"ROJO",IF(DATEDIF(TODAY(),M103,"M")&gt;=12,"VERDE",IF(AND(DATEDIF(TODAY(),M103,"M")&gt;6,DATEDIF(TODAY(),M103,"M")&lt;=11),"AMARILLO",IF(M103&lt;TODAY(),"VENCIDO",0)))),O103)</f>
        <v/>
      </c>
      <c r="O103" s="989">
        <f>IF(M103=0,"","VENCIDO")</f>
        <v/>
      </c>
      <c r="Q103" s="1015" t="n"/>
      <c r="R103" s="1016" t="n"/>
      <c r="S103" s="1016" t="n"/>
      <c r="T103" s="1016" t="n"/>
      <c r="U103" s="1016" t="n"/>
      <c r="V103" s="1016" t="n"/>
      <c r="W103" s="1016" t="n"/>
      <c r="X103" s="1016" t="n"/>
      <c r="Y103" s="1016" t="n"/>
      <c r="Z103" s="1016" t="n"/>
      <c r="AA103" s="1016" t="n"/>
      <c r="AB103" s="1016" t="n"/>
      <c r="AC103" s="194" t="n"/>
      <c r="AE103" s="2">
        <f>IFERROR(AA101*100/(W101+AA101),0)</f>
        <v/>
      </c>
    </row>
    <row r="104" ht="15.75" customHeight="1">
      <c r="A104" s="979" t="inlineStr">
        <is>
          <t>Fiebre amarilla (vacuna)</t>
        </is>
      </c>
      <c r="B104" s="980" t="n"/>
      <c r="C104" s="1017">
        <f>ENERO!K121</f>
        <v/>
      </c>
      <c r="D104" s="1018" t="n"/>
      <c r="E104" s="1018" t="n"/>
      <c r="F104" s="1018" t="n"/>
      <c r="G104" s="1018" t="n"/>
      <c r="H104" s="1018" t="n"/>
      <c r="I104" s="983">
        <f>AC104</f>
        <v/>
      </c>
      <c r="J104" s="1019">
        <f>+(C104+D104+F104+E104)-(G104+H104+I104)</f>
        <v/>
      </c>
      <c r="K104" s="985" t="n"/>
      <c r="L104" s="986" t="n"/>
      <c r="M104" s="987" t="n"/>
      <c r="N104" s="988">
        <f>IFERROR(IF(DATEDIF(TODAY(),M104,"M")&lt;=6,"ROJO",IF(DATEDIF(TODAY(),M104,"M")&gt;=12,"VERDE",IF(AND(DATEDIF(TODAY(),M104,"M")&gt;6,DATEDIF(TODAY(),M104,"M")&lt;=11),"AMARILLO",IF(M104&lt;TODAY(),"VENCIDO",0)))),O104)</f>
        <v/>
      </c>
      <c r="O104" s="989">
        <f>IF(M104=0,"","VENCIDO")</f>
        <v/>
      </c>
      <c r="Q104" s="990" t="n"/>
      <c r="R104" s="991" t="n"/>
      <c r="S104" s="991" t="n"/>
      <c r="T104" s="991" t="n"/>
      <c r="U104" s="991" t="n"/>
      <c r="V104" s="991" t="n"/>
      <c r="W104" s="991" t="n"/>
      <c r="X104" s="991" t="n"/>
      <c r="Y104" s="991" t="n"/>
      <c r="Z104" s="991" t="n"/>
      <c r="AA104" s="991" t="n"/>
      <c r="AB104" s="991" t="n"/>
      <c r="AC104" s="992">
        <f>SUM(Q104:AB108)</f>
        <v/>
      </c>
      <c r="AH104" s="2">
        <f>+IF(AC104&lt;&gt;I104,1,0)</f>
        <v/>
      </c>
    </row>
    <row r="105" ht="15" customHeight="1">
      <c r="A105" s="993" t="n"/>
      <c r="B105" s="972" t="n"/>
      <c r="C105" s="973" t="n"/>
      <c r="D105" s="994" t="n"/>
      <c r="E105" s="994" t="n"/>
      <c r="F105" s="994" t="n"/>
      <c r="G105" s="994" t="n"/>
      <c r="H105" s="994" t="n"/>
      <c r="I105" s="973" t="n"/>
      <c r="J105" s="973" t="n"/>
      <c r="K105" s="995" t="n"/>
      <c r="L105" s="996" t="n"/>
      <c r="M105" s="987" t="n"/>
      <c r="N105" s="988">
        <f>IFERROR(IF(DATEDIF(TODAY(),M105,"M")&lt;=6,"ROJO",IF(DATEDIF(TODAY(),M105,"M")&gt;=12,"VERDE",IF(AND(DATEDIF(TODAY(),M105,"M")&gt;6,DATEDIF(TODAY(),M105,"M")&lt;=11),"AMARILLO",IF(M105&lt;TODAY(),"VENCIDO",0)))),O105)</f>
        <v/>
      </c>
      <c r="O105" s="989">
        <f>IF(M105=0,"","VENCIDO")</f>
        <v/>
      </c>
      <c r="Q105" s="997" t="n"/>
      <c r="R105" s="994" t="n"/>
      <c r="S105" s="994" t="n"/>
      <c r="T105" s="994" t="n"/>
      <c r="U105" s="994" t="n"/>
      <c r="V105" s="994" t="n"/>
      <c r="W105" s="994" t="n"/>
      <c r="X105" s="994" t="n"/>
      <c r="Y105" s="994" t="n"/>
      <c r="Z105" s="994" t="n"/>
      <c r="AA105" s="994" t="n"/>
      <c r="AB105" s="994" t="n"/>
      <c r="AC105" s="974" t="n"/>
    </row>
    <row r="106" ht="15" customHeight="1">
      <c r="A106" s="993" t="n"/>
      <c r="B106" s="972" t="n"/>
      <c r="C106" s="973" t="n"/>
      <c r="D106" s="994" t="n"/>
      <c r="E106" s="994" t="n"/>
      <c r="F106" s="994" t="n"/>
      <c r="G106" s="994" t="n"/>
      <c r="H106" s="994" t="n"/>
      <c r="I106" s="973" t="n"/>
      <c r="J106" s="973" t="n"/>
      <c r="K106" s="995" t="n"/>
      <c r="L106" s="996" t="n"/>
      <c r="M106" s="987" t="n"/>
      <c r="N106" s="988">
        <f>IFERROR(IF(DATEDIF(TODAY(),M106,"M")&lt;=6,"ROJO",IF(DATEDIF(TODAY(),M106,"M")&gt;=12,"VERDE",IF(AND(DATEDIF(TODAY(),M106,"M")&gt;6,DATEDIF(TODAY(),M106,"M")&lt;=11),"AMARILLO",IF(M106&lt;TODAY(),"VENCIDO",0)))),O106)</f>
        <v/>
      </c>
      <c r="O106" s="989">
        <f>IF(M106=0,"","VENCIDO")</f>
        <v/>
      </c>
      <c r="Q106" s="997" t="n"/>
      <c r="R106" s="994" t="n"/>
      <c r="S106" s="994" t="n"/>
      <c r="T106" s="994" t="n"/>
      <c r="U106" s="994" t="n"/>
      <c r="V106" s="994" t="n"/>
      <c r="W106" s="994" t="n"/>
      <c r="X106" s="994" t="n"/>
      <c r="Y106" s="994" t="n"/>
      <c r="Z106" s="994" t="n"/>
      <c r="AA106" s="994" t="n"/>
      <c r="AB106" s="994" t="n"/>
      <c r="AC106" s="974" t="n"/>
    </row>
    <row r="107" ht="15" customHeight="1">
      <c r="A107" s="993" t="n"/>
      <c r="B107" s="972" t="n"/>
      <c r="C107" s="973" t="n"/>
      <c r="D107" s="994" t="n"/>
      <c r="E107" s="994" t="n"/>
      <c r="F107" s="994" t="n"/>
      <c r="G107" s="994" t="n"/>
      <c r="H107" s="994" t="n"/>
      <c r="I107" s="973" t="n"/>
      <c r="J107" s="973" t="n"/>
      <c r="K107" s="995" t="n"/>
      <c r="L107" s="996" t="n"/>
      <c r="M107" s="987" t="n"/>
      <c r="N107" s="988">
        <f>IFERROR(IF(DATEDIF(TODAY(),M107,"M")&lt;=6,"ROJO",IF(DATEDIF(TODAY(),M107,"M")&gt;=12,"VERDE",IF(AND(DATEDIF(TODAY(),M107,"M")&gt;6,DATEDIF(TODAY(),M107,"M")&lt;=11),"AMARILLO",IF(M107&lt;TODAY(),"VENCIDO",0)))),O107)</f>
        <v/>
      </c>
      <c r="O107" s="989">
        <f>IF(M107=0,"","VENCIDO")</f>
        <v/>
      </c>
      <c r="Q107" s="997" t="n"/>
      <c r="R107" s="994" t="n"/>
      <c r="S107" s="994" t="n"/>
      <c r="T107" s="994" t="n"/>
      <c r="U107" s="994" t="n"/>
      <c r="V107" s="994" t="n"/>
      <c r="W107" s="994" t="n"/>
      <c r="X107" s="994" t="n"/>
      <c r="Y107" s="994" t="n"/>
      <c r="Z107" s="994" t="n"/>
      <c r="AA107" s="994" t="n"/>
      <c r="AB107" s="994" t="n"/>
      <c r="AC107" s="974" t="n"/>
    </row>
    <row r="108" ht="15.75" customHeight="1" thickBot="1">
      <c r="A108" s="993" t="n"/>
      <c r="B108" s="972" t="n"/>
      <c r="C108" s="999" t="n"/>
      <c r="D108" s="1020" t="n"/>
      <c r="E108" s="1020" t="n"/>
      <c r="F108" s="1020" t="n"/>
      <c r="G108" s="1020" t="n"/>
      <c r="H108" s="1020" t="n"/>
      <c r="I108" s="999" t="n"/>
      <c r="J108" s="999" t="n"/>
      <c r="K108" s="1000" t="n"/>
      <c r="L108" s="1001" t="n"/>
      <c r="M108" s="987" t="n"/>
      <c r="N108" s="988">
        <f>IFERROR(IF(DATEDIF(TODAY(),M108,"M")&lt;=6,"ROJO",IF(DATEDIF(TODAY(),M108,"M")&gt;=12,"VERDE",IF(AND(DATEDIF(TODAY(),M108,"M")&gt;6,DATEDIF(TODAY(),M108,"M")&lt;=11),"AMARILLO",IF(M108&lt;TODAY(),"VENCIDO",0)))),O108)</f>
        <v/>
      </c>
      <c r="O108" s="989">
        <f>IF(M108=0,"","VENCIDO")</f>
        <v/>
      </c>
      <c r="Q108" s="1002" t="n"/>
      <c r="R108" s="998" t="n"/>
      <c r="S108" s="998" t="n"/>
      <c r="T108" s="998" t="n"/>
      <c r="U108" s="998" t="n"/>
      <c r="V108" s="998" t="n"/>
      <c r="W108" s="998" t="n"/>
      <c r="X108" s="998" t="n"/>
      <c r="Y108" s="998" t="n"/>
      <c r="Z108" s="998" t="n"/>
      <c r="AA108" s="998" t="n"/>
      <c r="AB108" s="998" t="n"/>
      <c r="AC108" s="1003" t="n"/>
      <c r="AE108" s="2">
        <f>IFERROR(AA106*100/(W106+AA106),0)</f>
        <v/>
      </c>
    </row>
    <row r="109" ht="14.4" customHeight="1" thickBot="1">
      <c r="A109" s="1004" t="n"/>
      <c r="B109" s="1005" t="n"/>
      <c r="C109" s="1021" t="n"/>
      <c r="D109" s="1022" t="n"/>
      <c r="E109" s="1022" t="n"/>
      <c r="F109" s="1023" t="n"/>
      <c r="G109" s="1023" t="n"/>
      <c r="H109" s="1023" t="n"/>
      <c r="I109" s="1024" t="n"/>
      <c r="J109" s="1010">
        <f>J104=K109</f>
        <v/>
      </c>
      <c r="K109" s="1025">
        <f>SUM(K104:K108)</f>
        <v/>
      </c>
      <c r="L109" s="1015" t="n"/>
      <c r="M109" s="1013" t="n"/>
      <c r="N109" s="1014">
        <f>IFERROR(IF(DATEDIF(TODAY(),M109,"M")&lt;=6,"ROJO",IF(DATEDIF(TODAY(),M109,"M")&gt;=12,"VERDE",IF(AND(DATEDIF(TODAY(),M109,"M")&gt;6,DATEDIF(TODAY(),M109,"M")&lt;=11),"AMARILLO",IF(M109&lt;TODAY(),"VENCIDO",0)))),O109)</f>
        <v/>
      </c>
      <c r="O109" s="989">
        <f>IF(M109=0,"","VENCIDO")</f>
        <v/>
      </c>
      <c r="Q109" s="1015" t="n"/>
      <c r="R109" s="1016" t="n"/>
      <c r="S109" s="1016" t="n"/>
      <c r="T109" s="1016" t="n"/>
      <c r="U109" s="1016" t="n"/>
      <c r="V109" s="1016" t="n"/>
      <c r="W109" s="1016" t="n"/>
      <c r="X109" s="1016" t="n"/>
      <c r="Y109" s="1016" t="n"/>
      <c r="Z109" s="1016" t="n"/>
      <c r="AA109" s="1016" t="n"/>
      <c r="AB109" s="1016" t="n"/>
      <c r="AC109" s="194" t="n"/>
    </row>
    <row r="110" ht="14.25" customHeight="1">
      <c r="A110" s="979" t="inlineStr">
        <is>
          <t xml:space="preserve">Hepatitis A pediátrica </t>
        </is>
      </c>
      <c r="B110" s="980" t="n"/>
      <c r="C110" s="1017">
        <f>ENERO!K127</f>
        <v/>
      </c>
      <c r="D110" s="1018" t="n"/>
      <c r="E110" s="1018" t="n"/>
      <c r="F110" s="1018" t="n"/>
      <c r="G110" s="1018" t="n"/>
      <c r="H110" s="1018" t="n"/>
      <c r="I110" s="983">
        <f>AC110</f>
        <v/>
      </c>
      <c r="J110" s="1019">
        <f>+(C110+D110+F110+E110)-(G110+H110+I110)</f>
        <v/>
      </c>
      <c r="K110" s="985" t="n"/>
      <c r="L110" s="986" t="n"/>
      <c r="M110" s="987" t="n"/>
      <c r="N110" s="988">
        <f>IFERROR(IF(DATEDIF(TODAY(),M110,"M")&lt;=6,"ROJO",IF(DATEDIF(TODAY(),M110,"M")&gt;=12,"VERDE",IF(AND(DATEDIF(TODAY(),M110,"M")&gt;6,DATEDIF(TODAY(),M110,"M")&lt;=11),"AMARILLO",IF(M110&lt;TODAY(),"VENCIDO",0)))),O110)</f>
        <v/>
      </c>
      <c r="O110" s="989">
        <f>IF(M110=0,"","VENCIDO")</f>
        <v/>
      </c>
      <c r="Q110" s="990" t="n"/>
      <c r="R110" s="991" t="n"/>
      <c r="S110" s="991" t="n"/>
      <c r="T110" s="991" t="n"/>
      <c r="U110" s="991" t="n"/>
      <c r="V110" s="991" t="n"/>
      <c r="W110" s="991" t="n"/>
      <c r="X110" s="991" t="n"/>
      <c r="Y110" s="991" t="n"/>
      <c r="Z110" s="991" t="n"/>
      <c r="AA110" s="991" t="n"/>
      <c r="AB110" s="991" t="n"/>
      <c r="AC110" s="992">
        <f>SUM(Q110:AB114)</f>
        <v/>
      </c>
      <c r="AH110" s="2">
        <f>+IF(AC110&lt;&gt;I110,1,0)</f>
        <v/>
      </c>
    </row>
    <row r="111" ht="14.25" customHeight="1">
      <c r="A111" s="993" t="n"/>
      <c r="B111" s="972" t="n"/>
      <c r="C111" s="973" t="n"/>
      <c r="D111" s="994" t="n"/>
      <c r="E111" s="994" t="n"/>
      <c r="F111" s="994" t="n"/>
      <c r="G111" s="994" t="n"/>
      <c r="H111" s="994" t="n"/>
      <c r="I111" s="973" t="n"/>
      <c r="J111" s="973" t="n"/>
      <c r="K111" s="995" t="n"/>
      <c r="L111" s="996" t="n"/>
      <c r="M111" s="987" t="n"/>
      <c r="N111" s="988">
        <f>IFERROR(IF(DATEDIF(TODAY(),M111,"M")&lt;=6,"ROJO",IF(DATEDIF(TODAY(),M111,"M")&gt;=12,"VERDE",IF(AND(DATEDIF(TODAY(),M111,"M")&gt;6,DATEDIF(TODAY(),M111,"M")&lt;=11),"AMARILLO",IF(M111&lt;TODAY(),"VENCIDO",0)))),O111)</f>
        <v/>
      </c>
      <c r="O111" s="989">
        <f>IF(M111=0,"","VENCIDO")</f>
        <v/>
      </c>
      <c r="Q111" s="997" t="n"/>
      <c r="R111" s="994" t="n"/>
      <c r="S111" s="994" t="n"/>
      <c r="T111" s="994" t="n"/>
      <c r="U111" s="994" t="n"/>
      <c r="V111" s="994" t="n"/>
      <c r="W111" s="994" t="n"/>
      <c r="X111" s="994" t="n"/>
      <c r="Y111" s="994" t="n"/>
      <c r="Z111" s="994" t="n"/>
      <c r="AA111" s="994" t="n"/>
      <c r="AB111" s="994" t="n"/>
      <c r="AC111" s="974" t="n"/>
    </row>
    <row r="112" ht="14.25" customHeight="1">
      <c r="A112" s="993" t="n"/>
      <c r="B112" s="972" t="n"/>
      <c r="C112" s="973" t="n"/>
      <c r="D112" s="994" t="n"/>
      <c r="E112" s="994" t="n"/>
      <c r="F112" s="994" t="n"/>
      <c r="G112" s="994" t="n"/>
      <c r="H112" s="994" t="n"/>
      <c r="I112" s="973" t="n"/>
      <c r="J112" s="973" t="n"/>
      <c r="K112" s="995" t="n"/>
      <c r="L112" s="996" t="n"/>
      <c r="M112" s="987" t="n"/>
      <c r="N112" s="988">
        <f>IFERROR(IF(DATEDIF(TODAY(),M112,"M")&lt;=6,"ROJO",IF(DATEDIF(TODAY(),M112,"M")&gt;=12,"VERDE",IF(AND(DATEDIF(TODAY(),M112,"M")&gt;6,DATEDIF(TODAY(),M112,"M")&lt;=11),"AMARILLO",IF(M112&lt;TODAY(),"VENCIDO",0)))),O112)</f>
        <v/>
      </c>
      <c r="O112" s="989">
        <f>IF(M112=0,"","VENCIDO")</f>
        <v/>
      </c>
      <c r="Q112" s="997" t="n"/>
      <c r="R112" s="994" t="n"/>
      <c r="S112" s="994" t="n"/>
      <c r="T112" s="994" t="n"/>
      <c r="U112" s="994" t="n"/>
      <c r="V112" s="994" t="n"/>
      <c r="W112" s="994" t="n"/>
      <c r="X112" s="994" t="n"/>
      <c r="Y112" s="994" t="n"/>
      <c r="Z112" s="994" t="n"/>
      <c r="AA112" s="994" t="n"/>
      <c r="AB112" s="994" t="n"/>
      <c r="AC112" s="974" t="n"/>
    </row>
    <row r="113" ht="14.25" customHeight="1">
      <c r="A113" s="993" t="n"/>
      <c r="B113" s="972" t="n"/>
      <c r="C113" s="973" t="n"/>
      <c r="D113" s="994" t="n"/>
      <c r="E113" s="994" t="n"/>
      <c r="F113" s="994" t="n"/>
      <c r="G113" s="994" t="n"/>
      <c r="H113" s="994" t="n"/>
      <c r="I113" s="973" t="n"/>
      <c r="J113" s="973" t="n"/>
      <c r="K113" s="995" t="n"/>
      <c r="L113" s="996" t="n"/>
      <c r="M113" s="987" t="n"/>
      <c r="N113" s="988">
        <f>IFERROR(IF(DATEDIF(TODAY(),M113,"M")&lt;=6,"ROJO",IF(DATEDIF(TODAY(),M113,"M")&gt;=12,"VERDE",IF(AND(DATEDIF(TODAY(),M113,"M")&gt;6,DATEDIF(TODAY(),M113,"M")&lt;=11),"AMARILLO",IF(M113&lt;TODAY(),"VENCIDO",0)))),O113)</f>
        <v/>
      </c>
      <c r="O113" s="989">
        <f>IF(M113=0,"","VENCIDO")</f>
        <v/>
      </c>
      <c r="Q113" s="997" t="n"/>
      <c r="R113" s="994" t="n"/>
      <c r="S113" s="994" t="n"/>
      <c r="T113" s="994" t="n"/>
      <c r="U113" s="994" t="n"/>
      <c r="V113" s="994" t="n"/>
      <c r="W113" s="994" t="n"/>
      <c r="X113" s="994" t="n"/>
      <c r="Y113" s="994" t="n"/>
      <c r="Z113" s="994" t="n"/>
      <c r="AA113" s="994" t="n"/>
      <c r="AB113" s="994" t="n"/>
      <c r="AC113" s="974" t="n"/>
    </row>
    <row r="114" ht="15" customHeight="1" thickBot="1">
      <c r="A114" s="993" t="n"/>
      <c r="B114" s="972" t="n"/>
      <c r="C114" s="999" t="n"/>
      <c r="D114" s="1020" t="n"/>
      <c r="E114" s="1020" t="n"/>
      <c r="F114" s="1020" t="n"/>
      <c r="G114" s="1020" t="n"/>
      <c r="H114" s="1020" t="n"/>
      <c r="I114" s="999" t="n"/>
      <c r="J114" s="999" t="n"/>
      <c r="K114" s="1000" t="n"/>
      <c r="L114" s="1001" t="n"/>
      <c r="M114" s="987" t="n"/>
      <c r="N114" s="988">
        <f>IFERROR(IF(DATEDIF(TODAY(),M114,"M")&lt;=6,"ROJO",IF(DATEDIF(TODAY(),M114,"M")&gt;=12,"VERDE",IF(AND(DATEDIF(TODAY(),M114,"M")&gt;6,DATEDIF(TODAY(),M114,"M")&lt;=11),"AMARILLO",IF(M114&lt;TODAY(),"VENCIDO",0)))),O114)</f>
        <v/>
      </c>
      <c r="O114" s="989">
        <f>IF(M114=0,"","VENCIDO")</f>
        <v/>
      </c>
      <c r="Q114" s="1002" t="n"/>
      <c r="R114" s="998" t="n"/>
      <c r="S114" s="998" t="n"/>
      <c r="T114" s="998" t="n"/>
      <c r="U114" s="998" t="n"/>
      <c r="V114" s="998" t="n"/>
      <c r="W114" s="998" t="n"/>
      <c r="X114" s="998" t="n"/>
      <c r="Y114" s="998" t="n"/>
      <c r="Z114" s="998" t="n"/>
      <c r="AA114" s="998" t="n"/>
      <c r="AB114" s="998" t="n"/>
      <c r="AC114" s="1003" t="n"/>
      <c r="AE114" s="2">
        <f>IFERROR(AA112*100/(W112+AA112),0)</f>
        <v/>
      </c>
    </row>
    <row r="115" ht="14.4" customHeight="1" thickBot="1">
      <c r="A115" s="1004" t="n"/>
      <c r="B115" s="1005" t="n"/>
      <c r="C115" s="1021" t="n"/>
      <c r="D115" s="1022" t="n"/>
      <c r="E115" s="1022" t="n"/>
      <c r="F115" s="1023" t="n"/>
      <c r="G115" s="1023" t="n"/>
      <c r="H115" s="1023" t="n"/>
      <c r="I115" s="1024" t="n"/>
      <c r="J115" s="1010">
        <f>J110=K115</f>
        <v/>
      </c>
      <c r="K115" s="1025">
        <f>SUM(K110:K114)</f>
        <v/>
      </c>
      <c r="L115" s="1015" t="n"/>
      <c r="M115" s="1013" t="n"/>
      <c r="N115" s="1014">
        <f>IFERROR(IF(DATEDIF(TODAY(),M115,"M")&lt;=6,"ROJO",IF(DATEDIF(TODAY(),M115,"M")&gt;=12,"VERDE",IF(AND(DATEDIF(TODAY(),M115,"M")&gt;6,DATEDIF(TODAY(),M115,"M")&lt;=11),"AMARILLO",IF(M115&lt;TODAY(),"VENCIDO",0)))),O115)</f>
        <v/>
      </c>
      <c r="O115" s="989">
        <f>IF(M115=0,"","VENCIDO")</f>
        <v/>
      </c>
      <c r="Q115" s="1015" t="n"/>
      <c r="R115" s="1016" t="n"/>
      <c r="S115" s="1016" t="n"/>
      <c r="T115" s="1016" t="n"/>
      <c r="U115" s="1016" t="n"/>
      <c r="V115" s="1016" t="n"/>
      <c r="W115" s="1016" t="n"/>
      <c r="X115" s="1016" t="n"/>
      <c r="Y115" s="1016" t="n"/>
      <c r="Z115" s="1016" t="n"/>
      <c r="AA115" s="1016" t="n"/>
      <c r="AB115" s="1016" t="n"/>
      <c r="AC115" s="194" t="n"/>
    </row>
    <row r="116" ht="15" customHeight="1">
      <c r="A116" s="979" t="inlineStr">
        <is>
          <t>Varicela (vacuna)</t>
        </is>
      </c>
      <c r="B116" s="980" t="n"/>
      <c r="C116" s="1017">
        <f>ENERO!K133</f>
        <v/>
      </c>
      <c r="D116" s="1018" t="n"/>
      <c r="E116" s="1018" t="n"/>
      <c r="F116" s="1018" t="n"/>
      <c r="G116" s="1018" t="n"/>
      <c r="H116" s="1018" t="n"/>
      <c r="I116" s="983">
        <f>AC116</f>
        <v/>
      </c>
      <c r="J116" s="1019">
        <f>+(C116+D116+F116+E116)-(G116+H116+I116)</f>
        <v/>
      </c>
      <c r="K116" s="985" t="n"/>
      <c r="L116" s="986" t="n"/>
      <c r="M116" s="987" t="n"/>
      <c r="N116" s="988">
        <f>IFERROR(IF(DATEDIF(TODAY(),M116,"M")&lt;=6,"ROJO",IF(DATEDIF(TODAY(),M116,"M")&gt;=12,"VERDE",IF(AND(DATEDIF(TODAY(),M116,"M")&gt;6,DATEDIF(TODAY(),M116,"M")&lt;=11),"AMARILLO",IF(M116&lt;TODAY(),"VENCIDO",0)))),O116)</f>
        <v/>
      </c>
      <c r="O116" s="989">
        <f>IF(M116=0,"","VENCIDO")</f>
        <v/>
      </c>
      <c r="Q116" s="990" t="n"/>
      <c r="R116" s="991" t="n"/>
      <c r="S116" s="991" t="n"/>
      <c r="T116" s="991" t="n"/>
      <c r="U116" s="991" t="n"/>
      <c r="V116" s="991" t="n"/>
      <c r="W116" s="991" t="n"/>
      <c r="X116" s="991" t="n"/>
      <c r="Y116" s="991" t="n"/>
      <c r="Z116" s="991" t="n"/>
      <c r="AA116" s="991" t="n"/>
      <c r="AB116" s="991" t="n"/>
      <c r="AC116" s="992">
        <f>SUM(Q116:AB120)</f>
        <v/>
      </c>
      <c r="AH116" s="2">
        <f>+IF(AC116&lt;&gt;I116,1,0)</f>
        <v/>
      </c>
    </row>
    <row r="117" ht="15" customHeight="1">
      <c r="A117" s="993" t="n"/>
      <c r="B117" s="972" t="n"/>
      <c r="C117" s="973" t="n"/>
      <c r="D117" s="994" t="n"/>
      <c r="E117" s="994" t="n"/>
      <c r="F117" s="994" t="n"/>
      <c r="G117" s="994" t="n"/>
      <c r="H117" s="994" t="n"/>
      <c r="I117" s="973" t="n"/>
      <c r="J117" s="973" t="n"/>
      <c r="K117" s="995" t="n"/>
      <c r="L117" s="996" t="n"/>
      <c r="M117" s="987" t="n"/>
      <c r="N117" s="988">
        <f>IFERROR(IF(DATEDIF(TODAY(),M117,"M")&lt;=6,"ROJO",IF(DATEDIF(TODAY(),M117,"M")&gt;=12,"VERDE",IF(AND(DATEDIF(TODAY(),M117,"M")&gt;6,DATEDIF(TODAY(),M117,"M")&lt;=11),"AMARILLO",IF(M117&lt;TODAY(),"VENCIDO",0)))),O117)</f>
        <v/>
      </c>
      <c r="O117" s="989">
        <f>IF(M117=0,"","VENCIDO")</f>
        <v/>
      </c>
      <c r="Q117" s="997" t="n"/>
      <c r="R117" s="994" t="n"/>
      <c r="S117" s="994" t="n"/>
      <c r="T117" s="994" t="n"/>
      <c r="U117" s="994" t="n"/>
      <c r="V117" s="994" t="n"/>
      <c r="W117" s="994" t="n"/>
      <c r="X117" s="994" t="n"/>
      <c r="Y117" s="994" t="n"/>
      <c r="Z117" s="994" t="n"/>
      <c r="AA117" s="994" t="n"/>
      <c r="AB117" s="994" t="n"/>
      <c r="AC117" s="974" t="n"/>
    </row>
    <row r="118" ht="15" customHeight="1">
      <c r="A118" s="993" t="n"/>
      <c r="B118" s="972" t="n"/>
      <c r="C118" s="973" t="n"/>
      <c r="D118" s="994" t="n"/>
      <c r="E118" s="994" t="n"/>
      <c r="F118" s="994" t="n"/>
      <c r="G118" s="994" t="n"/>
      <c r="H118" s="994" t="n"/>
      <c r="I118" s="973" t="n"/>
      <c r="J118" s="973" t="n"/>
      <c r="K118" s="995" t="n"/>
      <c r="L118" s="996" t="n"/>
      <c r="M118" s="987" t="n"/>
      <c r="N118" s="988">
        <f>IFERROR(IF(DATEDIF(TODAY(),M118,"M")&lt;=6,"ROJO",IF(DATEDIF(TODAY(),M118,"M")&gt;=12,"VERDE",IF(AND(DATEDIF(TODAY(),M118,"M")&gt;6,DATEDIF(TODAY(),M118,"M")&lt;=11),"AMARILLO",IF(M118&lt;TODAY(),"VENCIDO",0)))),O118)</f>
        <v/>
      </c>
      <c r="O118" s="989">
        <f>IF(M118=0,"","VENCIDO")</f>
        <v/>
      </c>
      <c r="Q118" s="997" t="n"/>
      <c r="R118" s="994" t="n"/>
      <c r="S118" s="994" t="n"/>
      <c r="T118" s="994" t="n"/>
      <c r="U118" s="994" t="n"/>
      <c r="V118" s="994" t="n"/>
      <c r="W118" s="994" t="n"/>
      <c r="X118" s="994" t="n"/>
      <c r="Y118" s="994" t="n"/>
      <c r="Z118" s="994" t="n"/>
      <c r="AA118" s="994" t="n"/>
      <c r="AB118" s="994" t="n"/>
      <c r="AC118" s="974" t="n"/>
    </row>
    <row r="119" ht="15" customHeight="1">
      <c r="A119" s="993" t="n"/>
      <c r="B119" s="972" t="n"/>
      <c r="C119" s="973" t="n"/>
      <c r="D119" s="994" t="n"/>
      <c r="E119" s="994" t="n"/>
      <c r="F119" s="994" t="n"/>
      <c r="G119" s="994" t="n"/>
      <c r="H119" s="994" t="n"/>
      <c r="I119" s="973" t="n"/>
      <c r="J119" s="973" t="n"/>
      <c r="K119" s="995" t="n"/>
      <c r="L119" s="996" t="n"/>
      <c r="M119" s="987" t="n"/>
      <c r="N119" s="988">
        <f>IFERROR(IF(DATEDIF(TODAY(),M119,"M")&lt;=6,"ROJO",IF(DATEDIF(TODAY(),M119,"M")&gt;=12,"VERDE",IF(AND(DATEDIF(TODAY(),M119,"M")&gt;6,DATEDIF(TODAY(),M119,"M")&lt;=11),"AMARILLO",IF(M119&lt;TODAY(),"VENCIDO",0)))),O119)</f>
        <v/>
      </c>
      <c r="O119" s="989">
        <f>IF(M119=0,"","VENCIDO")</f>
        <v/>
      </c>
      <c r="Q119" s="997" t="n"/>
      <c r="R119" s="994" t="n"/>
      <c r="S119" s="994" t="n"/>
      <c r="T119" s="994" t="n"/>
      <c r="U119" s="994" t="n"/>
      <c r="V119" s="994" t="n"/>
      <c r="W119" s="994" t="n"/>
      <c r="X119" s="994" t="n"/>
      <c r="Y119" s="994" t="n"/>
      <c r="Z119" s="994" t="n"/>
      <c r="AA119" s="994" t="n"/>
      <c r="AB119" s="994" t="n"/>
      <c r="AC119" s="974" t="n"/>
      <c r="AE119" s="2">
        <f>IFERROR(AA117*100/(W117+AA117),0)</f>
        <v/>
      </c>
    </row>
    <row r="120" ht="15.75" customHeight="1" thickBot="1">
      <c r="A120" s="993" t="n"/>
      <c r="B120" s="972" t="n"/>
      <c r="C120" s="999" t="n"/>
      <c r="D120" s="1020" t="n"/>
      <c r="E120" s="1020" t="n"/>
      <c r="F120" s="1020" t="n"/>
      <c r="G120" s="1020" t="n"/>
      <c r="H120" s="1020" t="n"/>
      <c r="I120" s="999" t="n"/>
      <c r="J120" s="999" t="n"/>
      <c r="K120" s="1000" t="n"/>
      <c r="L120" s="1001" t="n"/>
      <c r="M120" s="987" t="n"/>
      <c r="N120" s="988">
        <f>IFERROR(IF(DATEDIF(TODAY(),M120,"M")&lt;=6,"ROJO",IF(DATEDIF(TODAY(),M120,"M")&gt;=12,"VERDE",IF(AND(DATEDIF(TODAY(),M120,"M")&gt;6,DATEDIF(TODAY(),M120,"M")&lt;=11),"AMARILLO",IF(M120&lt;TODAY(),"VENCIDO",0)))),O120)</f>
        <v/>
      </c>
      <c r="O120" s="989">
        <f>IF(M120=0,"","VENCIDO")</f>
        <v/>
      </c>
      <c r="Q120" s="1002" t="n"/>
      <c r="R120" s="998" t="n"/>
      <c r="S120" s="998" t="n"/>
      <c r="T120" s="998" t="n"/>
      <c r="U120" s="998" t="n"/>
      <c r="V120" s="998" t="n"/>
      <c r="W120" s="998" t="n"/>
      <c r="X120" s="998" t="n"/>
      <c r="Y120" s="998" t="n"/>
      <c r="Z120" s="998" t="n"/>
      <c r="AA120" s="998" t="n"/>
      <c r="AB120" s="998" t="n"/>
      <c r="AC120" s="1003" t="n"/>
    </row>
    <row r="121" ht="15.75" customHeight="1" thickBot="1">
      <c r="A121" s="1004" t="n"/>
      <c r="B121" s="1005" t="n"/>
      <c r="C121" s="1021" t="n"/>
      <c r="D121" s="1022" t="n"/>
      <c r="E121" s="1022" t="n"/>
      <c r="F121" s="1023" t="n"/>
      <c r="G121" s="1023" t="n"/>
      <c r="H121" s="1023" t="n"/>
      <c r="I121" s="1024" t="n"/>
      <c r="J121" s="1010">
        <f>J116=K121</f>
        <v/>
      </c>
      <c r="K121" s="1025">
        <f>SUM(K116:K120)</f>
        <v/>
      </c>
      <c r="L121" s="1015" t="n"/>
      <c r="M121" s="1013" t="n"/>
      <c r="N121" s="1014">
        <f>IFERROR(IF(DATEDIF(TODAY(),M121,"M")&lt;=6,"ROJO",IF(DATEDIF(TODAY(),M121,"M")&gt;=12,"VERDE",IF(AND(DATEDIF(TODAY(),M121,"M")&gt;6,DATEDIF(TODAY(),M121,"M")&lt;=11),"AMARILLO",IF(M121&lt;TODAY(),"VENCIDO",0)))),O121)</f>
        <v/>
      </c>
      <c r="O121" s="989">
        <f>IF(M121=0,"","VENCIDO")</f>
        <v/>
      </c>
      <c r="Q121" s="1015" t="n"/>
      <c r="R121" s="1016" t="n"/>
      <c r="S121" s="1016" t="n"/>
      <c r="T121" s="1016" t="n"/>
      <c r="U121" s="1016" t="n"/>
      <c r="V121" s="1016" t="n"/>
      <c r="W121" s="1016" t="n"/>
      <c r="X121" s="1016" t="n"/>
      <c r="Y121" s="1016" t="n"/>
      <c r="Z121" s="1016" t="n"/>
      <c r="AA121" s="1016" t="n"/>
      <c r="AB121" s="1016" t="n"/>
      <c r="AC121" s="194" t="n"/>
    </row>
    <row r="122" ht="15" customHeight="1">
      <c r="A122" s="979" t="inlineStr">
        <is>
          <t>Td Adultos</t>
        </is>
      </c>
      <c r="B122" s="980" t="n"/>
      <c r="C122" s="1017">
        <f>ENERO!K145</f>
        <v/>
      </c>
      <c r="D122" s="1018" t="n"/>
      <c r="E122" s="1018" t="n"/>
      <c r="F122" s="1018" t="n"/>
      <c r="G122" s="1018" t="n"/>
      <c r="H122" s="1018" t="n"/>
      <c r="I122" s="983">
        <f>AC122</f>
        <v/>
      </c>
      <c r="J122" s="1019">
        <f>+(C122+D122+F122+E122)-(G122+H122+I122)</f>
        <v/>
      </c>
      <c r="K122" s="985" t="n"/>
      <c r="L122" s="986" t="n"/>
      <c r="M122" s="987" t="n">
        <v>45199</v>
      </c>
      <c r="N122" s="988">
        <f>IFERROR(IF(DATEDIF(TODAY(),M122,"M")&lt;=6,"ROJO",IF(DATEDIF(TODAY(),M122,"M")&gt;=12,"VERDE",IF(AND(DATEDIF(TODAY(),M122,"M")&gt;6,DATEDIF(TODAY(),M122,"M")&lt;=11),"AMARILLO",IF(M122&lt;TODAY(),"VENCIDO",0)))),O122)</f>
        <v/>
      </c>
      <c r="O122" s="989">
        <f>IF(M122=0,"","VENCIDO")</f>
        <v/>
      </c>
      <c r="Q122" s="990" t="n"/>
      <c r="R122" s="991" t="n"/>
      <c r="S122" s="991" t="n"/>
      <c r="T122" s="991" t="n"/>
      <c r="U122" s="991" t="n"/>
      <c r="V122" s="991" t="n"/>
      <c r="W122" s="991" t="n"/>
      <c r="X122" s="991" t="n"/>
      <c r="Y122" s="991" t="n"/>
      <c r="Z122" s="991" t="n"/>
      <c r="AA122" s="991" t="n"/>
      <c r="AB122" s="991" t="n"/>
      <c r="AC122" s="992">
        <f>SUM(Q122:AB126)</f>
        <v/>
      </c>
      <c r="AH122" s="2">
        <f>+IF(AC122&lt;&gt;I122,1,0)</f>
        <v/>
      </c>
    </row>
    <row r="123" ht="15" customHeight="1">
      <c r="A123" s="993" t="n"/>
      <c r="B123" s="972" t="n"/>
      <c r="C123" s="973" t="n"/>
      <c r="D123" s="994" t="n"/>
      <c r="E123" s="994" t="n"/>
      <c r="F123" s="994" t="n"/>
      <c r="G123" s="994" t="n"/>
      <c r="H123" s="994" t="n"/>
      <c r="I123" s="973" t="n"/>
      <c r="J123" s="973" t="n"/>
      <c r="K123" s="995" t="n"/>
      <c r="L123" s="996" t="n"/>
      <c r="M123" s="987" t="n">
        <v>45199</v>
      </c>
      <c r="N123" s="988">
        <f>IFERROR(IF(DATEDIF(TODAY(),M123,"M")&lt;=6,"ROJO",IF(DATEDIF(TODAY(),M123,"M")&gt;=12,"VERDE",IF(AND(DATEDIF(TODAY(),M123,"M")&gt;6,DATEDIF(TODAY(),M123,"M")&lt;=11),"AMARILLO",IF(M123&lt;TODAY(),"VENCIDO",0)))),O123)</f>
        <v/>
      </c>
      <c r="O123" s="989">
        <f>IF(M123=0,"","VENCIDO")</f>
        <v/>
      </c>
      <c r="Q123" s="997" t="n"/>
      <c r="R123" s="994" t="n"/>
      <c r="S123" s="994" t="n"/>
      <c r="T123" s="994" t="n"/>
      <c r="U123" s="994" t="n"/>
      <c r="V123" s="994" t="n"/>
      <c r="W123" s="994" t="n"/>
      <c r="X123" s="994" t="n"/>
      <c r="Y123" s="994" t="n"/>
      <c r="Z123" s="994" t="n"/>
      <c r="AA123" s="994" t="n"/>
      <c r="AB123" s="994" t="n"/>
      <c r="AC123" s="974" t="n"/>
    </row>
    <row r="124" ht="15" customHeight="1">
      <c r="A124" s="993" t="n"/>
      <c r="B124" s="972" t="n"/>
      <c r="C124" s="973" t="n"/>
      <c r="D124" s="994" t="n"/>
      <c r="E124" s="994" t="n"/>
      <c r="F124" s="994" t="n"/>
      <c r="G124" s="994" t="n"/>
      <c r="H124" s="994" t="n"/>
      <c r="I124" s="973" t="n"/>
      <c r="J124" s="973" t="n"/>
      <c r="K124" s="995" t="n"/>
      <c r="L124" s="996" t="n"/>
      <c r="M124" s="987" t="n"/>
      <c r="N124" s="988">
        <f>IFERROR(IF(DATEDIF(TODAY(),M124,"M")&lt;=6,"ROJO",IF(DATEDIF(TODAY(),M124,"M")&gt;=12,"VERDE",IF(AND(DATEDIF(TODAY(),M124,"M")&gt;6,DATEDIF(TODAY(),M124,"M")&lt;=11),"AMARILLO",IF(M124&lt;TODAY(),"VENCIDO",0)))),O124)</f>
        <v/>
      </c>
      <c r="O124" s="989">
        <f>IF(M124=0,"","VENCIDO")</f>
        <v/>
      </c>
      <c r="Q124" s="997" t="n"/>
      <c r="R124" s="994" t="n"/>
      <c r="S124" s="994" t="n"/>
      <c r="T124" s="994" t="n"/>
      <c r="U124" s="994" t="n"/>
      <c r="V124" s="994" t="n"/>
      <c r="W124" s="994" t="n"/>
      <c r="X124" s="994" t="n"/>
      <c r="Y124" s="994" t="n"/>
      <c r="Z124" s="994" t="n"/>
      <c r="AA124" s="994" t="n"/>
      <c r="AB124" s="994" t="n"/>
      <c r="AC124" s="974" t="n"/>
    </row>
    <row r="125" ht="15" customHeight="1">
      <c r="A125" s="993" t="n"/>
      <c r="B125" s="972" t="n"/>
      <c r="C125" s="973" t="n"/>
      <c r="D125" s="994" t="n"/>
      <c r="E125" s="994" t="n"/>
      <c r="F125" s="994" t="n"/>
      <c r="G125" s="994" t="n"/>
      <c r="H125" s="994" t="n"/>
      <c r="I125" s="973" t="n"/>
      <c r="J125" s="973" t="n"/>
      <c r="K125" s="995" t="n"/>
      <c r="L125" s="996" t="n"/>
      <c r="M125" s="987" t="n"/>
      <c r="N125" s="988">
        <f>IFERROR(IF(DATEDIF(TODAY(),M125,"M")&lt;=6,"ROJO",IF(DATEDIF(TODAY(),M125,"M")&gt;=12,"VERDE",IF(AND(DATEDIF(TODAY(),M125,"M")&gt;6,DATEDIF(TODAY(),M125,"M")&lt;=11),"AMARILLO",IF(M125&lt;TODAY(),"VENCIDO",0)))),O125)</f>
        <v/>
      </c>
      <c r="O125" s="989">
        <f>IF(M125=0,"","VENCIDO")</f>
        <v/>
      </c>
      <c r="Q125" s="997" t="n"/>
      <c r="R125" s="994" t="n"/>
      <c r="S125" s="994" t="n"/>
      <c r="T125" s="994" t="n"/>
      <c r="U125" s="994" t="n"/>
      <c r="V125" s="994" t="n"/>
      <c r="W125" s="994" t="n"/>
      <c r="X125" s="994" t="n"/>
      <c r="Y125" s="994" t="n"/>
      <c r="Z125" s="994" t="n"/>
      <c r="AA125" s="994" t="n"/>
      <c r="AB125" s="994" t="n"/>
      <c r="AC125" s="974" t="n"/>
      <c r="AE125" s="2">
        <f>IFERROR(AA123*100/(W123+AA123),0)</f>
        <v/>
      </c>
    </row>
    <row r="126" ht="15.75" customHeight="1" thickBot="1">
      <c r="A126" s="993" t="n"/>
      <c r="B126" s="972" t="n"/>
      <c r="C126" s="999" t="n"/>
      <c r="D126" s="1020" t="n"/>
      <c r="E126" s="1020" t="n"/>
      <c r="F126" s="1020" t="n"/>
      <c r="G126" s="1020" t="n"/>
      <c r="H126" s="1020" t="n"/>
      <c r="I126" s="999" t="n"/>
      <c r="J126" s="999" t="n"/>
      <c r="K126" s="1000" t="n"/>
      <c r="L126" s="1001" t="n"/>
      <c r="M126" s="987" t="n"/>
      <c r="N126" s="988">
        <f>IFERROR(IF(DATEDIF(TODAY(),M126,"M")&lt;=6,"ROJO",IF(DATEDIF(TODAY(),M126,"M")&gt;=12,"VERDE",IF(AND(DATEDIF(TODAY(),M126,"M")&gt;6,DATEDIF(TODAY(),M126,"M")&lt;=11),"AMARILLO",IF(M126&lt;TODAY(),"VENCIDO",0)))),O126)</f>
        <v/>
      </c>
      <c r="O126" s="989">
        <f>IF(M126=0,"","VENCIDO")</f>
        <v/>
      </c>
      <c r="Q126" s="1002" t="n"/>
      <c r="R126" s="998" t="n"/>
      <c r="S126" s="998" t="n"/>
      <c r="T126" s="998" t="n"/>
      <c r="U126" s="998" t="n"/>
      <c r="V126" s="998" t="n"/>
      <c r="W126" s="998" t="n"/>
      <c r="X126" s="998" t="n"/>
      <c r="Y126" s="998" t="n"/>
      <c r="Z126" s="998" t="n"/>
      <c r="AA126" s="998" t="n"/>
      <c r="AB126" s="998" t="n"/>
      <c r="AC126" s="1003" t="n"/>
    </row>
    <row r="127" ht="14.4" customHeight="1" thickBot="1">
      <c r="A127" s="1004" t="n"/>
      <c r="B127" s="1005" t="n"/>
      <c r="C127" s="1021" t="n"/>
      <c r="D127" s="1022" t="n"/>
      <c r="E127" s="1022" t="n"/>
      <c r="F127" s="1023" t="n"/>
      <c r="G127" s="1023" t="n"/>
      <c r="H127" s="1023" t="n"/>
      <c r="I127" s="1024" t="n"/>
      <c r="J127" s="1010">
        <f>J122=K127</f>
        <v/>
      </c>
      <c r="K127" s="1025">
        <f>SUM(K122:K126)</f>
        <v/>
      </c>
      <c r="L127" s="1015" t="n"/>
      <c r="M127" s="1013" t="n"/>
      <c r="N127" s="1014">
        <f>IFERROR(IF(DATEDIF(TODAY(),M127,"M")&lt;=6,"ROJO",IF(DATEDIF(TODAY(),M127,"M")&gt;=12,"VERDE",IF(AND(DATEDIF(TODAY(),M127,"M")&gt;6,DATEDIF(TODAY(),M127,"M")&lt;=11),"AMARILLO",IF(M127&lt;TODAY(),"VENCIDO",0)))),O127)</f>
        <v/>
      </c>
      <c r="O127" s="989">
        <f>IF(M127=0,"","VENCIDO")</f>
        <v/>
      </c>
      <c r="Q127" s="1015" t="n"/>
      <c r="R127" s="1016" t="n"/>
      <c r="S127" s="1016" t="n"/>
      <c r="T127" s="1016" t="n"/>
      <c r="U127" s="1016" t="n"/>
      <c r="V127" s="1016" t="n"/>
      <c r="W127" s="1016" t="n"/>
      <c r="X127" s="1016" t="n"/>
      <c r="Y127" s="1016" t="n"/>
      <c r="Z127" s="1016" t="n"/>
      <c r="AA127" s="1016" t="n"/>
      <c r="AB127" s="1016" t="n"/>
      <c r="AC127" s="194" t="n"/>
    </row>
    <row r="128" ht="15" customHeight="1">
      <c r="A128" s="979" t="inlineStr">
        <is>
          <t>DTaP Adolescentes /Adultos</t>
        </is>
      </c>
      <c r="B128" s="980" t="n"/>
      <c r="C128" s="1017">
        <f>ENERO!K151</f>
        <v/>
      </c>
      <c r="D128" s="1018" t="n"/>
      <c r="E128" s="1018" t="n"/>
      <c r="F128" s="1018" t="n"/>
      <c r="G128" s="1018" t="n"/>
      <c r="H128" s="1018" t="n"/>
      <c r="I128" s="983">
        <f>AC128</f>
        <v/>
      </c>
      <c r="J128" s="1019">
        <f>+(C128+D128+F128+E128)-(G128+H128+I128)</f>
        <v/>
      </c>
      <c r="K128" s="985" t="n"/>
      <c r="L128" s="986" t="n"/>
      <c r="M128" s="987" t="n">
        <v>45138</v>
      </c>
      <c r="N128" s="988">
        <f>IFERROR(IF(DATEDIF(TODAY(),M128,"M")&lt;=6,"ROJO",IF(DATEDIF(TODAY(),M128,"M")&gt;=12,"VERDE",IF(AND(DATEDIF(TODAY(),M128,"M")&gt;6,DATEDIF(TODAY(),M128,"M")&lt;=11),"AMARILLO",IF(M128&lt;TODAY(),"VENCIDO",0)))),O128)</f>
        <v/>
      </c>
      <c r="O128" s="989">
        <f>IF(M128=0,"","VENCIDO")</f>
        <v/>
      </c>
      <c r="Q128" s="990" t="n"/>
      <c r="R128" s="991" t="n"/>
      <c r="S128" s="991" t="n"/>
      <c r="T128" s="991" t="n"/>
      <c r="U128" s="991" t="n"/>
      <c r="V128" s="991" t="n"/>
      <c r="W128" s="991" t="n"/>
      <c r="X128" s="991" t="n"/>
      <c r="Y128" s="991" t="n"/>
      <c r="Z128" s="991" t="n"/>
      <c r="AA128" s="991" t="n"/>
      <c r="AB128" s="991" t="n"/>
      <c r="AC128" s="992">
        <f>SUM(Q128:AB132)</f>
        <v/>
      </c>
      <c r="AH128" s="2">
        <f>+IF(AC128&lt;&gt;I128,1,0)</f>
        <v/>
      </c>
    </row>
    <row r="129" ht="15" customHeight="1">
      <c r="A129" s="993" t="n"/>
      <c r="B129" s="972" t="n"/>
      <c r="C129" s="973" t="n"/>
      <c r="D129" s="994" t="n"/>
      <c r="E129" s="994" t="n"/>
      <c r="F129" s="994" t="n"/>
      <c r="G129" s="994" t="n"/>
      <c r="H129" s="994" t="n"/>
      <c r="I129" s="973" t="n"/>
      <c r="J129" s="973" t="n"/>
      <c r="K129" s="995" t="n"/>
      <c r="L129" s="996" t="n"/>
      <c r="M129" s="987" t="n">
        <v>44834</v>
      </c>
      <c r="N129" s="988">
        <f>IFERROR(IF(DATEDIF(TODAY(),M129,"M")&lt;=6,"ROJO",IF(DATEDIF(TODAY(),M129,"M")&gt;=12,"VERDE",IF(AND(DATEDIF(TODAY(),M129,"M")&gt;6,DATEDIF(TODAY(),M129,"M")&lt;=11),"AMARILLO",IF(M129&lt;TODAY(),"VENCIDO",0)))),O129)</f>
        <v/>
      </c>
      <c r="O129" s="989">
        <f>IF(M129=0,"","VENCIDO")</f>
        <v/>
      </c>
      <c r="Q129" s="997" t="n"/>
      <c r="R129" s="994" t="n"/>
      <c r="S129" s="994" t="n"/>
      <c r="T129" s="994" t="n"/>
      <c r="U129" s="994" t="n"/>
      <c r="V129" s="994" t="n"/>
      <c r="W129" s="994" t="n"/>
      <c r="X129" s="994" t="n"/>
      <c r="Y129" s="994" t="n"/>
      <c r="Z129" s="994" t="n"/>
      <c r="AA129" s="994" t="n"/>
      <c r="AB129" s="994" t="n"/>
      <c r="AC129" s="974" t="n"/>
    </row>
    <row r="130" ht="15" customHeight="1">
      <c r="A130" s="993" t="n"/>
      <c r="B130" s="972" t="n"/>
      <c r="C130" s="973" t="n"/>
      <c r="D130" s="994" t="n"/>
      <c r="E130" s="994" t="n"/>
      <c r="F130" s="994" t="n"/>
      <c r="G130" s="994" t="n"/>
      <c r="H130" s="994" t="n"/>
      <c r="I130" s="973" t="n"/>
      <c r="J130" s="973" t="n"/>
      <c r="K130" s="995" t="n"/>
      <c r="L130" s="996" t="n"/>
      <c r="M130" s="987" t="n"/>
      <c r="N130" s="988">
        <f>IFERROR(IF(DATEDIF(TODAY(),M130,"M")&lt;=6,"ROJO",IF(DATEDIF(TODAY(),M130,"M")&gt;=12,"VERDE",IF(AND(DATEDIF(TODAY(),M130,"M")&gt;6,DATEDIF(TODAY(),M130,"M")&lt;=11),"AMARILLO",IF(M130&lt;TODAY(),"VENCIDO",0)))),O130)</f>
        <v/>
      </c>
      <c r="O130" s="989">
        <f>IF(M130=0,"","VENCIDO")</f>
        <v/>
      </c>
      <c r="Q130" s="997" t="n"/>
      <c r="R130" s="994" t="n"/>
      <c r="S130" s="994" t="n"/>
      <c r="T130" s="994" t="n"/>
      <c r="U130" s="994" t="n"/>
      <c r="V130" s="994" t="n"/>
      <c r="W130" s="994" t="n"/>
      <c r="X130" s="994" t="n"/>
      <c r="Y130" s="994" t="n"/>
      <c r="Z130" s="994" t="n"/>
      <c r="AA130" s="994" t="n"/>
      <c r="AB130" s="994" t="n"/>
      <c r="AC130" s="974" t="n"/>
      <c r="AE130" s="2">
        <f>IFERROR(AA128*100/(W128+AA128),0)</f>
        <v/>
      </c>
    </row>
    <row r="131" ht="15" customHeight="1">
      <c r="A131" s="993" t="n"/>
      <c r="B131" s="972" t="n"/>
      <c r="C131" s="973" t="n"/>
      <c r="D131" s="994" t="n"/>
      <c r="E131" s="994" t="n"/>
      <c r="F131" s="994" t="n"/>
      <c r="G131" s="994" t="n"/>
      <c r="H131" s="994" t="n"/>
      <c r="I131" s="973" t="n"/>
      <c r="J131" s="973" t="n"/>
      <c r="K131" s="995" t="n"/>
      <c r="L131" s="996" t="n"/>
      <c r="M131" s="987" t="n"/>
      <c r="N131" s="988">
        <f>IFERROR(IF(DATEDIF(TODAY(),M131,"M")&lt;=6,"ROJO",IF(DATEDIF(TODAY(),M131,"M")&gt;=12,"VERDE",IF(AND(DATEDIF(TODAY(),M131,"M")&gt;6,DATEDIF(TODAY(),M131,"M")&lt;=11),"AMARILLO",IF(M131&lt;TODAY(),"VENCIDO",0)))),O131)</f>
        <v/>
      </c>
      <c r="O131" s="989">
        <f>IF(M131=0,"","VENCIDO")</f>
        <v/>
      </c>
      <c r="Q131" s="997" t="n"/>
      <c r="R131" s="994" t="n"/>
      <c r="S131" s="994" t="n"/>
      <c r="T131" s="994" t="n"/>
      <c r="U131" s="994" t="n"/>
      <c r="V131" s="994" t="n"/>
      <c r="W131" s="994" t="n"/>
      <c r="X131" s="994" t="n"/>
      <c r="Y131" s="994" t="n"/>
      <c r="Z131" s="994" t="n"/>
      <c r="AA131" s="994" t="n"/>
      <c r="AB131" s="994" t="n"/>
      <c r="AC131" s="974" t="n"/>
    </row>
    <row r="132" ht="15.75" customHeight="1" thickBot="1">
      <c r="A132" s="993" t="n"/>
      <c r="B132" s="972" t="n"/>
      <c r="C132" s="999" t="n"/>
      <c r="D132" s="1020" t="n"/>
      <c r="E132" s="1020" t="n"/>
      <c r="F132" s="1020" t="n"/>
      <c r="G132" s="1020" t="n"/>
      <c r="H132" s="1020" t="n"/>
      <c r="I132" s="999" t="n"/>
      <c r="J132" s="999" t="n"/>
      <c r="K132" s="1000" t="n"/>
      <c r="L132" s="1001" t="n"/>
      <c r="M132" s="987" t="n"/>
      <c r="N132" s="988">
        <f>IFERROR(IF(DATEDIF(TODAY(),M132,"M")&lt;=6,"ROJO",IF(DATEDIF(TODAY(),M132,"M")&gt;=12,"VERDE",IF(AND(DATEDIF(TODAY(),M132,"M")&gt;6,DATEDIF(TODAY(),M132,"M")&lt;=11),"AMARILLO",IF(M132&lt;TODAY(),"VENCIDO",0)))),O132)</f>
        <v/>
      </c>
      <c r="O132" s="989">
        <f>IF(M132=0,"","VENCIDO")</f>
        <v/>
      </c>
      <c r="Q132" s="1002" t="n"/>
      <c r="R132" s="998" t="n"/>
      <c r="S132" s="998" t="n"/>
      <c r="T132" s="998" t="n"/>
      <c r="U132" s="998" t="n"/>
      <c r="V132" s="998" t="n"/>
      <c r="W132" s="998" t="n"/>
      <c r="X132" s="998" t="n"/>
      <c r="Y132" s="998" t="n"/>
      <c r="Z132" s="998" t="n"/>
      <c r="AA132" s="998" t="n"/>
      <c r="AB132" s="998" t="n"/>
      <c r="AC132" s="1003" t="n"/>
    </row>
    <row r="133" ht="14.4" customHeight="1" thickBot="1">
      <c r="A133" s="1004" t="n"/>
      <c r="B133" s="1005" t="n"/>
      <c r="C133" s="1021" t="n"/>
      <c r="D133" s="1022" t="n"/>
      <c r="E133" s="1022" t="n"/>
      <c r="F133" s="1023" t="n"/>
      <c r="G133" s="1023" t="n"/>
      <c r="H133" s="1023" t="n"/>
      <c r="I133" s="1024" t="n"/>
      <c r="J133" s="1010">
        <f>J128=K133</f>
        <v/>
      </c>
      <c r="K133" s="1025">
        <f>SUM(K128:K132)</f>
        <v/>
      </c>
      <c r="L133" s="1015" t="n"/>
      <c r="M133" s="1013" t="n"/>
      <c r="N133" s="1014">
        <f>IFERROR(IF(DATEDIF(TODAY(),M133,"M")&lt;=6,"ROJO",IF(DATEDIF(TODAY(),M133,"M")&gt;=12,"VERDE",IF(AND(DATEDIF(TODAY(),M133,"M")&gt;6,DATEDIF(TODAY(),M133,"M")&lt;=11),"AMARILLO",IF(M133&lt;TODAY(),"VENCIDO",0)))),O133)</f>
        <v/>
      </c>
      <c r="O133" s="989">
        <f>IF(M133=0,"","VENCIDO")</f>
        <v/>
      </c>
      <c r="Q133" s="1015" t="n"/>
      <c r="R133" s="1016" t="n"/>
      <c r="S133" s="1016" t="n"/>
      <c r="T133" s="1016" t="n"/>
      <c r="U133" s="1016" t="n"/>
      <c r="V133" s="1016" t="n"/>
      <c r="W133" s="1016" t="n"/>
      <c r="X133" s="1016" t="n"/>
      <c r="Y133" s="1016" t="n"/>
      <c r="Z133" s="1016" t="n"/>
      <c r="AA133" s="1016" t="n"/>
      <c r="AB133" s="1016" t="n"/>
      <c r="AC133" s="194" t="n"/>
    </row>
    <row r="134" ht="14.25" customHeight="1">
      <c r="A134" s="979" t="inlineStr">
        <is>
          <t>Influenza pediatrica</t>
        </is>
      </c>
      <c r="B134" s="980" t="n"/>
      <c r="C134" s="1017">
        <f>ENERO!K157</f>
        <v/>
      </c>
      <c r="D134" s="1018" t="n"/>
      <c r="E134" s="1018" t="n"/>
      <c r="F134" s="1018" t="n"/>
      <c r="G134" s="1018" t="n"/>
      <c r="H134" s="1018" t="n"/>
      <c r="I134" s="983">
        <f>AC134</f>
        <v/>
      </c>
      <c r="J134" s="1019">
        <f>+(C134+D134+F134+E134)-(G134+H134+I134)</f>
        <v/>
      </c>
      <c r="K134" s="985" t="n"/>
      <c r="L134" s="986" t="n"/>
      <c r="M134" s="987" t="n"/>
      <c r="N134" s="988">
        <f>IFERROR(IF(DATEDIF(TODAY(),M134,"M")&lt;=6,"ROJO",IF(DATEDIF(TODAY(),M134,"M")&gt;=12,"VERDE",IF(AND(DATEDIF(TODAY(),M134,"M")&gt;6,DATEDIF(TODAY(),M134,"M")&lt;=11),"AMARILLO",IF(M134&lt;TODAY(),"VENCIDO",0)))),O134)</f>
        <v/>
      </c>
      <c r="O134" s="989">
        <f>IF(M134=0,"","VENCIDO")</f>
        <v/>
      </c>
      <c r="Q134" s="990" t="n"/>
      <c r="R134" s="991" t="n"/>
      <c r="S134" s="991" t="n"/>
      <c r="T134" s="991" t="n"/>
      <c r="U134" s="991" t="n"/>
      <c r="V134" s="991" t="n"/>
      <c r="W134" s="991" t="n"/>
      <c r="X134" s="991" t="n"/>
      <c r="Y134" s="991" t="n"/>
      <c r="Z134" s="991" t="n"/>
      <c r="AA134" s="991" t="n"/>
      <c r="AB134" s="991" t="n"/>
      <c r="AC134" s="992">
        <f>SUM(Q134:AB138)</f>
        <v/>
      </c>
      <c r="AH134" s="2">
        <f>+IF(AC134&lt;&gt;I134,1,0)</f>
        <v/>
      </c>
    </row>
    <row r="135" ht="15" customHeight="1">
      <c r="A135" s="993" t="n"/>
      <c r="B135" s="972" t="n"/>
      <c r="C135" s="973" t="n"/>
      <c r="D135" s="994" t="n"/>
      <c r="E135" s="994" t="n"/>
      <c r="F135" s="994" t="n"/>
      <c r="G135" s="994" t="n"/>
      <c r="H135" s="994" t="n"/>
      <c r="I135" s="973" t="n"/>
      <c r="J135" s="973" t="n"/>
      <c r="K135" s="995" t="n"/>
      <c r="L135" s="996" t="n"/>
      <c r="M135" s="987" t="n"/>
      <c r="N135" s="988">
        <f>IFERROR(IF(DATEDIF(TODAY(),M135,"M")&lt;=6,"ROJO",IF(DATEDIF(TODAY(),M135,"M")&gt;=12,"VERDE",IF(AND(DATEDIF(TODAY(),M135,"M")&gt;6,DATEDIF(TODAY(),M135,"M")&lt;=11),"AMARILLO",IF(M135&lt;TODAY(),"VENCIDO",0)))),O135)</f>
        <v/>
      </c>
      <c r="O135" s="989">
        <f>IF(M135=0,"","VENCIDO")</f>
        <v/>
      </c>
      <c r="Q135" s="997" t="n"/>
      <c r="R135" s="994" t="n"/>
      <c r="S135" s="994" t="n"/>
      <c r="T135" s="994" t="n"/>
      <c r="U135" s="994" t="n"/>
      <c r="V135" s="994" t="n"/>
      <c r="W135" s="994" t="n"/>
      <c r="X135" s="994" t="n"/>
      <c r="Y135" s="994" t="n"/>
      <c r="Z135" s="994" t="n"/>
      <c r="AA135" s="994" t="n"/>
      <c r="AB135" s="994" t="n"/>
      <c r="AC135" s="974" t="n"/>
    </row>
    <row r="136" ht="15" customHeight="1">
      <c r="A136" s="993" t="n"/>
      <c r="B136" s="972" t="n"/>
      <c r="C136" s="973" t="n"/>
      <c r="D136" s="994" t="n"/>
      <c r="E136" s="994" t="n"/>
      <c r="F136" s="994" t="n"/>
      <c r="G136" s="994" t="n"/>
      <c r="H136" s="994" t="n"/>
      <c r="I136" s="973" t="n"/>
      <c r="J136" s="973" t="n"/>
      <c r="K136" s="995" t="n"/>
      <c r="L136" s="996" t="n"/>
      <c r="M136" s="987" t="n"/>
      <c r="N136" s="988">
        <f>IFERROR(IF(DATEDIF(TODAY(),M136,"M")&lt;=6,"ROJO",IF(DATEDIF(TODAY(),M136,"M")&gt;=12,"VERDE",IF(AND(DATEDIF(TODAY(),M136,"M")&gt;6,DATEDIF(TODAY(),M136,"M")&lt;=11),"AMARILLO",IF(M136&lt;TODAY(),"VENCIDO",0)))),O136)</f>
        <v/>
      </c>
      <c r="O136" s="989">
        <f>IF(M136=0,"","VENCIDO")</f>
        <v/>
      </c>
      <c r="Q136" s="997" t="n"/>
      <c r="R136" s="994" t="n"/>
      <c r="S136" s="994" t="n"/>
      <c r="T136" s="994" t="n"/>
      <c r="U136" s="994" t="n"/>
      <c r="V136" s="994" t="n"/>
      <c r="W136" s="994" t="n"/>
      <c r="X136" s="994" t="n"/>
      <c r="Y136" s="994" t="n"/>
      <c r="Z136" s="994" t="n"/>
      <c r="AA136" s="994" t="n"/>
      <c r="AB136" s="994" t="n"/>
      <c r="AC136" s="974" t="n"/>
      <c r="AE136" s="2">
        <f>IFERROR(AA134*100/(W134+AA134),0)</f>
        <v/>
      </c>
    </row>
    <row r="137" ht="15" customHeight="1">
      <c r="A137" s="993" t="n"/>
      <c r="B137" s="972" t="n"/>
      <c r="C137" s="973" t="n"/>
      <c r="D137" s="994" t="n"/>
      <c r="E137" s="994" t="n"/>
      <c r="F137" s="994" t="n"/>
      <c r="G137" s="994" t="n"/>
      <c r="H137" s="994" t="n"/>
      <c r="I137" s="973" t="n"/>
      <c r="J137" s="973" t="n"/>
      <c r="K137" s="995" t="n"/>
      <c r="L137" s="996" t="n"/>
      <c r="M137" s="987" t="n"/>
      <c r="N137" s="988">
        <f>IFERROR(IF(DATEDIF(TODAY(),M137,"M")&lt;=6,"ROJO",IF(DATEDIF(TODAY(),M137,"M")&gt;=12,"VERDE",IF(AND(DATEDIF(TODAY(),M137,"M")&gt;6,DATEDIF(TODAY(),M137,"M")&lt;=11),"AMARILLO",IF(M137&lt;TODAY(),"VENCIDO",0)))),O137)</f>
        <v/>
      </c>
      <c r="O137" s="989">
        <f>IF(M137=0,"","VENCIDO")</f>
        <v/>
      </c>
      <c r="Q137" s="997" t="n"/>
      <c r="R137" s="994" t="n"/>
      <c r="S137" s="994" t="n"/>
      <c r="T137" s="994" t="n"/>
      <c r="U137" s="994" t="n"/>
      <c r="V137" s="994" t="n"/>
      <c r="W137" s="994" t="n"/>
      <c r="X137" s="994" t="n"/>
      <c r="Y137" s="994" t="n"/>
      <c r="Z137" s="994" t="n"/>
      <c r="AA137" s="994" t="n"/>
      <c r="AB137" s="994" t="n"/>
      <c r="AC137" s="974" t="n"/>
    </row>
    <row r="138" ht="15.75" customHeight="1" thickBot="1">
      <c r="A138" s="993" t="n"/>
      <c r="B138" s="972" t="n"/>
      <c r="C138" s="999" t="n"/>
      <c r="D138" s="1020" t="n"/>
      <c r="E138" s="1020" t="n"/>
      <c r="F138" s="1020" t="n"/>
      <c r="G138" s="1020" t="n"/>
      <c r="H138" s="1020" t="n"/>
      <c r="I138" s="999" t="n"/>
      <c r="J138" s="999" t="n"/>
      <c r="K138" s="1000" t="n"/>
      <c r="L138" s="1001" t="n"/>
      <c r="M138" s="987" t="n"/>
      <c r="N138" s="988">
        <f>IFERROR(IF(DATEDIF(TODAY(),M138,"M")&lt;=6,"ROJO",IF(DATEDIF(TODAY(),M138,"M")&gt;=12,"VERDE",IF(AND(DATEDIF(TODAY(),M138,"M")&gt;6,DATEDIF(TODAY(),M138,"M")&lt;=11),"AMARILLO",IF(M138&lt;TODAY(),"VENCIDO",0)))),O138)</f>
        <v/>
      </c>
      <c r="O138" s="989">
        <f>IF(M138=0,"","VENCIDO")</f>
        <v/>
      </c>
      <c r="Q138" s="1002" t="n"/>
      <c r="R138" s="998" t="n"/>
      <c r="S138" s="998" t="n"/>
      <c r="T138" s="998" t="n"/>
      <c r="U138" s="998" t="n"/>
      <c r="V138" s="998" t="n"/>
      <c r="W138" s="998" t="n"/>
      <c r="X138" s="998" t="n"/>
      <c r="Y138" s="998" t="n"/>
      <c r="Z138" s="998" t="n"/>
      <c r="AA138" s="998" t="n"/>
      <c r="AB138" s="998" t="n"/>
      <c r="AC138" s="1003" t="n"/>
    </row>
    <row r="139" ht="14.4" customHeight="1" thickBot="1">
      <c r="A139" s="1004" t="n"/>
      <c r="B139" s="1005" t="n"/>
      <c r="C139" s="1021" t="n"/>
      <c r="D139" s="1022" t="n"/>
      <c r="E139" s="1022" t="n"/>
      <c r="F139" s="1023" t="n"/>
      <c r="G139" s="1023" t="n"/>
      <c r="H139" s="1023" t="n"/>
      <c r="I139" s="1024" t="n"/>
      <c r="J139" s="1010">
        <f>J134=K139</f>
        <v/>
      </c>
      <c r="K139" s="1025">
        <f>SUM(K134:K138)</f>
        <v/>
      </c>
      <c r="L139" s="1015" t="n"/>
      <c r="M139" s="1013" t="n"/>
      <c r="N139" s="1014">
        <f>IFERROR(IF(DATEDIF(TODAY(),M139,"M")&lt;=6,"ROJO",IF(DATEDIF(TODAY(),M139,"M")&gt;=12,"VERDE",IF(AND(DATEDIF(TODAY(),M139,"M")&gt;6,DATEDIF(TODAY(),M139,"M")&lt;=11),"AMARILLO",IF(M139&lt;TODAY(),"VENCIDO",0)))),O139)</f>
        <v/>
      </c>
      <c r="O139" s="989">
        <f>IF(M139=0,"","VENCIDO")</f>
        <v/>
      </c>
      <c r="Q139" s="1015" t="n"/>
      <c r="R139" s="1016" t="n"/>
      <c r="S139" s="1016" t="n"/>
      <c r="T139" s="1016" t="n"/>
      <c r="U139" s="1016" t="n"/>
      <c r="V139" s="1016" t="n"/>
      <c r="W139" s="1016" t="n"/>
      <c r="X139" s="1016" t="n"/>
      <c r="Y139" s="1016" t="n"/>
      <c r="Z139" s="1016" t="n"/>
      <c r="AA139" s="1016" t="n"/>
      <c r="AB139" s="1016" t="n"/>
      <c r="AC139" s="194" t="n"/>
    </row>
    <row r="140" ht="15" customHeight="1">
      <c r="A140" s="979" t="inlineStr">
        <is>
          <t>Influenza Adultos</t>
        </is>
      </c>
      <c r="B140" s="980" t="n"/>
      <c r="C140" s="1017">
        <f>ENERO!K163</f>
        <v/>
      </c>
      <c r="D140" s="1018" t="n"/>
      <c r="E140" s="1018" t="n"/>
      <c r="F140" s="1018" t="n"/>
      <c r="G140" s="1018" t="n"/>
      <c r="H140" s="1018" t="n"/>
      <c r="I140" s="983">
        <f>AC140</f>
        <v/>
      </c>
      <c r="J140" s="1019">
        <f>+(C140+D140+F140+E140)-(G140+H140+I140)</f>
        <v/>
      </c>
      <c r="K140" s="985" t="n"/>
      <c r="L140" s="986" t="n"/>
      <c r="M140" s="987" t="n"/>
      <c r="N140" s="988">
        <f>IFERROR(IF(DATEDIF(TODAY(),M140,"M")&lt;=6,"ROJO",IF(DATEDIF(TODAY(),M140,"M")&gt;=12,"VERDE",IF(AND(DATEDIF(TODAY(),M140,"M")&gt;6,DATEDIF(TODAY(),M140,"M")&lt;=11),"AMARILLO",IF(M140&lt;TODAY(),"VENCIDO",0)))),O140)</f>
        <v/>
      </c>
      <c r="O140" s="989">
        <f>IF(M140=0,"","VENCIDO")</f>
        <v/>
      </c>
      <c r="Q140" s="990" t="n"/>
      <c r="R140" s="991" t="n"/>
      <c r="S140" s="991" t="n"/>
      <c r="T140" s="991" t="n"/>
      <c r="U140" s="991" t="n"/>
      <c r="V140" s="991" t="n"/>
      <c r="W140" s="991" t="n"/>
      <c r="X140" s="991" t="n"/>
      <c r="Y140" s="991" t="n"/>
      <c r="Z140" s="991" t="n"/>
      <c r="AA140" s="991" t="n"/>
      <c r="AB140" s="991" t="n"/>
      <c r="AC140" s="992">
        <f>SUM(Q140:AB144)</f>
        <v/>
      </c>
      <c r="AH140" s="2">
        <f>+IF(AC140&lt;&gt;I140,1,0)</f>
        <v/>
      </c>
    </row>
    <row r="141" ht="15" customHeight="1">
      <c r="A141" s="993" t="n"/>
      <c r="B141" s="972" t="n"/>
      <c r="C141" s="973" t="n"/>
      <c r="D141" s="994" t="n"/>
      <c r="E141" s="994" t="n"/>
      <c r="F141" s="994" t="n"/>
      <c r="G141" s="994" t="n"/>
      <c r="H141" s="994" t="n"/>
      <c r="I141" s="973" t="n"/>
      <c r="J141" s="973" t="n"/>
      <c r="K141" s="995" t="n"/>
      <c r="L141" s="996" t="n"/>
      <c r="M141" s="987" t="n"/>
      <c r="N141" s="988">
        <f>IFERROR(IF(DATEDIF(TODAY(),M141,"M")&lt;=6,"ROJO",IF(DATEDIF(TODAY(),M141,"M")&gt;=12,"VERDE",IF(AND(DATEDIF(TODAY(),M141,"M")&gt;6,DATEDIF(TODAY(),M141,"M")&lt;=11),"AMARILLO",IF(M141&lt;TODAY(),"VENCIDO",0)))),O141)</f>
        <v/>
      </c>
      <c r="O141" s="989">
        <f>IF(M141=0,"","VENCIDO")</f>
        <v/>
      </c>
      <c r="Q141" s="997" t="n"/>
      <c r="R141" s="994" t="n"/>
      <c r="S141" s="994" t="n"/>
      <c r="T141" s="994" t="n"/>
      <c r="U141" s="994" t="n"/>
      <c r="V141" s="994" t="n"/>
      <c r="W141" s="994" t="n"/>
      <c r="X141" s="994" t="n"/>
      <c r="Y141" s="994" t="n"/>
      <c r="Z141" s="994" t="n"/>
      <c r="AA141" s="994" t="n"/>
      <c r="AB141" s="994" t="n"/>
      <c r="AC141" s="974" t="n"/>
      <c r="AE141" s="2">
        <f>IFERROR(AA139*100/(W139+AA139),0)</f>
        <v/>
      </c>
    </row>
    <row r="142" ht="15" customHeight="1">
      <c r="A142" s="993" t="n"/>
      <c r="B142" s="972" t="n"/>
      <c r="C142" s="973" t="n"/>
      <c r="D142" s="994" t="n"/>
      <c r="E142" s="994" t="n"/>
      <c r="F142" s="994" t="n"/>
      <c r="G142" s="994" t="n"/>
      <c r="H142" s="994" t="n"/>
      <c r="I142" s="973" t="n"/>
      <c r="J142" s="973" t="n"/>
      <c r="K142" s="995" t="n"/>
      <c r="L142" s="996" t="n"/>
      <c r="M142" s="987" t="n"/>
      <c r="N142" s="988">
        <f>IFERROR(IF(DATEDIF(TODAY(),M142,"M")&lt;=6,"ROJO",IF(DATEDIF(TODAY(),M142,"M")&gt;=12,"VERDE",IF(AND(DATEDIF(TODAY(),M142,"M")&gt;6,DATEDIF(TODAY(),M142,"M")&lt;=11),"AMARILLO",IF(M142&lt;TODAY(),"VENCIDO",0)))),O142)</f>
        <v/>
      </c>
      <c r="O142" s="989">
        <f>IF(M142=0,"","VENCIDO")</f>
        <v/>
      </c>
      <c r="Q142" s="997" t="n"/>
      <c r="R142" s="994" t="n"/>
      <c r="S142" s="994" t="n"/>
      <c r="T142" s="994" t="n"/>
      <c r="U142" s="994" t="n"/>
      <c r="V142" s="994" t="n"/>
      <c r="W142" s="994" t="n"/>
      <c r="X142" s="994" t="n"/>
      <c r="Y142" s="994" t="n"/>
      <c r="Z142" s="994" t="n"/>
      <c r="AA142" s="994" t="n"/>
      <c r="AB142" s="994" t="n"/>
      <c r="AC142" s="974" t="n"/>
    </row>
    <row r="143" ht="15" customHeight="1">
      <c r="A143" s="993" t="n"/>
      <c r="B143" s="972" t="n"/>
      <c r="C143" s="973" t="n"/>
      <c r="D143" s="994" t="n"/>
      <c r="E143" s="994" t="n"/>
      <c r="F143" s="994" t="n"/>
      <c r="G143" s="994" t="n"/>
      <c r="H143" s="994" t="n"/>
      <c r="I143" s="973" t="n"/>
      <c r="J143" s="973" t="n"/>
      <c r="K143" s="995" t="n"/>
      <c r="L143" s="996" t="n"/>
      <c r="M143" s="987" t="n"/>
      <c r="N143" s="988">
        <f>IFERROR(IF(DATEDIF(TODAY(),M143,"M")&lt;=6,"ROJO",IF(DATEDIF(TODAY(),M143,"M")&gt;=12,"VERDE",IF(AND(DATEDIF(TODAY(),M143,"M")&gt;6,DATEDIF(TODAY(),M143,"M")&lt;=11),"AMARILLO",IF(M143&lt;TODAY(),"VENCIDO",0)))),O143)</f>
        <v/>
      </c>
      <c r="O143" s="989">
        <f>IF(M143=0,"","VENCIDO")</f>
        <v/>
      </c>
      <c r="Q143" s="997" t="n"/>
      <c r="R143" s="994" t="n"/>
      <c r="S143" s="994" t="n"/>
      <c r="T143" s="994" t="n"/>
      <c r="U143" s="994" t="n"/>
      <c r="V143" s="994" t="n"/>
      <c r="W143" s="994" t="n"/>
      <c r="X143" s="994" t="n"/>
      <c r="Y143" s="994" t="n"/>
      <c r="Z143" s="994" t="n"/>
      <c r="AA143" s="994" t="n"/>
      <c r="AB143" s="994" t="n"/>
      <c r="AC143" s="974" t="n"/>
    </row>
    <row r="144" ht="15.75" customHeight="1" thickBot="1">
      <c r="A144" s="993" t="n"/>
      <c r="B144" s="972" t="n"/>
      <c r="C144" s="999" t="n"/>
      <c r="D144" s="1020" t="n"/>
      <c r="E144" s="1020" t="n"/>
      <c r="F144" s="1020" t="n"/>
      <c r="G144" s="1020" t="n"/>
      <c r="H144" s="1020" t="n"/>
      <c r="I144" s="999" t="n"/>
      <c r="J144" s="999" t="n"/>
      <c r="K144" s="1000" t="n"/>
      <c r="L144" s="1001" t="n"/>
      <c r="M144" s="987" t="n"/>
      <c r="N144" s="988">
        <f>IFERROR(IF(DATEDIF(TODAY(),M144,"M")&lt;=6,"ROJO",IF(DATEDIF(TODAY(),M144,"M")&gt;=12,"VERDE",IF(AND(DATEDIF(TODAY(),M144,"M")&gt;6,DATEDIF(TODAY(),M144,"M")&lt;=11),"AMARILLO",IF(M144&lt;TODAY(),"VENCIDO",0)))),O144)</f>
        <v/>
      </c>
      <c r="O144" s="989">
        <f>IF(M144=0,"","VENCIDO")</f>
        <v/>
      </c>
      <c r="Q144" s="1002" t="n"/>
      <c r="R144" s="998" t="n"/>
      <c r="S144" s="998" t="n"/>
      <c r="T144" s="998" t="n"/>
      <c r="U144" s="998" t="n"/>
      <c r="V144" s="998" t="n"/>
      <c r="W144" s="998" t="n"/>
      <c r="X144" s="998" t="n"/>
      <c r="Y144" s="998" t="n"/>
      <c r="Z144" s="998" t="n"/>
      <c r="AA144" s="998" t="n"/>
      <c r="AB144" s="998" t="n"/>
      <c r="AC144" s="1003" t="n"/>
    </row>
    <row r="145" ht="14.4" customHeight="1" thickBot="1">
      <c r="A145" s="1004" t="n"/>
      <c r="B145" s="1005" t="n"/>
      <c r="C145" s="1021" t="n"/>
      <c r="D145" s="1022" t="n"/>
      <c r="E145" s="1022" t="n"/>
      <c r="F145" s="1023" t="n"/>
      <c r="G145" s="1023" t="n"/>
      <c r="H145" s="1023" t="n"/>
      <c r="I145" s="1024" t="n"/>
      <c r="J145" s="1010">
        <f>J140=K145</f>
        <v/>
      </c>
      <c r="K145" s="1025">
        <f>SUM(K140:K144)</f>
        <v/>
      </c>
      <c r="L145" s="1015" t="n"/>
      <c r="M145" s="1013" t="n"/>
      <c r="N145" s="1014">
        <f>IFERROR(IF(DATEDIF(TODAY(),M145,"M")&lt;=6,"ROJO",IF(DATEDIF(TODAY(),M145,"M")&gt;=12,"VERDE",IF(AND(DATEDIF(TODAY(),M145,"M")&gt;6,DATEDIF(TODAY(),M145,"M")&lt;=11),"AMARILLO",IF(M145&lt;TODAY(),"VENCIDO",0)))),O145)</f>
        <v/>
      </c>
      <c r="O145" s="989">
        <f>IF(M145=0,"","VENCIDO")</f>
        <v/>
      </c>
      <c r="Q145" s="1015" t="n"/>
      <c r="R145" s="1016" t="n"/>
      <c r="S145" s="1016" t="n"/>
      <c r="T145" s="1016" t="n"/>
      <c r="U145" s="1016" t="n"/>
      <c r="V145" s="1016" t="n"/>
      <c r="W145" s="1016" t="n"/>
      <c r="X145" s="1016" t="n"/>
      <c r="Y145" s="1016" t="n"/>
      <c r="Z145" s="1016" t="n"/>
      <c r="AA145" s="1016" t="n"/>
      <c r="AB145" s="1016" t="n"/>
      <c r="AC145" s="194" t="n"/>
    </row>
    <row r="146" ht="15" customHeight="1">
      <c r="A146" s="979" t="inlineStr">
        <is>
          <t>VPH (vacuna)</t>
        </is>
      </c>
      <c r="B146" s="980" t="n"/>
      <c r="C146" s="1017">
        <f>ENERO!K181</f>
        <v/>
      </c>
      <c r="D146" s="1018" t="n"/>
      <c r="E146" s="1018" t="n"/>
      <c r="F146" s="1018" t="n"/>
      <c r="G146" s="1018" t="n"/>
      <c r="H146" s="1018" t="n"/>
      <c r="I146" s="983">
        <f>AC146</f>
        <v/>
      </c>
      <c r="J146" s="1019">
        <f>+(C146+D146+F146+E146)-(G146+H146+I146)</f>
        <v/>
      </c>
      <c r="K146" s="985" t="n"/>
      <c r="L146" s="986" t="n"/>
      <c r="M146" s="987" t="n"/>
      <c r="N146" s="988">
        <f>IFERROR(IF(DATEDIF(TODAY(),M146,"M")&lt;=6,"ROJO",IF(DATEDIF(TODAY(),M146,"M")&gt;=12,"VERDE",IF(AND(DATEDIF(TODAY(),M146,"M")&gt;6,DATEDIF(TODAY(),M146,"M")&lt;=11),"AMARILLO",IF(M146&lt;TODAY(),"VENCIDO",0)))),O146)</f>
        <v/>
      </c>
      <c r="O146" s="989">
        <f>IF(M146=0,"","VENCIDO")</f>
        <v/>
      </c>
      <c r="Q146" s="990" t="n"/>
      <c r="R146" s="991" t="n"/>
      <c r="S146" s="991" t="n"/>
      <c r="T146" s="991" t="n"/>
      <c r="U146" s="991" t="n"/>
      <c r="V146" s="991" t="n"/>
      <c r="W146" s="991" t="n"/>
      <c r="X146" s="991" t="n"/>
      <c r="Y146" s="991" t="n"/>
      <c r="Z146" s="991" t="n"/>
      <c r="AA146" s="991" t="n"/>
      <c r="AB146" s="991" t="n"/>
      <c r="AC146" s="992">
        <f>SUM(Q146:AB150)</f>
        <v/>
      </c>
      <c r="AH146" s="2">
        <f>+IF(AC146&lt;&gt;I146,1,0)</f>
        <v/>
      </c>
    </row>
    <row r="147" ht="15" customHeight="1">
      <c r="A147" s="993" t="n"/>
      <c r="B147" s="972" t="n"/>
      <c r="C147" s="973" t="n"/>
      <c r="D147" s="994" t="n"/>
      <c r="E147" s="994" t="n"/>
      <c r="F147" s="994" t="n"/>
      <c r="G147" s="994" t="n"/>
      <c r="H147" s="994" t="n"/>
      <c r="I147" s="973" t="n"/>
      <c r="J147" s="973" t="n"/>
      <c r="K147" s="995" t="n"/>
      <c r="L147" s="996" t="n"/>
      <c r="M147" s="987" t="n"/>
      <c r="N147" s="988">
        <f>IFERROR(IF(DATEDIF(TODAY(),M147,"M")&lt;=6,"ROJO",IF(DATEDIF(TODAY(),M147,"M")&gt;=12,"VERDE",IF(AND(DATEDIF(TODAY(),M147,"M")&gt;6,DATEDIF(TODAY(),M147,"M")&lt;=11),"AMARILLO",IF(M147&lt;TODAY(),"VENCIDO",0)))),O147)</f>
        <v/>
      </c>
      <c r="O147" s="989">
        <f>IF(M147=0,"","VENCIDO")</f>
        <v/>
      </c>
      <c r="Q147" s="997" t="n"/>
      <c r="R147" s="994" t="n"/>
      <c r="S147" s="994" t="n"/>
      <c r="T147" s="994" t="n"/>
      <c r="U147" s="994" t="n"/>
      <c r="V147" s="994" t="n"/>
      <c r="W147" s="994" t="n"/>
      <c r="X147" s="994" t="n"/>
      <c r="Y147" s="994" t="n"/>
      <c r="Z147" s="994" t="n"/>
      <c r="AA147" s="994" t="n"/>
      <c r="AB147" s="994" t="n"/>
      <c r="AC147" s="974" t="n"/>
      <c r="AE147" s="2">
        <f>IFERROR(AA145*100/(W145+AA145),0)</f>
        <v/>
      </c>
    </row>
    <row r="148" ht="15" customHeight="1">
      <c r="A148" s="993" t="n"/>
      <c r="B148" s="972" t="n"/>
      <c r="C148" s="973" t="n"/>
      <c r="D148" s="994" t="n"/>
      <c r="E148" s="994" t="n"/>
      <c r="F148" s="994" t="n"/>
      <c r="G148" s="994" t="n"/>
      <c r="H148" s="994" t="n"/>
      <c r="I148" s="973" t="n"/>
      <c r="J148" s="973" t="n"/>
      <c r="K148" s="995" t="n"/>
      <c r="L148" s="996" t="n"/>
      <c r="M148" s="987" t="n"/>
      <c r="N148" s="988">
        <f>IFERROR(IF(DATEDIF(TODAY(),M148,"M")&lt;=6,"ROJO",IF(DATEDIF(TODAY(),M148,"M")&gt;=12,"VERDE",IF(AND(DATEDIF(TODAY(),M148,"M")&gt;6,DATEDIF(TODAY(),M148,"M")&lt;=11),"AMARILLO",IF(M148&lt;TODAY(),"VENCIDO",0)))),O148)</f>
        <v/>
      </c>
      <c r="O148" s="989">
        <f>IF(M148=0,"","VENCIDO")</f>
        <v/>
      </c>
      <c r="Q148" s="997" t="n"/>
      <c r="R148" s="994" t="n"/>
      <c r="S148" s="994" t="n"/>
      <c r="T148" s="994" t="n"/>
      <c r="U148" s="994" t="n"/>
      <c r="V148" s="994" t="n"/>
      <c r="W148" s="994" t="n"/>
      <c r="X148" s="994" t="n"/>
      <c r="Y148" s="994" t="n"/>
      <c r="Z148" s="994" t="n"/>
      <c r="AA148" s="994" t="n"/>
      <c r="AB148" s="994" t="n"/>
      <c r="AC148" s="974" t="n"/>
    </row>
    <row r="149" ht="15" customHeight="1">
      <c r="A149" s="993" t="n"/>
      <c r="B149" s="972" t="n"/>
      <c r="C149" s="973" t="n"/>
      <c r="D149" s="994" t="n"/>
      <c r="E149" s="994" t="n"/>
      <c r="F149" s="994" t="n"/>
      <c r="G149" s="994" t="n"/>
      <c r="H149" s="994" t="n"/>
      <c r="I149" s="973" t="n"/>
      <c r="J149" s="973" t="n"/>
      <c r="K149" s="995" t="n"/>
      <c r="L149" s="996" t="n"/>
      <c r="M149" s="987" t="n"/>
      <c r="N149" s="988">
        <f>IFERROR(IF(DATEDIF(TODAY(),M149,"M")&lt;=6,"ROJO",IF(DATEDIF(TODAY(),M149,"M")&gt;=12,"VERDE",IF(AND(DATEDIF(TODAY(),M149,"M")&gt;6,DATEDIF(TODAY(),M149,"M")&lt;=11),"AMARILLO",IF(M149&lt;TODAY(),"VENCIDO",0)))),O149)</f>
        <v/>
      </c>
      <c r="O149" s="989">
        <f>IF(M149=0,"","VENCIDO")</f>
        <v/>
      </c>
      <c r="Q149" s="997" t="n"/>
      <c r="R149" s="994" t="n"/>
      <c r="S149" s="994" t="n"/>
      <c r="T149" s="994" t="n"/>
      <c r="U149" s="994" t="n"/>
      <c r="V149" s="994" t="n"/>
      <c r="W149" s="994" t="n"/>
      <c r="X149" s="994" t="n"/>
      <c r="Y149" s="994" t="n"/>
      <c r="Z149" s="994" t="n"/>
      <c r="AA149" s="994" t="n"/>
      <c r="AB149" s="994" t="n"/>
      <c r="AC149" s="974" t="n"/>
    </row>
    <row r="150" ht="15.75" customHeight="1" thickBot="1">
      <c r="A150" s="993" t="n"/>
      <c r="B150" s="972" t="n"/>
      <c r="C150" s="999" t="n"/>
      <c r="D150" s="1020" t="n"/>
      <c r="E150" s="1020" t="n"/>
      <c r="F150" s="1020" t="n"/>
      <c r="G150" s="1020" t="n"/>
      <c r="H150" s="1020" t="n"/>
      <c r="I150" s="999" t="n"/>
      <c r="J150" s="999" t="n"/>
      <c r="K150" s="1000" t="n"/>
      <c r="L150" s="1001" t="n"/>
      <c r="M150" s="987" t="n"/>
      <c r="N150" s="988">
        <f>IFERROR(IF(DATEDIF(TODAY(),M150,"M")&lt;=6,"ROJO",IF(DATEDIF(TODAY(),M150,"M")&gt;=12,"VERDE",IF(AND(DATEDIF(TODAY(),M150,"M")&gt;6,DATEDIF(TODAY(),M150,"M")&lt;=11),"AMARILLO",IF(M150&lt;TODAY(),"VENCIDO",0)))),O150)</f>
        <v/>
      </c>
      <c r="O150" s="989">
        <f>IF(M150=0,"","VENCIDO")</f>
        <v/>
      </c>
      <c r="Q150" s="1002" t="n"/>
      <c r="R150" s="998" t="n"/>
      <c r="S150" s="998" t="n"/>
      <c r="T150" s="998" t="n"/>
      <c r="U150" s="998" t="n"/>
      <c r="V150" s="998" t="n"/>
      <c r="W150" s="998" t="n"/>
      <c r="X150" s="998" t="n"/>
      <c r="Y150" s="998" t="n"/>
      <c r="Z150" s="998" t="n"/>
      <c r="AA150" s="998" t="n"/>
      <c r="AB150" s="998" t="n"/>
      <c r="AC150" s="1003" t="n"/>
    </row>
    <row r="151" ht="14.4" customHeight="1" thickBot="1">
      <c r="A151" s="1004" t="n"/>
      <c r="B151" s="1005" t="n"/>
      <c r="C151" s="1021" t="n"/>
      <c r="D151" s="1022" t="n"/>
      <c r="E151" s="1022" t="n"/>
      <c r="F151" s="1023" t="n"/>
      <c r="G151" s="1023" t="n"/>
      <c r="H151" s="1023" t="n"/>
      <c r="I151" s="1024" t="n"/>
      <c r="J151" s="1010">
        <f>J146=K151</f>
        <v/>
      </c>
      <c r="K151" s="1025">
        <f>SUM(K146:K150)</f>
        <v/>
      </c>
      <c r="L151" s="1015" t="n"/>
      <c r="M151" s="1013" t="n"/>
      <c r="N151" s="1014">
        <f>IFERROR(IF(DATEDIF(TODAY(),M151,"M")&lt;=6,"ROJO",IF(DATEDIF(TODAY(),M151,"M")&gt;=12,"VERDE",IF(AND(DATEDIF(TODAY(),M151,"M")&gt;6,DATEDIF(TODAY(),M151,"M")&lt;=11),"AMARILLO",IF(M151&lt;TODAY(),"VENCIDO",0)))),O151)</f>
        <v/>
      </c>
      <c r="O151" s="989">
        <f>IF(M151=0,"","VENCIDO")</f>
        <v/>
      </c>
      <c r="Q151" s="1015" t="n"/>
      <c r="R151" s="1016" t="n"/>
      <c r="S151" s="1016" t="n"/>
      <c r="T151" s="1016" t="n"/>
      <c r="U151" s="1016" t="n"/>
      <c r="V151" s="1016" t="n"/>
      <c r="W151" s="1016" t="n"/>
      <c r="X151" s="1016" t="n"/>
      <c r="Y151" s="1016" t="n"/>
      <c r="Z151" s="1016" t="n"/>
      <c r="AA151" s="1016" t="n"/>
      <c r="AB151" s="1016" t="n"/>
      <c r="AC151" s="194" t="n"/>
    </row>
    <row r="152" ht="15" customHeight="1">
      <c r="A152" s="979" t="inlineStr">
        <is>
          <t>Antirrabica Humana (vacuna)</t>
        </is>
      </c>
      <c r="B152" s="980" t="n"/>
      <c r="C152" s="1017">
        <f>ENERO!K187</f>
        <v/>
      </c>
      <c r="D152" s="1018" t="n"/>
      <c r="E152" s="1018" t="n"/>
      <c r="F152" s="1018" t="n"/>
      <c r="G152" s="1018" t="n"/>
      <c r="H152" s="1018" t="n"/>
      <c r="I152" s="983">
        <f>AC152</f>
        <v/>
      </c>
      <c r="J152" s="1019">
        <f>+(C152+D152+F152+E152)-(G152+H152+I152)</f>
        <v/>
      </c>
      <c r="K152" s="985" t="n"/>
      <c r="L152" s="986" t="n"/>
      <c r="M152" s="987" t="n"/>
      <c r="N152" s="988">
        <f>IFERROR(IF(DATEDIF(TODAY(),M152,"M")&lt;=6,"ROJO",IF(DATEDIF(TODAY(),M152,"M")&gt;=12,"VERDE",IF(AND(DATEDIF(TODAY(),M152,"M")&gt;6,DATEDIF(TODAY(),M152,"M")&lt;=11),"AMARILLO",IF(M152&lt;TODAY(),"VENCIDO",0)))),O152)</f>
        <v/>
      </c>
      <c r="O152" s="989">
        <f>IF(M152=0,"","VENCIDO")</f>
        <v/>
      </c>
      <c r="Q152" s="990" t="n"/>
      <c r="R152" s="991" t="n"/>
      <c r="S152" s="991" t="n"/>
      <c r="T152" s="991" t="n"/>
      <c r="U152" s="991" t="n"/>
      <c r="V152" s="991" t="n"/>
      <c r="W152" s="991" t="n"/>
      <c r="X152" s="991" t="n"/>
      <c r="Y152" s="991" t="n"/>
      <c r="Z152" s="991" t="n"/>
      <c r="AA152" s="991" t="n"/>
      <c r="AB152" s="991" t="n"/>
      <c r="AC152" s="992">
        <f>SUM(Q152:AB156)</f>
        <v/>
      </c>
      <c r="AE152" s="2">
        <f>IFERROR(AA150*100/(W150+AA150),0)</f>
        <v/>
      </c>
      <c r="AH152" s="2">
        <f>+IF(AC152&lt;&gt;I152,1,0)</f>
        <v/>
      </c>
    </row>
    <row r="153" ht="15" customHeight="1">
      <c r="A153" s="993" t="n"/>
      <c r="B153" s="972" t="n"/>
      <c r="C153" s="973" t="n"/>
      <c r="D153" s="994" t="n"/>
      <c r="E153" s="994" t="n"/>
      <c r="F153" s="994" t="n"/>
      <c r="G153" s="994" t="n"/>
      <c r="H153" s="994" t="n"/>
      <c r="I153" s="973" t="n"/>
      <c r="J153" s="973" t="n"/>
      <c r="K153" s="995" t="n"/>
      <c r="L153" s="996" t="n"/>
      <c r="M153" s="987" t="n"/>
      <c r="N153" s="988">
        <f>IFERROR(IF(DATEDIF(TODAY(),M153,"M")&lt;=6,"ROJO",IF(DATEDIF(TODAY(),M153,"M")&gt;=12,"VERDE",IF(AND(DATEDIF(TODAY(),M153,"M")&gt;6,DATEDIF(TODAY(),M153,"M")&lt;=11),"AMARILLO",IF(M153&lt;TODAY(),"VENCIDO",0)))),O153)</f>
        <v/>
      </c>
      <c r="O153" s="989">
        <f>IF(M153=0,"","VENCIDO")</f>
        <v/>
      </c>
      <c r="Q153" s="997" t="n"/>
      <c r="R153" s="994" t="n"/>
      <c r="S153" s="994" t="n"/>
      <c r="T153" s="994" t="n"/>
      <c r="U153" s="994" t="n"/>
      <c r="V153" s="994" t="n"/>
      <c r="W153" s="994" t="n"/>
      <c r="X153" s="994" t="n"/>
      <c r="Y153" s="994" t="n"/>
      <c r="Z153" s="994" t="n"/>
      <c r="AA153" s="994" t="n"/>
      <c r="AB153" s="994" t="n"/>
      <c r="AC153" s="974" t="n"/>
    </row>
    <row r="154" ht="15" customHeight="1">
      <c r="A154" s="993" t="n"/>
      <c r="B154" s="972" t="n"/>
      <c r="C154" s="973" t="n"/>
      <c r="D154" s="994" t="n"/>
      <c r="E154" s="994" t="n"/>
      <c r="F154" s="994" t="n"/>
      <c r="G154" s="994" t="n"/>
      <c r="H154" s="994" t="n"/>
      <c r="I154" s="973" t="n"/>
      <c r="J154" s="973" t="n"/>
      <c r="K154" s="995" t="n"/>
      <c r="L154" s="996" t="n"/>
      <c r="M154" s="987" t="n"/>
      <c r="N154" s="988">
        <f>IFERROR(IF(DATEDIF(TODAY(),M154,"M")&lt;=6,"ROJO",IF(DATEDIF(TODAY(),M154,"M")&gt;=12,"VERDE",IF(AND(DATEDIF(TODAY(),M154,"M")&gt;6,DATEDIF(TODAY(),M154,"M")&lt;=11),"AMARILLO",IF(M154&lt;TODAY(),"VENCIDO",0)))),O154)</f>
        <v/>
      </c>
      <c r="O154" s="989">
        <f>IF(M154=0,"","VENCIDO")</f>
        <v/>
      </c>
      <c r="Q154" s="997" t="n"/>
      <c r="R154" s="994" t="n"/>
      <c r="S154" s="994" t="n"/>
      <c r="T154" s="994" t="n"/>
      <c r="U154" s="994" t="n"/>
      <c r="V154" s="994" t="n"/>
      <c r="W154" s="994" t="n"/>
      <c r="X154" s="994" t="n"/>
      <c r="Y154" s="994" t="n"/>
      <c r="Z154" s="994" t="n"/>
      <c r="AA154" s="994" t="n"/>
      <c r="AB154" s="994" t="n"/>
      <c r="AC154" s="974" t="n"/>
    </row>
    <row r="155" ht="15" customHeight="1">
      <c r="A155" s="993" t="n"/>
      <c r="B155" s="972" t="n"/>
      <c r="C155" s="973" t="n"/>
      <c r="D155" s="994" t="n"/>
      <c r="E155" s="994" t="n"/>
      <c r="F155" s="994" t="n"/>
      <c r="G155" s="994" t="n"/>
      <c r="H155" s="994" t="n"/>
      <c r="I155" s="973" t="n"/>
      <c r="J155" s="973" t="n"/>
      <c r="K155" s="995" t="n"/>
      <c r="L155" s="996" t="n"/>
      <c r="M155" s="987" t="n"/>
      <c r="N155" s="988">
        <f>IFERROR(IF(DATEDIF(TODAY(),M155,"M")&lt;=6,"ROJO",IF(DATEDIF(TODAY(),M155,"M")&gt;=12,"VERDE",IF(AND(DATEDIF(TODAY(),M155,"M")&gt;6,DATEDIF(TODAY(),M155,"M")&lt;=11),"AMARILLO",IF(M155&lt;TODAY(),"VENCIDO",0)))),O155)</f>
        <v/>
      </c>
      <c r="O155" s="989">
        <f>IF(M155=0,"","VENCIDO")</f>
        <v/>
      </c>
      <c r="Q155" s="997" t="n"/>
      <c r="R155" s="994" t="n"/>
      <c r="S155" s="994" t="n"/>
      <c r="T155" s="994" t="n"/>
      <c r="U155" s="994" t="n"/>
      <c r="V155" s="994" t="n"/>
      <c r="W155" s="994" t="n"/>
      <c r="X155" s="994" t="n"/>
      <c r="Y155" s="994" t="n"/>
      <c r="Z155" s="994" t="n"/>
      <c r="AA155" s="994" t="n"/>
      <c r="AB155" s="994" t="n"/>
      <c r="AC155" s="974" t="n"/>
    </row>
    <row r="156" ht="15.75" customHeight="1" thickBot="1">
      <c r="A156" s="993" t="n"/>
      <c r="B156" s="972" t="n"/>
      <c r="C156" s="999" t="n"/>
      <c r="D156" s="1020" t="n"/>
      <c r="E156" s="1020" t="n"/>
      <c r="F156" s="1020" t="n"/>
      <c r="G156" s="1020" t="n"/>
      <c r="H156" s="1020" t="n"/>
      <c r="I156" s="999" t="n"/>
      <c r="J156" s="999" t="n"/>
      <c r="K156" s="1000" t="n"/>
      <c r="L156" s="1001" t="n"/>
      <c r="M156" s="987" t="n"/>
      <c r="N156" s="988">
        <f>IFERROR(IF(DATEDIF(TODAY(),M156,"M")&lt;=6,"ROJO",IF(DATEDIF(TODAY(),M156,"M")&gt;=12,"VERDE",IF(AND(DATEDIF(TODAY(),M156,"M")&gt;6,DATEDIF(TODAY(),M156,"M")&lt;=11),"AMARILLO",IF(M156&lt;TODAY(),"VENCIDO",0)))),O156)</f>
        <v/>
      </c>
      <c r="O156" s="989">
        <f>IF(M156=0,"","VENCIDO")</f>
        <v/>
      </c>
      <c r="Q156" s="1002" t="n"/>
      <c r="R156" s="998" t="n"/>
      <c r="S156" s="998" t="n"/>
      <c r="T156" s="998" t="n"/>
      <c r="U156" s="998" t="n"/>
      <c r="V156" s="998" t="n"/>
      <c r="W156" s="998" t="n"/>
      <c r="X156" s="998" t="n"/>
      <c r="Y156" s="998" t="n"/>
      <c r="Z156" s="998" t="n"/>
      <c r="AA156" s="998" t="n"/>
      <c r="AB156" s="998" t="n"/>
      <c r="AC156" s="1003" t="n"/>
    </row>
    <row r="157" ht="14.4" customHeight="1" thickBot="1">
      <c r="A157" s="1004" t="n"/>
      <c r="B157" s="1005" t="n"/>
      <c r="C157" s="1021" t="n"/>
      <c r="D157" s="1022" t="n"/>
      <c r="E157" s="1022" t="n"/>
      <c r="F157" s="1023" t="n"/>
      <c r="G157" s="1023" t="n"/>
      <c r="H157" s="1023" t="n"/>
      <c r="I157" s="1024" t="n"/>
      <c r="J157" s="1010">
        <f>J152=K157</f>
        <v/>
      </c>
      <c r="K157" s="1025">
        <f>SUM(K152:K156)</f>
        <v/>
      </c>
      <c r="L157" s="1015" t="n"/>
      <c r="M157" s="1013" t="n"/>
      <c r="N157" s="1014">
        <f>IFERROR(IF(DATEDIF(TODAY(),M157,"M")&lt;=6,"ROJO",IF(DATEDIF(TODAY(),M157,"M")&gt;=12,"VERDE",IF(AND(DATEDIF(TODAY(),M157,"M")&gt;6,DATEDIF(TODAY(),M157,"M")&lt;=11),"AMARILLO",IF(M157&lt;TODAY(),"VENCIDO",0)))),O157)</f>
        <v/>
      </c>
      <c r="O157" s="989">
        <f>IF(M157=0,"","VENCIDO")</f>
        <v/>
      </c>
      <c r="Q157" s="1015" t="n"/>
      <c r="R157" s="1016" t="n"/>
      <c r="S157" s="1016" t="n"/>
      <c r="T157" s="1016" t="n"/>
      <c r="U157" s="1016" t="n"/>
      <c r="V157" s="1016" t="n"/>
      <c r="W157" s="1016" t="n"/>
      <c r="X157" s="1016" t="n"/>
      <c r="Y157" s="1016" t="n"/>
      <c r="Z157" s="1016" t="n"/>
      <c r="AA157" s="1016" t="n"/>
      <c r="AB157" s="1016" t="n"/>
      <c r="AC157" s="194" t="n"/>
    </row>
    <row r="158" ht="15" customHeight="1">
      <c r="A158" s="979" t="inlineStr">
        <is>
          <t>Inmunoglobulina antirrabica humana (suero)</t>
        </is>
      </c>
      <c r="B158" s="980" t="n"/>
      <c r="C158" s="1017">
        <f>ENERO!K193</f>
        <v/>
      </c>
      <c r="D158" s="1018" t="n"/>
      <c r="E158" s="1018" t="n"/>
      <c r="F158" s="1018" t="n"/>
      <c r="G158" s="1018" t="n"/>
      <c r="H158" s="1018" t="n"/>
      <c r="I158" s="983">
        <f>AC158</f>
        <v/>
      </c>
      <c r="J158" s="1019">
        <f>+(C158+D158+F158+E158)-(G158+H158+I158)</f>
        <v/>
      </c>
      <c r="K158" s="985" t="n"/>
      <c r="L158" s="986" t="n"/>
      <c r="M158" s="987" t="n"/>
      <c r="N158" s="988">
        <f>IFERROR(IF(DATEDIF(TODAY(),M158,"M")&lt;=6,"ROJO",IF(DATEDIF(TODAY(),M158,"M")&gt;=12,"VERDE",IF(AND(DATEDIF(TODAY(),M158,"M")&gt;6,DATEDIF(TODAY(),M158,"M")&lt;=11),"AMARILLO",IF(M158&lt;TODAY(),"VENCIDO",0)))),O158)</f>
        <v/>
      </c>
      <c r="O158" s="989">
        <f>IF(M158=0,"","VENCIDO")</f>
        <v/>
      </c>
      <c r="Q158" s="990" t="n"/>
      <c r="R158" s="991" t="n"/>
      <c r="S158" s="991" t="n"/>
      <c r="T158" s="991" t="n"/>
      <c r="U158" s="991" t="n"/>
      <c r="V158" s="991" t="n"/>
      <c r="W158" s="991" t="n"/>
      <c r="X158" s="991" t="n"/>
      <c r="Y158" s="991" t="n"/>
      <c r="Z158" s="991" t="n"/>
      <c r="AA158" s="991" t="n"/>
      <c r="AB158" s="991" t="n"/>
      <c r="AC158" s="992">
        <f>SUM(Q158:AB162)</f>
        <v/>
      </c>
      <c r="AE158" s="2">
        <f>IFERROR(AA156*100/(W156+AA156),0)</f>
        <v/>
      </c>
      <c r="AH158" s="2">
        <f>+IF(AC158&lt;&gt;I158,1,0)</f>
        <v/>
      </c>
    </row>
    <row r="159" ht="15" customHeight="1">
      <c r="A159" s="993" t="n"/>
      <c r="B159" s="972" t="n"/>
      <c r="C159" s="973" t="n"/>
      <c r="D159" s="994" t="n"/>
      <c r="E159" s="994" t="n"/>
      <c r="F159" s="994" t="n"/>
      <c r="G159" s="994" t="n"/>
      <c r="H159" s="994" t="n"/>
      <c r="I159" s="973" t="n"/>
      <c r="J159" s="973" t="n"/>
      <c r="K159" s="995" t="n"/>
      <c r="L159" s="996" t="n"/>
      <c r="M159" s="987" t="n"/>
      <c r="N159" s="988">
        <f>IFERROR(IF(DATEDIF(TODAY(),M159,"M")&lt;=6,"ROJO",IF(DATEDIF(TODAY(),M159,"M")&gt;=12,"VERDE",IF(AND(DATEDIF(TODAY(),M159,"M")&gt;6,DATEDIF(TODAY(),M159,"M")&lt;=11),"AMARILLO",IF(M159&lt;TODAY(),"VENCIDO",0)))),O159)</f>
        <v/>
      </c>
      <c r="O159" s="989">
        <f>IF(M159=0,"","VENCIDO")</f>
        <v/>
      </c>
      <c r="Q159" s="997" t="n"/>
      <c r="R159" s="994" t="n"/>
      <c r="S159" s="994" t="n"/>
      <c r="T159" s="994" t="n"/>
      <c r="U159" s="994" t="n"/>
      <c r="V159" s="994" t="n"/>
      <c r="W159" s="994" t="n"/>
      <c r="X159" s="994" t="n"/>
      <c r="Y159" s="994" t="n"/>
      <c r="Z159" s="994" t="n"/>
      <c r="AA159" s="994" t="n"/>
      <c r="AB159" s="994" t="n"/>
      <c r="AC159" s="974" t="n"/>
    </row>
    <row r="160" ht="15" customHeight="1">
      <c r="A160" s="993" t="n"/>
      <c r="B160" s="972" t="n"/>
      <c r="C160" s="973" t="n"/>
      <c r="D160" s="994" t="n"/>
      <c r="E160" s="994" t="n"/>
      <c r="F160" s="994" t="n"/>
      <c r="G160" s="994" t="n"/>
      <c r="H160" s="994" t="n"/>
      <c r="I160" s="973" t="n"/>
      <c r="J160" s="973" t="n"/>
      <c r="K160" s="995" t="n"/>
      <c r="L160" s="996" t="n"/>
      <c r="M160" s="987" t="n"/>
      <c r="N160" s="988">
        <f>IFERROR(IF(DATEDIF(TODAY(),M160,"M")&lt;=6,"ROJO",IF(DATEDIF(TODAY(),M160,"M")&gt;=12,"VERDE",IF(AND(DATEDIF(TODAY(),M160,"M")&gt;6,DATEDIF(TODAY(),M160,"M")&lt;=11),"AMARILLO",IF(M160&lt;TODAY(),"VENCIDO",0)))),O160)</f>
        <v/>
      </c>
      <c r="O160" s="989">
        <f>IF(M160=0,"","VENCIDO")</f>
        <v/>
      </c>
      <c r="Q160" s="997" t="n"/>
      <c r="R160" s="994" t="n"/>
      <c r="S160" s="994" t="n"/>
      <c r="T160" s="994" t="n"/>
      <c r="U160" s="994" t="n"/>
      <c r="V160" s="994" t="n"/>
      <c r="W160" s="994" t="n"/>
      <c r="X160" s="994" t="n"/>
      <c r="Y160" s="994" t="n"/>
      <c r="Z160" s="994" t="n"/>
      <c r="AA160" s="994" t="n"/>
      <c r="AB160" s="994" t="n"/>
      <c r="AC160" s="974" t="n"/>
    </row>
    <row r="161" ht="15" customHeight="1">
      <c r="A161" s="993" t="n"/>
      <c r="B161" s="972" t="n"/>
      <c r="C161" s="973" t="n"/>
      <c r="D161" s="994" t="n"/>
      <c r="E161" s="994" t="n"/>
      <c r="F161" s="994" t="n"/>
      <c r="G161" s="994" t="n"/>
      <c r="H161" s="994" t="n"/>
      <c r="I161" s="973" t="n"/>
      <c r="J161" s="973" t="n"/>
      <c r="K161" s="995" t="n"/>
      <c r="L161" s="996" t="n"/>
      <c r="M161" s="987" t="n"/>
      <c r="N161" s="988">
        <f>IFERROR(IF(DATEDIF(TODAY(),M161,"M")&lt;=6,"ROJO",IF(DATEDIF(TODAY(),M161,"M")&gt;=12,"VERDE",IF(AND(DATEDIF(TODAY(),M161,"M")&gt;6,DATEDIF(TODAY(),M161,"M")&lt;=11),"AMARILLO",IF(M161&lt;TODAY(),"VENCIDO",0)))),O161)</f>
        <v/>
      </c>
      <c r="O161" s="989">
        <f>IF(M161=0,"","VENCIDO")</f>
        <v/>
      </c>
      <c r="Q161" s="997" t="n"/>
      <c r="R161" s="994" t="n"/>
      <c r="S161" s="994" t="n"/>
      <c r="T161" s="994" t="n"/>
      <c r="U161" s="994" t="n"/>
      <c r="V161" s="994" t="n"/>
      <c r="W161" s="994" t="n"/>
      <c r="X161" s="994" t="n"/>
      <c r="Y161" s="994" t="n"/>
      <c r="Z161" s="994" t="n"/>
      <c r="AA161" s="994" t="n"/>
      <c r="AB161" s="994" t="n"/>
      <c r="AC161" s="974" t="n"/>
    </row>
    <row r="162" ht="15.75" customHeight="1" thickBot="1">
      <c r="A162" s="993" t="n"/>
      <c r="B162" s="972" t="n"/>
      <c r="C162" s="999" t="n"/>
      <c r="D162" s="1020" t="n"/>
      <c r="E162" s="1020" t="n"/>
      <c r="F162" s="1020" t="n"/>
      <c r="G162" s="1020" t="n"/>
      <c r="H162" s="1020" t="n"/>
      <c r="I162" s="999" t="n"/>
      <c r="J162" s="999" t="n"/>
      <c r="K162" s="1000" t="n"/>
      <c r="L162" s="1001" t="n"/>
      <c r="M162" s="987" t="n"/>
      <c r="N162" s="988">
        <f>IFERROR(IF(DATEDIF(TODAY(),M162,"M")&lt;=6,"ROJO",IF(DATEDIF(TODAY(),M162,"M")&gt;=12,"VERDE",IF(AND(DATEDIF(TODAY(),M162,"M")&gt;6,DATEDIF(TODAY(),M162,"M")&lt;=11),"AMARILLO",IF(M162&lt;TODAY(),"VENCIDO",0)))),O162)</f>
        <v/>
      </c>
      <c r="O162" s="989">
        <f>IF(M162=0,"","VENCIDO")</f>
        <v/>
      </c>
      <c r="Q162" s="1002" t="n"/>
      <c r="R162" s="998" t="n"/>
      <c r="S162" s="998" t="n"/>
      <c r="T162" s="998" t="n"/>
      <c r="U162" s="998" t="n"/>
      <c r="V162" s="998" t="n"/>
      <c r="W162" s="998" t="n"/>
      <c r="X162" s="998" t="n"/>
      <c r="Y162" s="998" t="n"/>
      <c r="Z162" s="998" t="n"/>
      <c r="AA162" s="998" t="n"/>
      <c r="AB162" s="998" t="n"/>
      <c r="AC162" s="1003" t="n"/>
    </row>
    <row r="163" ht="15.75" customHeight="1" thickBot="1">
      <c r="A163" s="1004" t="n"/>
      <c r="B163" s="1005" t="n"/>
      <c r="C163" s="1021" t="n"/>
      <c r="D163" s="1022" t="n"/>
      <c r="E163" s="1022" t="n"/>
      <c r="F163" s="1023" t="n"/>
      <c r="G163" s="1023" t="n"/>
      <c r="H163" s="1023" t="n"/>
      <c r="I163" s="1024" t="n"/>
      <c r="J163" s="1010">
        <f>J158=K163</f>
        <v/>
      </c>
      <c r="K163" s="1025">
        <f>SUM(K158:K162)</f>
        <v/>
      </c>
      <c r="L163" s="1015" t="n"/>
      <c r="M163" s="1013" t="n"/>
      <c r="N163" s="1014">
        <f>IFERROR(IF(DATEDIF(TODAY(),M163,"M")&lt;=6,"ROJO",IF(DATEDIF(TODAY(),M163,"M")&gt;=12,"VERDE",IF(AND(DATEDIF(TODAY(),M163,"M")&gt;6,DATEDIF(TODAY(),M163,"M")&lt;=11),"AMARILLO",IF(M163&lt;TODAY(),"VENCIDO",0)))),O163)</f>
        <v/>
      </c>
      <c r="O163" s="989">
        <f>IF(M163=0,"","VENCIDO")</f>
        <v/>
      </c>
      <c r="Q163" s="1015" t="n"/>
      <c r="R163" s="1016" t="n"/>
      <c r="S163" s="1016" t="n"/>
      <c r="T163" s="1016" t="n"/>
      <c r="U163" s="1016" t="n"/>
      <c r="V163" s="1016" t="n"/>
      <c r="W163" s="1016" t="n"/>
      <c r="X163" s="1016" t="n"/>
      <c r="Y163" s="1016" t="n"/>
      <c r="Z163" s="1016" t="n"/>
      <c r="AA163" s="1016" t="n"/>
      <c r="AB163" s="1016" t="n"/>
      <c r="AC163" s="194" t="n"/>
      <c r="AE163" s="2">
        <f>IFERROR(AA161*100/(W161+AA161),0)</f>
        <v/>
      </c>
    </row>
    <row r="164" ht="14.25" customHeight="1">
      <c r="A164" s="979" t="inlineStr">
        <is>
          <t>Inmunoglobulina antihepatitis B</t>
        </is>
      </c>
      <c r="B164" s="980" t="n"/>
      <c r="C164" s="1017">
        <f>ENERO!K205</f>
        <v/>
      </c>
      <c r="D164" s="1018" t="n"/>
      <c r="E164" s="1018" t="n"/>
      <c r="F164" s="1018" t="n"/>
      <c r="G164" s="1018" t="n"/>
      <c r="H164" s="1018" t="n"/>
      <c r="I164" s="983">
        <f>AC164</f>
        <v/>
      </c>
      <c r="J164" s="1019">
        <f>+(C164+D164+F164+E164)-(G164+H164+I164)</f>
        <v/>
      </c>
      <c r="K164" s="985" t="n"/>
      <c r="L164" s="986" t="n"/>
      <c r="M164" s="987" t="n"/>
      <c r="N164" s="988">
        <f>IFERROR(IF(DATEDIF(TODAY(),M164,"M")&lt;=6,"ROJO",IF(DATEDIF(TODAY(),M164,"M")&gt;=12,"VERDE",IF(AND(DATEDIF(TODAY(),M164,"M")&gt;6,DATEDIF(TODAY(),M164,"M")&lt;=11),"AMARILLO",IF(M164&lt;TODAY(),"VENCIDO",0)))),O164)</f>
        <v/>
      </c>
      <c r="O164" s="989">
        <f>IF(M164=0,"","VENCIDO")</f>
        <v/>
      </c>
      <c r="Q164" s="990" t="n"/>
      <c r="R164" s="991" t="n"/>
      <c r="S164" s="991" t="n"/>
      <c r="T164" s="991" t="n"/>
      <c r="U164" s="991" t="n"/>
      <c r="V164" s="991" t="n"/>
      <c r="W164" s="991" t="n"/>
      <c r="X164" s="991" t="n"/>
      <c r="Y164" s="991" t="n"/>
      <c r="Z164" s="991" t="n"/>
      <c r="AA164" s="991" t="n"/>
      <c r="AB164" s="991" t="n"/>
      <c r="AC164" s="992">
        <f>SUM(Q164:AB168)</f>
        <v/>
      </c>
      <c r="AH164" s="2">
        <f>+IF(AC164&lt;&gt;I164,1,0)</f>
        <v/>
      </c>
    </row>
    <row r="165" ht="15" customHeight="1">
      <c r="A165" s="993" t="n"/>
      <c r="B165" s="972" t="n"/>
      <c r="C165" s="973" t="n"/>
      <c r="D165" s="994" t="n"/>
      <c r="E165" s="994" t="n"/>
      <c r="F165" s="994" t="n"/>
      <c r="G165" s="994" t="n"/>
      <c r="H165" s="994" t="n"/>
      <c r="I165" s="973" t="n"/>
      <c r="J165" s="973" t="n"/>
      <c r="K165" s="995" t="n"/>
      <c r="L165" s="996" t="n"/>
      <c r="M165" s="987" t="n"/>
      <c r="N165" s="988">
        <f>IFERROR(IF(DATEDIF(TODAY(),M165,"M")&lt;=6,"ROJO",IF(DATEDIF(TODAY(),M165,"M")&gt;=12,"VERDE",IF(AND(DATEDIF(TODAY(),M165,"M")&gt;6,DATEDIF(TODAY(),M165,"M")&lt;=11),"AMARILLO",IF(M165&lt;TODAY(),"VENCIDO",0)))),O165)</f>
        <v/>
      </c>
      <c r="O165" s="989">
        <f>IF(M165=0,"","VENCIDO")</f>
        <v/>
      </c>
      <c r="Q165" s="997" t="n"/>
      <c r="R165" s="994" t="n"/>
      <c r="S165" s="994" t="n"/>
      <c r="T165" s="994" t="n"/>
      <c r="U165" s="994" t="n"/>
      <c r="V165" s="994" t="n"/>
      <c r="W165" s="994" t="n"/>
      <c r="X165" s="994" t="n"/>
      <c r="Y165" s="994" t="n"/>
      <c r="Z165" s="994" t="n"/>
      <c r="AA165" s="994" t="n"/>
      <c r="AB165" s="994" t="n"/>
      <c r="AC165" s="974" t="n"/>
    </row>
    <row r="166" ht="15" customHeight="1">
      <c r="A166" s="993" t="n"/>
      <c r="B166" s="972" t="n"/>
      <c r="C166" s="973" t="n"/>
      <c r="D166" s="994" t="n"/>
      <c r="E166" s="994" t="n"/>
      <c r="F166" s="994" t="n"/>
      <c r="G166" s="994" t="n"/>
      <c r="H166" s="994" t="n"/>
      <c r="I166" s="973" t="n"/>
      <c r="J166" s="973" t="n"/>
      <c r="K166" s="995" t="n"/>
      <c r="L166" s="996" t="n"/>
      <c r="M166" s="987" t="n"/>
      <c r="N166" s="988">
        <f>IFERROR(IF(DATEDIF(TODAY(),M166,"M")&lt;=6,"ROJO",IF(DATEDIF(TODAY(),M166,"M")&gt;=12,"VERDE",IF(AND(DATEDIF(TODAY(),M166,"M")&gt;6,DATEDIF(TODAY(),M166,"M")&lt;=11),"AMARILLO",IF(M166&lt;TODAY(),"VENCIDO",0)))),O166)</f>
        <v/>
      </c>
      <c r="O166" s="989">
        <f>IF(M166=0,"","VENCIDO")</f>
        <v/>
      </c>
      <c r="Q166" s="997" t="n"/>
      <c r="R166" s="994" t="n"/>
      <c r="S166" s="994" t="n"/>
      <c r="T166" s="994" t="n"/>
      <c r="U166" s="994" t="n"/>
      <c r="V166" s="994" t="n"/>
      <c r="W166" s="994" t="n"/>
      <c r="X166" s="994" t="n"/>
      <c r="Y166" s="994" t="n"/>
      <c r="Z166" s="994" t="n"/>
      <c r="AA166" s="994" t="n"/>
      <c r="AB166" s="994" t="n"/>
      <c r="AC166" s="974" t="n"/>
    </row>
    <row r="167" ht="15" customHeight="1">
      <c r="A167" s="993" t="n"/>
      <c r="B167" s="972" t="n"/>
      <c r="C167" s="973" t="n"/>
      <c r="D167" s="994" t="n"/>
      <c r="E167" s="994" t="n"/>
      <c r="F167" s="994" t="n"/>
      <c r="G167" s="994" t="n"/>
      <c r="H167" s="994" t="n"/>
      <c r="I167" s="973" t="n"/>
      <c r="J167" s="973" t="n"/>
      <c r="K167" s="995" t="n"/>
      <c r="L167" s="996" t="n"/>
      <c r="M167" s="987" t="n"/>
      <c r="N167" s="988">
        <f>IFERROR(IF(DATEDIF(TODAY(),M167,"M")&lt;=6,"ROJO",IF(DATEDIF(TODAY(),M167,"M")&gt;=12,"VERDE",IF(AND(DATEDIF(TODAY(),M167,"M")&gt;6,DATEDIF(TODAY(),M167,"M")&lt;=11),"AMARILLO",IF(M167&lt;TODAY(),"VENCIDO",0)))),O167)</f>
        <v/>
      </c>
      <c r="O167" s="989">
        <f>IF(M167=0,"","VENCIDO")</f>
        <v/>
      </c>
      <c r="Q167" s="997" t="n"/>
      <c r="R167" s="994" t="n"/>
      <c r="S167" s="994" t="n"/>
      <c r="T167" s="994" t="n"/>
      <c r="U167" s="994" t="n"/>
      <c r="V167" s="994" t="n"/>
      <c r="W167" s="994" t="n"/>
      <c r="X167" s="994" t="n"/>
      <c r="Y167" s="994" t="n"/>
      <c r="Z167" s="994" t="n"/>
      <c r="AA167" s="994" t="n"/>
      <c r="AB167" s="994" t="n"/>
      <c r="AC167" s="974" t="n"/>
    </row>
    <row r="168" ht="15.75" customHeight="1" thickBot="1">
      <c r="A168" s="993" t="n"/>
      <c r="B168" s="972" t="n"/>
      <c r="C168" s="999" t="n"/>
      <c r="D168" s="1020" t="n"/>
      <c r="E168" s="1020" t="n"/>
      <c r="F168" s="1020" t="n"/>
      <c r="G168" s="1020" t="n"/>
      <c r="H168" s="1020" t="n"/>
      <c r="I168" s="999" t="n"/>
      <c r="J168" s="999" t="n"/>
      <c r="K168" s="1000" t="n"/>
      <c r="L168" s="1001" t="n"/>
      <c r="M168" s="987" t="n"/>
      <c r="N168" s="988">
        <f>IFERROR(IF(DATEDIF(TODAY(),M168,"M")&lt;=6,"ROJO",IF(DATEDIF(TODAY(),M168,"M")&gt;=12,"VERDE",IF(AND(DATEDIF(TODAY(),M168,"M")&gt;6,DATEDIF(TODAY(),M168,"M")&lt;=11),"AMARILLO",IF(M168&lt;TODAY(),"VENCIDO",0)))),O168)</f>
        <v/>
      </c>
      <c r="O168" s="989">
        <f>IF(M168=0,"","VENCIDO")</f>
        <v/>
      </c>
      <c r="Q168" s="1002" t="n"/>
      <c r="R168" s="998" t="n"/>
      <c r="S168" s="998" t="n"/>
      <c r="T168" s="998" t="n"/>
      <c r="U168" s="998" t="n"/>
      <c r="V168" s="998" t="n"/>
      <c r="W168" s="998" t="n"/>
      <c r="X168" s="998" t="n"/>
      <c r="Y168" s="998" t="n"/>
      <c r="Z168" s="998" t="n"/>
      <c r="AA168" s="998" t="n"/>
      <c r="AB168" s="998" t="n"/>
      <c r="AC168" s="1003" t="n"/>
    </row>
    <row r="169" ht="14.4" customHeight="1" thickBot="1">
      <c r="A169" s="1004" t="n"/>
      <c r="B169" s="1005" t="n"/>
      <c r="C169" s="1021" t="n"/>
      <c r="D169" s="1022" t="n"/>
      <c r="E169" s="1022" t="n"/>
      <c r="F169" s="1023" t="n"/>
      <c r="G169" s="1023" t="n"/>
      <c r="H169" s="1023" t="n"/>
      <c r="I169" s="1024" t="n"/>
      <c r="J169" s="1010">
        <f>J164=K169</f>
        <v/>
      </c>
      <c r="K169" s="1025">
        <f>SUM(K164:K168)</f>
        <v/>
      </c>
      <c r="L169" s="1015" t="n"/>
      <c r="M169" s="1013" t="n"/>
      <c r="N169" s="1014">
        <f>IFERROR(IF(DATEDIF(TODAY(),M169,"M")&lt;=6,"ROJO",IF(DATEDIF(TODAY(),M169,"M")&gt;=12,"VERDE",IF(AND(DATEDIF(TODAY(),M169,"M")&gt;6,DATEDIF(TODAY(),M169,"M")&lt;=11),"AMARILLO",IF(M169&lt;TODAY(),"VENCIDO",0)))),O169)</f>
        <v/>
      </c>
      <c r="O169" s="989">
        <f>IF(M169=0,"","VENCIDO")</f>
        <v/>
      </c>
      <c r="Q169" s="1015" t="n"/>
      <c r="R169" s="1016" t="n"/>
      <c r="S169" s="1016" t="n"/>
      <c r="T169" s="1016" t="n"/>
      <c r="U169" s="1016" t="n"/>
      <c r="V169" s="1016" t="n"/>
      <c r="W169" s="1016" t="n"/>
      <c r="X169" s="1016" t="n"/>
      <c r="Y169" s="1016" t="n"/>
      <c r="Z169" s="1016" t="n"/>
      <c r="AA169" s="1016" t="n"/>
      <c r="AB169" s="1016" t="n"/>
      <c r="AC169" s="194" t="n"/>
      <c r="AE169" s="2">
        <f>IFERROR(AA167*100/(W167+AA167),0)</f>
        <v/>
      </c>
    </row>
    <row r="170" ht="15" customHeight="1">
      <c r="A170" s="979" t="inlineStr">
        <is>
          <t xml:space="preserve">Inmunoglobulina antitetanica </t>
        </is>
      </c>
      <c r="B170" s="980" t="n"/>
      <c r="C170" s="981">
        <f>ENERO!K211</f>
        <v/>
      </c>
      <c r="D170" s="982" t="n"/>
      <c r="E170" s="982" t="n"/>
      <c r="F170" s="982" t="n"/>
      <c r="G170" s="982" t="n"/>
      <c r="H170" s="982" t="n"/>
      <c r="I170" s="1026">
        <f>AC170</f>
        <v/>
      </c>
      <c r="J170" s="984">
        <f>+(C170+D170+F170+E170)-(G170+H170+I170)</f>
        <v/>
      </c>
      <c r="K170" s="985" t="n"/>
      <c r="L170" s="986" t="n"/>
      <c r="M170" s="987" t="n"/>
      <c r="N170" s="988">
        <f>IFERROR(IF(DATEDIF(TODAY(),M170,"M")&lt;=6,"ROJO",IF(DATEDIF(TODAY(),M170,"M")&gt;=12,"VERDE",IF(AND(DATEDIF(TODAY(),M170,"M")&gt;6,DATEDIF(TODAY(),M170,"M")&lt;=11),"AMARILLO",IF(M170&lt;TODAY(),"VENCIDO",0)))),O170)</f>
        <v/>
      </c>
      <c r="O170" s="989">
        <f>IF(M170=0,"","VENCIDO")</f>
        <v/>
      </c>
      <c r="Q170" s="990" t="n"/>
      <c r="R170" s="991" t="n"/>
      <c r="S170" s="991" t="n"/>
      <c r="T170" s="991" t="n"/>
      <c r="U170" s="991" t="n"/>
      <c r="V170" s="991" t="n"/>
      <c r="W170" s="991" t="n"/>
      <c r="X170" s="991" t="n"/>
      <c r="Y170" s="991" t="n"/>
      <c r="Z170" s="991" t="n"/>
      <c r="AA170" s="991" t="n"/>
      <c r="AB170" s="991" t="n"/>
      <c r="AC170" s="992">
        <f>SUM(Q170:AB174)</f>
        <v/>
      </c>
      <c r="AH170" s="2">
        <f>+IF(AC170&lt;&gt;I170,1,0)</f>
        <v/>
      </c>
    </row>
    <row r="171" ht="15" customHeight="1">
      <c r="A171" s="993" t="n"/>
      <c r="B171" s="972" t="n"/>
      <c r="C171" s="973" t="n"/>
      <c r="D171" s="994" t="n"/>
      <c r="E171" s="994" t="n"/>
      <c r="F171" s="994" t="n"/>
      <c r="G171" s="994" t="n"/>
      <c r="H171" s="994" t="n"/>
      <c r="I171" s="973" t="n"/>
      <c r="J171" s="973" t="n"/>
      <c r="K171" s="995" t="n"/>
      <c r="L171" s="996" t="n"/>
      <c r="M171" s="987" t="n"/>
      <c r="N171" s="988">
        <f>IFERROR(IF(DATEDIF(TODAY(),M171,"M")&lt;=6,"ROJO",IF(DATEDIF(TODAY(),M171,"M")&gt;=12,"VERDE",IF(AND(DATEDIF(TODAY(),M171,"M")&gt;6,DATEDIF(TODAY(),M171,"M")&lt;=11),"AMARILLO",IF(M171&lt;TODAY(),"VENCIDO",0)))),O171)</f>
        <v/>
      </c>
      <c r="O171" s="989">
        <f>IF(M171=0,"","VENCIDO")</f>
        <v/>
      </c>
      <c r="Q171" s="997" t="n"/>
      <c r="R171" s="994" t="n"/>
      <c r="S171" s="994" t="n"/>
      <c r="T171" s="994" t="n"/>
      <c r="U171" s="994" t="n"/>
      <c r="V171" s="994" t="n"/>
      <c r="W171" s="994" t="n"/>
      <c r="X171" s="994" t="n"/>
      <c r="Y171" s="994" t="n"/>
      <c r="Z171" s="994" t="n"/>
      <c r="AA171" s="994" t="n"/>
      <c r="AB171" s="994" t="n"/>
      <c r="AC171" s="974" t="n"/>
    </row>
    <row r="172" ht="15" customHeight="1">
      <c r="A172" s="993" t="n"/>
      <c r="B172" s="972" t="n"/>
      <c r="C172" s="973" t="n"/>
      <c r="D172" s="994" t="n"/>
      <c r="E172" s="994" t="n"/>
      <c r="F172" s="994" t="n"/>
      <c r="G172" s="994" t="n"/>
      <c r="H172" s="994" t="n"/>
      <c r="I172" s="973" t="n"/>
      <c r="J172" s="973" t="n"/>
      <c r="K172" s="995" t="n"/>
      <c r="L172" s="996" t="n"/>
      <c r="M172" s="987" t="n"/>
      <c r="N172" s="988">
        <f>IFERROR(IF(DATEDIF(TODAY(),M172,"M")&lt;=6,"ROJO",IF(DATEDIF(TODAY(),M172,"M")&gt;=12,"VERDE",IF(AND(DATEDIF(TODAY(),M172,"M")&gt;6,DATEDIF(TODAY(),M172,"M")&lt;=11),"AMARILLO",IF(M172&lt;TODAY(),"VENCIDO",0)))),O172)</f>
        <v/>
      </c>
      <c r="O172" s="989">
        <f>IF(M172=0,"","VENCIDO")</f>
        <v/>
      </c>
      <c r="Q172" s="997" t="n"/>
      <c r="R172" s="994" t="n"/>
      <c r="S172" s="994" t="n"/>
      <c r="T172" s="994" t="n"/>
      <c r="U172" s="994" t="n"/>
      <c r="V172" s="994" t="n"/>
      <c r="W172" s="994" t="n"/>
      <c r="X172" s="994" t="n"/>
      <c r="Y172" s="994" t="n"/>
      <c r="Z172" s="994" t="n"/>
      <c r="AA172" s="994" t="n"/>
      <c r="AB172" s="994" t="n"/>
      <c r="AC172" s="974" t="n"/>
    </row>
    <row r="173" ht="15" customHeight="1">
      <c r="A173" s="993" t="n"/>
      <c r="B173" s="972" t="n"/>
      <c r="C173" s="973" t="n"/>
      <c r="D173" s="994" t="n"/>
      <c r="E173" s="994" t="n"/>
      <c r="F173" s="994" t="n"/>
      <c r="G173" s="994" t="n"/>
      <c r="H173" s="994" t="n"/>
      <c r="I173" s="973" t="n"/>
      <c r="J173" s="973" t="n"/>
      <c r="K173" s="995" t="n"/>
      <c r="L173" s="996" t="n"/>
      <c r="M173" s="987" t="n"/>
      <c r="N173" s="988">
        <f>IFERROR(IF(DATEDIF(TODAY(),M173,"M")&lt;=6,"ROJO",IF(DATEDIF(TODAY(),M173,"M")&gt;=12,"VERDE",IF(AND(DATEDIF(TODAY(),M173,"M")&gt;6,DATEDIF(TODAY(),M173,"M")&lt;=11),"AMARILLO",IF(M173&lt;TODAY(),"VENCIDO",0)))),O173)</f>
        <v/>
      </c>
      <c r="O173" s="989">
        <f>IF(M173=0,"","VENCIDO")</f>
        <v/>
      </c>
      <c r="Q173" s="997" t="n"/>
      <c r="R173" s="994" t="n"/>
      <c r="S173" s="994" t="n"/>
      <c r="T173" s="994" t="n"/>
      <c r="U173" s="994" t="n"/>
      <c r="V173" s="994" t="n"/>
      <c r="W173" s="994" t="n"/>
      <c r="X173" s="994" t="n"/>
      <c r="Y173" s="994" t="n"/>
      <c r="Z173" s="994" t="n"/>
      <c r="AA173" s="994" t="n"/>
      <c r="AB173" s="994" t="n"/>
      <c r="AC173" s="974" t="n"/>
    </row>
    <row r="174" ht="15.75" customHeight="1" thickBot="1">
      <c r="A174" s="993" t="n"/>
      <c r="B174" s="972" t="n"/>
      <c r="C174" s="975" t="n"/>
      <c r="D174" s="998" t="n"/>
      <c r="E174" s="998" t="n"/>
      <c r="F174" s="998" t="n"/>
      <c r="G174" s="998" t="n"/>
      <c r="H174" s="998" t="n"/>
      <c r="I174" s="975" t="n"/>
      <c r="J174" s="975" t="n"/>
      <c r="K174" s="1000" t="n"/>
      <c r="L174" s="1001" t="n"/>
      <c r="M174" s="987" t="n"/>
      <c r="N174" s="988">
        <f>IFERROR(IF(DATEDIF(TODAY(),M174,"M")&lt;=6,"ROJO",IF(DATEDIF(TODAY(),M174,"M")&gt;=12,"VERDE",IF(AND(DATEDIF(TODAY(),M174,"M")&gt;6,DATEDIF(TODAY(),M174,"M")&lt;=11),"AMARILLO",IF(M174&lt;TODAY(),"VENCIDO",0)))),O174)</f>
        <v/>
      </c>
      <c r="O174" s="989">
        <f>IF(M174=0,"","VENCIDO")</f>
        <v/>
      </c>
      <c r="Q174" s="1002" t="n"/>
      <c r="R174" s="998" t="n"/>
      <c r="S174" s="998" t="n"/>
      <c r="T174" s="998" t="n"/>
      <c r="U174" s="998" t="n"/>
      <c r="V174" s="998" t="n"/>
      <c r="W174" s="998" t="n"/>
      <c r="X174" s="998" t="n"/>
      <c r="Y174" s="998" t="n"/>
      <c r="Z174" s="998" t="n"/>
      <c r="AA174" s="998" t="n"/>
      <c r="AB174" s="998" t="n"/>
      <c r="AC174" s="1003" t="n"/>
      <c r="AE174" s="2">
        <f>IFERROR(AA172*100/(W172+AA172),0)</f>
        <v/>
      </c>
    </row>
    <row r="175" ht="14.4" customHeight="1" thickBot="1">
      <c r="A175" s="1004" t="n"/>
      <c r="B175" s="1005" t="n"/>
      <c r="C175" s="1021" t="n"/>
      <c r="D175" s="1022" t="n"/>
      <c r="E175" s="1022" t="n"/>
      <c r="F175" s="1023" t="n"/>
      <c r="G175" s="1023" t="n"/>
      <c r="H175" s="1023" t="n"/>
      <c r="I175" s="1024" t="n"/>
      <c r="J175" s="1010">
        <f>J170=K175</f>
        <v/>
      </c>
      <c r="K175" s="1025">
        <f>SUM(K170:K174)</f>
        <v/>
      </c>
      <c r="L175" s="1015" t="n"/>
      <c r="M175" s="1013" t="n"/>
      <c r="N175" s="1014">
        <f>IFERROR(IF(DATEDIF(TODAY(),M175,"M")&lt;=6,"ROJO",IF(DATEDIF(TODAY(),M175,"M")&gt;=12,"VERDE",IF(AND(DATEDIF(TODAY(),M175,"M")&gt;6,DATEDIF(TODAY(),M175,"M")&lt;=11),"AMARILLO",IF(M175&lt;TODAY(),"VENCIDO",0)))),O175)</f>
        <v/>
      </c>
      <c r="O175" s="989">
        <f>IF(M175=0,"","VENCIDO")</f>
        <v/>
      </c>
      <c r="Q175" s="1015" t="n"/>
      <c r="R175" s="1016" t="n"/>
      <c r="S175" s="1016" t="n"/>
      <c r="T175" s="1016" t="n"/>
      <c r="U175" s="1016" t="n"/>
      <c r="V175" s="1016" t="n"/>
      <c r="W175" s="1016" t="n"/>
      <c r="X175" s="1016" t="n"/>
      <c r="Y175" s="1016" t="n"/>
      <c r="Z175" s="1016" t="n"/>
      <c r="AA175" s="1016" t="n"/>
      <c r="AB175" s="1016" t="n"/>
      <c r="AC175" s="194" t="n"/>
    </row>
    <row r="176" ht="15" customHeight="1">
      <c r="A176" s="979" t="inlineStr">
        <is>
          <t>Antitoxina difterica</t>
        </is>
      </c>
      <c r="B176" s="980" t="n"/>
      <c r="C176" s="981">
        <f>ENERO!K217</f>
        <v/>
      </c>
      <c r="D176" s="982" t="n"/>
      <c r="E176" s="982" t="n"/>
      <c r="F176" s="982" t="n"/>
      <c r="G176" s="982" t="n"/>
      <c r="H176" s="982" t="n"/>
      <c r="I176" s="1026">
        <f>AC176</f>
        <v/>
      </c>
      <c r="J176" s="984">
        <f>+(C176+D176+F176+E176)-(G176+H176+I176)</f>
        <v/>
      </c>
      <c r="K176" s="985" t="n"/>
      <c r="L176" s="986" t="n"/>
      <c r="M176" s="987" t="n"/>
      <c r="N176" s="988">
        <f>IFERROR(IF(DATEDIF(TODAY(),M176,"M")&lt;=6,"ROJO",IF(DATEDIF(TODAY(),M176,"M")&gt;=12,"VERDE",IF(AND(DATEDIF(TODAY(),M176,"M")&gt;6,DATEDIF(TODAY(),M176,"M")&lt;=11),"AMARILLO",IF(M176&lt;TODAY(),"VENCIDO",0)))),O176)</f>
        <v/>
      </c>
      <c r="O176" s="989">
        <f>IF(M176=0,"","VENCIDO")</f>
        <v/>
      </c>
      <c r="Q176" s="990" t="n"/>
      <c r="R176" s="991" t="n"/>
      <c r="S176" s="991" t="n"/>
      <c r="T176" s="991" t="n"/>
      <c r="U176" s="991" t="n"/>
      <c r="V176" s="991" t="n"/>
      <c r="W176" s="991" t="n"/>
      <c r="X176" s="991" t="n"/>
      <c r="Y176" s="991" t="n"/>
      <c r="Z176" s="991" t="n"/>
      <c r="AA176" s="991" t="n"/>
      <c r="AB176" s="991" t="n"/>
      <c r="AC176" s="992">
        <f>SUM(Q176:AB180)</f>
        <v/>
      </c>
      <c r="AH176" s="2">
        <f>+IF(AC176&lt;&gt;I176,1,0)</f>
        <v/>
      </c>
    </row>
    <row r="177" ht="15" customHeight="1">
      <c r="A177" s="993" t="n"/>
      <c r="B177" s="972" t="n"/>
      <c r="C177" s="973" t="n"/>
      <c r="D177" s="994" t="n"/>
      <c r="E177" s="994" t="n"/>
      <c r="F177" s="994" t="n"/>
      <c r="G177" s="994" t="n"/>
      <c r="H177" s="994" t="n"/>
      <c r="I177" s="973" t="n"/>
      <c r="J177" s="973" t="n"/>
      <c r="K177" s="995" t="n"/>
      <c r="L177" s="996" t="n"/>
      <c r="M177" s="987" t="n"/>
      <c r="N177" s="988">
        <f>IFERROR(IF(DATEDIF(TODAY(),M177,"M")&lt;=6,"ROJO",IF(DATEDIF(TODAY(),M177,"M")&gt;=12,"VERDE",IF(AND(DATEDIF(TODAY(),M177,"M")&gt;6,DATEDIF(TODAY(),M177,"M")&lt;=11),"AMARILLO",IF(M177&lt;TODAY(),"VENCIDO",0)))),O177)</f>
        <v/>
      </c>
      <c r="O177" s="989">
        <f>IF(M177=0,"","VENCIDO")</f>
        <v/>
      </c>
      <c r="Q177" s="997" t="n"/>
      <c r="R177" s="994" t="n"/>
      <c r="S177" s="994" t="n"/>
      <c r="T177" s="994" t="n"/>
      <c r="U177" s="994" t="n"/>
      <c r="V177" s="994" t="n"/>
      <c r="W177" s="994" t="n"/>
      <c r="X177" s="994" t="n"/>
      <c r="Y177" s="994" t="n"/>
      <c r="Z177" s="994" t="n"/>
      <c r="AA177" s="994" t="n"/>
      <c r="AB177" s="994" t="n"/>
      <c r="AC177" s="974" t="n"/>
    </row>
    <row r="178" ht="15" customHeight="1">
      <c r="A178" s="993" t="n"/>
      <c r="B178" s="972" t="n"/>
      <c r="C178" s="973" t="n"/>
      <c r="D178" s="994" t="n"/>
      <c r="E178" s="994" t="n"/>
      <c r="F178" s="994" t="n"/>
      <c r="G178" s="994" t="n"/>
      <c r="H178" s="994" t="n"/>
      <c r="I178" s="973" t="n"/>
      <c r="J178" s="973" t="n"/>
      <c r="K178" s="995" t="n"/>
      <c r="L178" s="996" t="n"/>
      <c r="M178" s="987" t="n"/>
      <c r="N178" s="988">
        <f>IFERROR(IF(DATEDIF(TODAY(),M178,"M")&lt;=6,"ROJO",IF(DATEDIF(TODAY(),M178,"M")&gt;=12,"VERDE",IF(AND(DATEDIF(TODAY(),M178,"M")&gt;6,DATEDIF(TODAY(),M178,"M")&lt;=11),"AMARILLO",IF(M178&lt;TODAY(),"VENCIDO",0)))),O178)</f>
        <v/>
      </c>
      <c r="O178" s="989">
        <f>IF(M178=0,"","VENCIDO")</f>
        <v/>
      </c>
      <c r="Q178" s="997" t="n"/>
      <c r="R178" s="994" t="n"/>
      <c r="S178" s="994" t="n"/>
      <c r="T178" s="994" t="n"/>
      <c r="U178" s="994" t="n"/>
      <c r="V178" s="994" t="n"/>
      <c r="W178" s="994" t="n"/>
      <c r="X178" s="994" t="n"/>
      <c r="Y178" s="994" t="n"/>
      <c r="Z178" s="994" t="n"/>
      <c r="AA178" s="994" t="n"/>
      <c r="AB178" s="994" t="n"/>
      <c r="AC178" s="974" t="n"/>
    </row>
    <row r="179" ht="15" customHeight="1">
      <c r="A179" s="993" t="n"/>
      <c r="B179" s="972" t="n"/>
      <c r="C179" s="973" t="n"/>
      <c r="D179" s="994" t="n"/>
      <c r="E179" s="994" t="n"/>
      <c r="F179" s="994" t="n"/>
      <c r="G179" s="994" t="n"/>
      <c r="H179" s="994" t="n"/>
      <c r="I179" s="973" t="n"/>
      <c r="J179" s="973" t="n"/>
      <c r="K179" s="995" t="n"/>
      <c r="L179" s="996" t="n"/>
      <c r="M179" s="987" t="n"/>
      <c r="N179" s="988">
        <f>IFERROR(IF(DATEDIF(TODAY(),M179,"M")&lt;=6,"ROJO",IF(DATEDIF(TODAY(),M179,"M")&gt;=12,"VERDE",IF(AND(DATEDIF(TODAY(),M179,"M")&gt;6,DATEDIF(TODAY(),M179,"M")&lt;=11),"AMARILLO",IF(M179&lt;TODAY(),"VENCIDO",0)))),O179)</f>
        <v/>
      </c>
      <c r="O179" s="989">
        <f>IF(M179=0,"","VENCIDO")</f>
        <v/>
      </c>
      <c r="Q179" s="997" t="n"/>
      <c r="R179" s="994" t="n"/>
      <c r="S179" s="994" t="n"/>
      <c r="T179" s="994" t="n"/>
      <c r="U179" s="994" t="n"/>
      <c r="V179" s="994" t="n"/>
      <c r="W179" s="994" t="n"/>
      <c r="X179" s="994" t="n"/>
      <c r="Y179" s="994" t="n"/>
      <c r="Z179" s="994" t="n"/>
      <c r="AA179" s="994" t="n"/>
      <c r="AB179" s="994" t="n"/>
      <c r="AC179" s="974" t="n"/>
    </row>
    <row r="180" ht="15.75" customHeight="1" thickBot="1">
      <c r="A180" s="993" t="n"/>
      <c r="B180" s="972" t="n"/>
      <c r="C180" s="975" t="n"/>
      <c r="D180" s="998" t="n"/>
      <c r="E180" s="998" t="n"/>
      <c r="F180" s="998" t="n"/>
      <c r="G180" s="998" t="n"/>
      <c r="H180" s="998" t="n"/>
      <c r="I180" s="975" t="n"/>
      <c r="J180" s="975" t="n"/>
      <c r="K180" s="1000" t="n"/>
      <c r="L180" s="1001" t="n"/>
      <c r="M180" s="987" t="n"/>
      <c r="N180" s="988">
        <f>IFERROR(IF(DATEDIF(TODAY(),M180,"M")&lt;=6,"ROJO",IF(DATEDIF(TODAY(),M180,"M")&gt;=12,"VERDE",IF(AND(DATEDIF(TODAY(),M180,"M")&gt;6,DATEDIF(TODAY(),M180,"M")&lt;=11),"AMARILLO",IF(M180&lt;TODAY(),"VENCIDO",0)))),O180)</f>
        <v/>
      </c>
      <c r="O180" s="989">
        <f>IF(M180=0,"","VENCIDO")</f>
        <v/>
      </c>
      <c r="Q180" s="1002" t="n"/>
      <c r="R180" s="998" t="n"/>
      <c r="S180" s="998" t="n"/>
      <c r="T180" s="998" t="n"/>
      <c r="U180" s="998" t="n"/>
      <c r="V180" s="998" t="n"/>
      <c r="W180" s="998" t="n"/>
      <c r="X180" s="998" t="n"/>
      <c r="Y180" s="998" t="n"/>
      <c r="Z180" s="998" t="n"/>
      <c r="AA180" s="998" t="n"/>
      <c r="AB180" s="998" t="n"/>
      <c r="AC180" s="1003" t="n"/>
      <c r="AE180" s="2">
        <f>IFERROR(AA178*100/(W178+AA178),0)</f>
        <v/>
      </c>
    </row>
    <row r="181" ht="14.4" customHeight="1" thickBot="1">
      <c r="A181" s="1004" t="n"/>
      <c r="B181" s="1005" t="n"/>
      <c r="C181" s="1021" t="n"/>
      <c r="D181" s="1022" t="n"/>
      <c r="E181" s="1022" t="n"/>
      <c r="F181" s="1023" t="n"/>
      <c r="G181" s="1023" t="n"/>
      <c r="H181" s="1023" t="n"/>
      <c r="I181" s="1024" t="n"/>
      <c r="J181" s="1010">
        <f>J176=K181</f>
        <v/>
      </c>
      <c r="K181" s="1025">
        <f>SUM(K176:K180)</f>
        <v/>
      </c>
      <c r="L181" s="1015" t="n"/>
      <c r="M181" s="1013" t="n"/>
      <c r="N181" s="1014">
        <f>IFERROR(IF(DATEDIF(TODAY(),M181,"M")&lt;=6,"ROJO",IF(DATEDIF(TODAY(),M181,"M")&gt;=12,"VERDE",IF(AND(DATEDIF(TODAY(),M181,"M")&gt;6,DATEDIF(TODAY(),M181,"M")&lt;=11),"AMARILLO",IF(M181&lt;TODAY(),"VENCIDO",0)))),O181)</f>
        <v/>
      </c>
      <c r="O181" s="989">
        <f>IF(M181=0,"","VENCIDO")</f>
        <v/>
      </c>
      <c r="Q181" s="1015" t="n"/>
      <c r="R181" s="1016" t="n"/>
      <c r="S181" s="1016" t="n"/>
      <c r="T181" s="1016" t="n"/>
      <c r="U181" s="1016" t="n"/>
      <c r="V181" s="1016" t="n"/>
      <c r="W181" s="1016" t="n"/>
      <c r="X181" s="1016" t="n"/>
      <c r="Y181" s="1016" t="n"/>
      <c r="Z181" s="1016" t="n"/>
      <c r="AA181" s="1016" t="n"/>
      <c r="AB181" s="1016" t="n"/>
      <c r="AC181" s="194" t="n"/>
    </row>
    <row r="182" ht="15" customHeight="1">
      <c r="A182" s="979" t="inlineStr">
        <is>
          <t>Meningococo</t>
        </is>
      </c>
      <c r="B182" s="980" t="n"/>
      <c r="C182" s="981">
        <f>ENERO!K223</f>
        <v/>
      </c>
      <c r="D182" s="982" t="n"/>
      <c r="E182" s="982" t="n"/>
      <c r="F182" s="982" t="n"/>
      <c r="G182" s="982" t="n"/>
      <c r="H182" s="982" t="n"/>
      <c r="I182" s="1026">
        <f>AC182</f>
        <v/>
      </c>
      <c r="J182" s="984">
        <f>+(C182+D182+F182+E182)-(G182+H182+I182)</f>
        <v/>
      </c>
      <c r="K182" s="985" t="n"/>
      <c r="L182" s="986" t="n"/>
      <c r="M182" s="987" t="n"/>
      <c r="N182" s="988">
        <f>IFERROR(IF(DATEDIF(TODAY(),M182,"M")&lt;=6,"ROJO",IF(DATEDIF(TODAY(),M182,"M")&gt;=12,"VERDE",IF(AND(DATEDIF(TODAY(),M182,"M")&gt;6,DATEDIF(TODAY(),M182,"M")&lt;=11),"AMARILLO",IF(M182&lt;TODAY(),"VENCIDO",0)))),O182)</f>
        <v/>
      </c>
      <c r="O182" s="989">
        <f>IF(M182=0,"","VENCIDO")</f>
        <v/>
      </c>
      <c r="Q182" s="990" t="n"/>
      <c r="R182" s="991" t="n"/>
      <c r="S182" s="991" t="n"/>
      <c r="T182" s="991" t="n"/>
      <c r="U182" s="991" t="n"/>
      <c r="V182" s="991" t="n"/>
      <c r="W182" s="991" t="n"/>
      <c r="X182" s="991" t="n"/>
      <c r="Y182" s="991" t="n"/>
      <c r="Z182" s="991" t="n"/>
      <c r="AA182" s="991" t="n"/>
      <c r="AB182" s="991" t="n"/>
      <c r="AC182" s="992">
        <f>SUM(Q182:AB186)</f>
        <v/>
      </c>
      <c r="AH182" s="2">
        <f>+IF(AC182&lt;&gt;I182,1,0)</f>
        <v/>
      </c>
    </row>
    <row r="183" ht="15" customHeight="1">
      <c r="A183" s="993" t="n"/>
      <c r="B183" s="972" t="n"/>
      <c r="C183" s="973" t="n"/>
      <c r="D183" s="994" t="n"/>
      <c r="E183" s="994" t="n"/>
      <c r="F183" s="994" t="n"/>
      <c r="G183" s="994" t="n"/>
      <c r="H183" s="994" t="n"/>
      <c r="I183" s="973" t="n"/>
      <c r="J183" s="973" t="n"/>
      <c r="K183" s="995" t="n"/>
      <c r="L183" s="996" t="n"/>
      <c r="M183" s="987" t="n"/>
      <c r="N183" s="988">
        <f>IFERROR(IF(DATEDIF(TODAY(),M183,"M")&lt;=6,"ROJO",IF(DATEDIF(TODAY(),M183,"M")&gt;=12,"VERDE",IF(AND(DATEDIF(TODAY(),M183,"M")&gt;6,DATEDIF(TODAY(),M183,"M")&lt;=11),"AMARILLO",IF(M183&lt;TODAY(),"VENCIDO",0)))),O183)</f>
        <v/>
      </c>
      <c r="O183" s="989">
        <f>IF(M183=0,"","VENCIDO")</f>
        <v/>
      </c>
      <c r="Q183" s="997" t="n"/>
      <c r="R183" s="994" t="n"/>
      <c r="S183" s="994" t="n"/>
      <c r="T183" s="994" t="n"/>
      <c r="U183" s="994" t="n"/>
      <c r="V183" s="994" t="n"/>
      <c r="W183" s="994" t="n"/>
      <c r="X183" s="994" t="n"/>
      <c r="Y183" s="994" t="n"/>
      <c r="Z183" s="994" t="n"/>
      <c r="AA183" s="994" t="n"/>
      <c r="AB183" s="994" t="n"/>
      <c r="AC183" s="974" t="n"/>
    </row>
    <row r="184" ht="15" customHeight="1">
      <c r="A184" s="993" t="n"/>
      <c r="B184" s="972" t="n"/>
      <c r="C184" s="973" t="n"/>
      <c r="D184" s="994" t="n"/>
      <c r="E184" s="994" t="n"/>
      <c r="F184" s="994" t="n"/>
      <c r="G184" s="994" t="n"/>
      <c r="H184" s="994" t="n"/>
      <c r="I184" s="973" t="n"/>
      <c r="J184" s="973" t="n"/>
      <c r="K184" s="995" t="n"/>
      <c r="L184" s="996" t="n"/>
      <c r="M184" s="987" t="n"/>
      <c r="N184" s="988">
        <f>IFERROR(IF(DATEDIF(TODAY(),M184,"M")&lt;=6,"ROJO",IF(DATEDIF(TODAY(),M184,"M")&gt;=12,"VERDE",IF(AND(DATEDIF(TODAY(),M184,"M")&gt;6,DATEDIF(TODAY(),M184,"M")&lt;=11),"AMARILLO",IF(M184&lt;TODAY(),"VENCIDO",0)))),O184)</f>
        <v/>
      </c>
      <c r="O184" s="989">
        <f>IF(M184=0,"","VENCIDO")</f>
        <v/>
      </c>
      <c r="Q184" s="997" t="n"/>
      <c r="R184" s="994" t="n"/>
      <c r="S184" s="994" t="n"/>
      <c r="T184" s="994" t="n"/>
      <c r="U184" s="994" t="n"/>
      <c r="V184" s="994" t="n"/>
      <c r="W184" s="994" t="n"/>
      <c r="X184" s="994" t="n"/>
      <c r="Y184" s="994" t="n"/>
      <c r="Z184" s="994" t="n"/>
      <c r="AA184" s="994" t="n"/>
      <c r="AB184" s="994" t="n"/>
      <c r="AC184" s="974" t="n"/>
    </row>
    <row r="185" ht="15" customHeight="1">
      <c r="A185" s="993" t="n"/>
      <c r="B185" s="972" t="n"/>
      <c r="C185" s="973" t="n"/>
      <c r="D185" s="994" t="n"/>
      <c r="E185" s="994" t="n"/>
      <c r="F185" s="994" t="n"/>
      <c r="G185" s="994" t="n"/>
      <c r="H185" s="994" t="n"/>
      <c r="I185" s="973" t="n"/>
      <c r="J185" s="973" t="n"/>
      <c r="K185" s="995" t="n"/>
      <c r="L185" s="996" t="n"/>
      <c r="M185" s="987" t="n"/>
      <c r="N185" s="988">
        <f>IFERROR(IF(DATEDIF(TODAY(),M185,"M")&lt;=6,"ROJO",IF(DATEDIF(TODAY(),M185,"M")&gt;=12,"VERDE",IF(AND(DATEDIF(TODAY(),M185,"M")&gt;6,DATEDIF(TODAY(),M185,"M")&lt;=11),"AMARILLO",IF(M185&lt;TODAY(),"VENCIDO",0)))),O185)</f>
        <v/>
      </c>
      <c r="O185" s="989">
        <f>IF(M185=0,"","VENCIDO")</f>
        <v/>
      </c>
      <c r="Q185" s="997" t="n"/>
      <c r="R185" s="994" t="n"/>
      <c r="S185" s="994" t="n"/>
      <c r="T185" s="994" t="n"/>
      <c r="U185" s="994" t="n"/>
      <c r="V185" s="994" t="n"/>
      <c r="W185" s="994" t="n"/>
      <c r="X185" s="994" t="n"/>
      <c r="Y185" s="994" t="n"/>
      <c r="Z185" s="994" t="n"/>
      <c r="AA185" s="994" t="n"/>
      <c r="AB185" s="994" t="n"/>
      <c r="AC185" s="974" t="n"/>
      <c r="AE185" s="2">
        <f>IFERROR(AA183*100/(W183+AA183),0)</f>
        <v/>
      </c>
    </row>
    <row r="186" ht="15.75" customHeight="1" thickBot="1">
      <c r="A186" s="993" t="n"/>
      <c r="B186" s="972" t="n"/>
      <c r="C186" s="975" t="n"/>
      <c r="D186" s="998" t="n"/>
      <c r="E186" s="998" t="n"/>
      <c r="F186" s="998" t="n"/>
      <c r="G186" s="998" t="n"/>
      <c r="H186" s="998" t="n"/>
      <c r="I186" s="975" t="n"/>
      <c r="J186" s="975" t="n"/>
      <c r="K186" s="1000" t="n"/>
      <c r="L186" s="1001" t="n"/>
      <c r="M186" s="987" t="n"/>
      <c r="N186" s="988">
        <f>IFERROR(IF(DATEDIF(TODAY(),M186,"M")&lt;=6,"ROJO",IF(DATEDIF(TODAY(),M186,"M")&gt;=12,"VERDE",IF(AND(DATEDIF(TODAY(),M186,"M")&gt;6,DATEDIF(TODAY(),M186,"M")&lt;=11),"AMARILLO",IF(M186&lt;TODAY(),"VENCIDO",0)))),O186)</f>
        <v/>
      </c>
      <c r="O186" s="989">
        <f>IF(M186=0,"","VENCIDO")</f>
        <v/>
      </c>
      <c r="Q186" s="1002" t="n"/>
      <c r="R186" s="998" t="n"/>
      <c r="S186" s="998" t="n"/>
      <c r="T186" s="998" t="n"/>
      <c r="U186" s="998" t="n"/>
      <c r="V186" s="998" t="n"/>
      <c r="W186" s="998" t="n"/>
      <c r="X186" s="998" t="n"/>
      <c r="Y186" s="998" t="n"/>
      <c r="Z186" s="998" t="n"/>
      <c r="AA186" s="998" t="n"/>
      <c r="AB186" s="998" t="n"/>
      <c r="AC186" s="1003" t="n"/>
    </row>
    <row r="187" ht="14.4" customHeight="1" thickBot="1">
      <c r="A187" s="1004" t="n"/>
      <c r="B187" s="1005" t="n"/>
      <c r="C187" s="1021" t="n"/>
      <c r="D187" s="1022" t="n"/>
      <c r="E187" s="1022" t="n"/>
      <c r="F187" s="1023" t="n"/>
      <c r="G187" s="1023" t="n"/>
      <c r="H187" s="1023" t="n"/>
      <c r="I187" s="1024" t="n"/>
      <c r="J187" s="1010">
        <f>J182=K187</f>
        <v/>
      </c>
      <c r="K187" s="1025">
        <f>SUM(K182:K186)</f>
        <v/>
      </c>
      <c r="L187" s="1015" t="n"/>
      <c r="M187" s="1013" t="n"/>
      <c r="N187" s="1014">
        <f>IFERROR(IF(DATEDIF(TODAY(),M187,"M")&lt;=6,"ROJO",IF(DATEDIF(TODAY(),M187,"M")&gt;=12,"VERDE",IF(AND(DATEDIF(TODAY(),M187,"M")&gt;6,DATEDIF(TODAY(),M187,"M")&lt;=11),"AMARILLO",IF(M187&lt;TODAY(),"VENCIDO",0)))),O187)</f>
        <v/>
      </c>
      <c r="O187" s="989">
        <f>IF(M187=0,"","VENCIDO")</f>
        <v/>
      </c>
      <c r="Q187" s="1015" t="n"/>
      <c r="R187" s="1016" t="n"/>
      <c r="S187" s="1016" t="n"/>
      <c r="T187" s="1016" t="n"/>
      <c r="U187" s="1016" t="n"/>
      <c r="V187" s="1016" t="n"/>
      <c r="W187" s="1016" t="n"/>
      <c r="X187" s="1016" t="n"/>
      <c r="Y187" s="1016" t="n"/>
      <c r="Z187" s="1016" t="n"/>
      <c r="AA187" s="1016" t="n"/>
      <c r="AB187" s="1016" t="n"/>
      <c r="AC187" s="194" t="n"/>
    </row>
    <row r="188" ht="36" customHeight="1" thickBot="1">
      <c r="A188" s="827" t="inlineStr">
        <is>
          <t>DILUYENTES</t>
        </is>
      </c>
      <c r="B188" s="978" t="n"/>
      <c r="C188" s="1027" t="n"/>
      <c r="D188" s="1027" t="n"/>
      <c r="E188" s="1027" t="n"/>
      <c r="F188" s="1027" t="n"/>
      <c r="G188" s="1027" t="n"/>
      <c r="H188" s="1027" t="n"/>
      <c r="I188" s="1028" t="n"/>
      <c r="J188" s="1028" t="n"/>
      <c r="K188" s="1028" t="n"/>
      <c r="L188" s="1028" t="n"/>
      <c r="M188" s="1029" t="n"/>
      <c r="N188" s="1029">
        <f>IFERROR(IF(DATEDIF(TODAY(),M188,"M")&lt;=6,"ROJO",IF(DATEDIF(TODAY(),M188,"M")&gt;=12,"VERDE",IF(AND(DATEDIF(TODAY(),M188,"M")&gt;6,DATEDIF(TODAY(),M188,"M")&lt;=11),"AMARILLO",IF(M188&lt;TODAY(),"VENCIDO",0)))),O188)</f>
        <v/>
      </c>
      <c r="O188" s="989">
        <f>IF(M188=0,"","VENCIDO")</f>
        <v/>
      </c>
      <c r="Q188" s="1015" t="n"/>
      <c r="R188" s="1016" t="n"/>
      <c r="S188" s="1016" t="n"/>
      <c r="T188" s="1016" t="n"/>
      <c r="U188" s="1016" t="n"/>
      <c r="V188" s="1016" t="n"/>
      <c r="W188" s="1016" t="n"/>
      <c r="X188" s="1016" t="n"/>
      <c r="Y188" s="1016" t="n"/>
      <c r="Z188" s="1016" t="n"/>
      <c r="AA188" s="1016" t="n"/>
      <c r="AB188" s="1016" t="n"/>
      <c r="AC188" s="194" t="n"/>
    </row>
    <row r="189" ht="15" customHeight="1">
      <c r="A189" s="979" t="inlineStr">
        <is>
          <t>BCG (diluyente)</t>
        </is>
      </c>
      <c r="B189" s="980" t="n"/>
      <c r="C189" s="981">
        <f>ENERO!K230</f>
        <v/>
      </c>
      <c r="D189" s="982" t="n"/>
      <c r="E189" s="982" t="n"/>
      <c r="F189" s="982" t="n"/>
      <c r="G189" s="982" t="n"/>
      <c r="H189" s="982" t="n"/>
      <c r="I189" s="1026">
        <f>AC189</f>
        <v/>
      </c>
      <c r="J189" s="984">
        <f>+(C189+D189+F189+E189)-(G189+H189+I189)</f>
        <v/>
      </c>
      <c r="K189" s="985" t="n"/>
      <c r="L189" s="986" t="n"/>
      <c r="M189" s="987" t="n"/>
      <c r="N189" s="988">
        <f>IFERROR(IF(DATEDIF(TODAY(),M189,"M")&lt;=6,"ROJO",IF(DATEDIF(TODAY(),M189,"M")&gt;=12,"VERDE",IF(AND(DATEDIF(TODAY(),M189,"M")&gt;6,DATEDIF(TODAY(),M189,"M")&lt;=11),"AMARILLO",IF(M189&lt;TODAY(),"VENCIDO",0)))),O189)</f>
        <v/>
      </c>
      <c r="O189" s="989">
        <f>IF(M189=0,"","VENCIDO")</f>
        <v/>
      </c>
      <c r="Q189" s="990" t="n"/>
      <c r="R189" s="991" t="n"/>
      <c r="S189" s="991" t="n"/>
      <c r="T189" s="991" t="n"/>
      <c r="U189" s="991" t="n"/>
      <c r="V189" s="991" t="n"/>
      <c r="W189" s="991" t="n"/>
      <c r="X189" s="991" t="n"/>
      <c r="Y189" s="991" t="n"/>
      <c r="Z189" s="991" t="n"/>
      <c r="AA189" s="991" t="n"/>
      <c r="AB189" s="991" t="n"/>
      <c r="AC189" s="992">
        <f>SUM(Q189:AB193)</f>
        <v/>
      </c>
      <c r="AH189" s="2">
        <f>+IF(AC189&lt;&gt;I189,1,0)</f>
        <v/>
      </c>
    </row>
    <row r="190" ht="15" customHeight="1">
      <c r="A190" s="993" t="n"/>
      <c r="B190" s="972" t="n"/>
      <c r="C190" s="973" t="n"/>
      <c r="D190" s="994" t="n"/>
      <c r="E190" s="994" t="n"/>
      <c r="F190" s="994" t="n"/>
      <c r="G190" s="994" t="n"/>
      <c r="H190" s="994" t="n"/>
      <c r="I190" s="973" t="n"/>
      <c r="J190" s="973" t="n"/>
      <c r="K190" s="995" t="n"/>
      <c r="L190" s="996" t="n"/>
      <c r="M190" s="987" t="n"/>
      <c r="N190" s="988">
        <f>IFERROR(IF(DATEDIF(TODAY(),M190,"M")&lt;=6,"ROJO",IF(DATEDIF(TODAY(),M190,"M")&gt;=12,"VERDE",IF(AND(DATEDIF(TODAY(),M190,"M")&gt;6,DATEDIF(TODAY(),M190,"M")&lt;=11),"AMARILLO",IF(M190&lt;TODAY(),"VENCIDO",0)))),O190)</f>
        <v/>
      </c>
      <c r="O190" s="989">
        <f>IF(M190=0,"","VENCIDO")</f>
        <v/>
      </c>
      <c r="Q190" s="997" t="n"/>
      <c r="R190" s="994" t="n"/>
      <c r="S190" s="994" t="n"/>
      <c r="T190" s="994" t="n"/>
      <c r="U190" s="994" t="n"/>
      <c r="V190" s="994" t="n"/>
      <c r="W190" s="994" t="n"/>
      <c r="X190" s="994" t="n"/>
      <c r="Y190" s="994" t="n"/>
      <c r="Z190" s="994" t="n"/>
      <c r="AA190" s="994" t="n"/>
      <c r="AB190" s="994" t="n"/>
      <c r="AC190" s="974" t="n"/>
    </row>
    <row r="191" ht="15" customHeight="1">
      <c r="A191" s="993" t="n"/>
      <c r="B191" s="972" t="n"/>
      <c r="C191" s="973" t="n"/>
      <c r="D191" s="994" t="n"/>
      <c r="E191" s="994" t="n"/>
      <c r="F191" s="994" t="n"/>
      <c r="G191" s="994" t="n"/>
      <c r="H191" s="994" t="n"/>
      <c r="I191" s="973" t="n"/>
      <c r="J191" s="973" t="n"/>
      <c r="K191" s="995" t="n"/>
      <c r="L191" s="996" t="n"/>
      <c r="M191" s="987" t="n"/>
      <c r="N191" s="988">
        <f>IFERROR(IF(DATEDIF(TODAY(),M191,"M")&lt;=6,"ROJO",IF(DATEDIF(TODAY(),M191,"M")&gt;=12,"VERDE",IF(AND(DATEDIF(TODAY(),M191,"M")&gt;6,DATEDIF(TODAY(),M191,"M")&lt;=11),"AMARILLO",IF(M191&lt;TODAY(),"VENCIDO",0)))),O191)</f>
        <v/>
      </c>
      <c r="O191" s="989">
        <f>IF(M191=0,"","VENCIDO")</f>
        <v/>
      </c>
      <c r="Q191" s="997" t="n"/>
      <c r="R191" s="994" t="n"/>
      <c r="S191" s="994" t="n"/>
      <c r="T191" s="994" t="n"/>
      <c r="U191" s="994" t="n"/>
      <c r="V191" s="994" t="n"/>
      <c r="W191" s="994" t="n"/>
      <c r="X191" s="994" t="n"/>
      <c r="Y191" s="994" t="n"/>
      <c r="Z191" s="994" t="n"/>
      <c r="AA191" s="994" t="n"/>
      <c r="AB191" s="994" t="n"/>
      <c r="AC191" s="974" t="n"/>
      <c r="AE191" s="2">
        <f>IFERROR(AA189*100/(W189+AA189),0)</f>
        <v/>
      </c>
    </row>
    <row r="192" ht="15" customHeight="1">
      <c r="A192" s="993" t="n"/>
      <c r="B192" s="972" t="n"/>
      <c r="C192" s="973" t="n"/>
      <c r="D192" s="994" t="n"/>
      <c r="E192" s="994" t="n"/>
      <c r="F192" s="994" t="n"/>
      <c r="G192" s="994" t="n"/>
      <c r="H192" s="994" t="n"/>
      <c r="I192" s="973" t="n"/>
      <c r="J192" s="973" t="n"/>
      <c r="K192" s="995" t="n"/>
      <c r="L192" s="996" t="n"/>
      <c r="M192" s="987" t="n"/>
      <c r="N192" s="988">
        <f>IFERROR(IF(DATEDIF(TODAY(),M192,"M")&lt;=6,"ROJO",IF(DATEDIF(TODAY(),M192,"M")&gt;=12,"VERDE",IF(AND(DATEDIF(TODAY(),M192,"M")&gt;6,DATEDIF(TODAY(),M192,"M")&lt;=11),"AMARILLO",IF(M192&lt;TODAY(),"VENCIDO",0)))),O192)</f>
        <v/>
      </c>
      <c r="O192" s="989">
        <f>IF(M192=0,"","VENCIDO")</f>
        <v/>
      </c>
      <c r="Q192" s="997" t="n"/>
      <c r="R192" s="994" t="n"/>
      <c r="S192" s="994" t="n"/>
      <c r="T192" s="994" t="n"/>
      <c r="U192" s="994" t="n"/>
      <c r="V192" s="994" t="n"/>
      <c r="W192" s="994" t="n"/>
      <c r="X192" s="994" t="n"/>
      <c r="Y192" s="994" t="n"/>
      <c r="Z192" s="994" t="n"/>
      <c r="AA192" s="994" t="n"/>
      <c r="AB192" s="994" t="n"/>
      <c r="AC192" s="974" t="n"/>
    </row>
    <row r="193" ht="15.75" customHeight="1" thickBot="1">
      <c r="A193" s="993" t="n"/>
      <c r="B193" s="972" t="n"/>
      <c r="C193" s="975" t="n"/>
      <c r="D193" s="998" t="n"/>
      <c r="E193" s="998" t="n"/>
      <c r="F193" s="998" t="n"/>
      <c r="G193" s="998" t="n"/>
      <c r="H193" s="998" t="n"/>
      <c r="I193" s="975" t="n"/>
      <c r="J193" s="975" t="n"/>
      <c r="K193" s="1000" t="n"/>
      <c r="L193" s="1001" t="n"/>
      <c r="M193" s="987" t="n"/>
      <c r="N193" s="988">
        <f>IFERROR(IF(DATEDIF(TODAY(),M193,"M")&lt;=6,"ROJO",IF(DATEDIF(TODAY(),M193,"M")&gt;=12,"VERDE",IF(AND(DATEDIF(TODAY(),M193,"M")&gt;6,DATEDIF(TODAY(),M193,"M")&lt;=11),"AMARILLO",IF(M193&lt;TODAY(),"VENCIDO",0)))),O193)</f>
        <v/>
      </c>
      <c r="O193" s="989">
        <f>IF(M193=0,"","VENCIDO")</f>
        <v/>
      </c>
      <c r="Q193" s="1002" t="n"/>
      <c r="R193" s="998" t="n"/>
      <c r="S193" s="998" t="n"/>
      <c r="T193" s="998" t="n"/>
      <c r="U193" s="998" t="n"/>
      <c r="V193" s="998" t="n"/>
      <c r="W193" s="998" t="n"/>
      <c r="X193" s="998" t="n"/>
      <c r="Y193" s="998" t="n"/>
      <c r="Z193" s="998" t="n"/>
      <c r="AA193" s="998" t="n"/>
      <c r="AB193" s="998" t="n"/>
      <c r="AC193" s="1003" t="n"/>
    </row>
    <row r="194" ht="14.4" customHeight="1" thickBot="1">
      <c r="A194" s="1004" t="n"/>
      <c r="B194" s="1005" t="n"/>
      <c r="C194" s="1021" t="n"/>
      <c r="D194" s="1022" t="n"/>
      <c r="E194" s="1022" t="n"/>
      <c r="F194" s="1023" t="n"/>
      <c r="G194" s="1023" t="n"/>
      <c r="H194" s="1023" t="n"/>
      <c r="I194" s="1024" t="n"/>
      <c r="J194" s="1010">
        <f>J189=K194</f>
        <v/>
      </c>
      <c r="K194" s="1025">
        <f>SUM(K189:K193)</f>
        <v/>
      </c>
      <c r="L194" s="1015" t="n"/>
      <c r="M194" s="1013" t="n"/>
      <c r="N194" s="1014">
        <f>IFERROR(IF(DATEDIF(TODAY(),M194,"M")&lt;=6,"ROJO",IF(DATEDIF(TODAY(),M194,"M")&gt;=12,"VERDE",IF(AND(DATEDIF(TODAY(),M194,"M")&gt;6,DATEDIF(TODAY(),M194,"M")&lt;=11),"AMARILLO",IF(M194&lt;TODAY(),"VENCIDO",0)))),O194)</f>
        <v/>
      </c>
      <c r="O194" s="989">
        <f>IF(M194=0,"","VENCIDO")</f>
        <v/>
      </c>
      <c r="Q194" s="1015" t="n"/>
      <c r="R194" s="1016" t="n"/>
      <c r="S194" s="1016" t="n"/>
      <c r="T194" s="1016" t="n"/>
      <c r="U194" s="1016" t="n"/>
      <c r="V194" s="1016" t="n"/>
      <c r="W194" s="1016" t="n"/>
      <c r="X194" s="1016" t="n"/>
      <c r="Y194" s="1016" t="n"/>
      <c r="Z194" s="1016" t="n"/>
      <c r="AA194" s="1016" t="n"/>
      <c r="AB194" s="1016" t="n"/>
      <c r="AC194" s="194" t="n"/>
    </row>
    <row r="195" ht="14.25" customHeight="1">
      <c r="A195" s="979" t="inlineStr">
        <is>
          <t>Triple viral - SRP (diluyente)</t>
        </is>
      </c>
      <c r="B195" s="980" t="n"/>
      <c r="C195" s="981">
        <f>ENERO!K236</f>
        <v/>
      </c>
      <c r="D195" s="982" t="n"/>
      <c r="E195" s="982" t="n"/>
      <c r="F195" s="982" t="n"/>
      <c r="G195" s="982" t="n"/>
      <c r="H195" s="982" t="n"/>
      <c r="I195" s="1026">
        <f>AC195</f>
        <v/>
      </c>
      <c r="J195" s="984">
        <f>+(C195+D195+F195+E195)-(G195+H195+I195)</f>
        <v/>
      </c>
      <c r="K195" s="985" t="n"/>
      <c r="L195" s="986" t="n"/>
      <c r="M195" s="987" t="n"/>
      <c r="N195" s="988">
        <f>IFERROR(IF(DATEDIF(TODAY(),M195,"M")&lt;=6,"ROJO",IF(DATEDIF(TODAY(),M195,"M")&gt;=12,"VERDE",IF(AND(DATEDIF(TODAY(),M195,"M")&gt;6,DATEDIF(TODAY(),M195,"M")&lt;=11),"AMARILLO",IF(M195&lt;TODAY(),"VENCIDO",0)))),O195)</f>
        <v/>
      </c>
      <c r="O195" s="989">
        <f>IF(M195=0,"","VENCIDO")</f>
        <v/>
      </c>
      <c r="Q195" s="990" t="n"/>
      <c r="R195" s="991" t="n"/>
      <c r="S195" s="991" t="n"/>
      <c r="T195" s="991" t="n"/>
      <c r="U195" s="991" t="n"/>
      <c r="V195" s="991" t="n"/>
      <c r="W195" s="991" t="n"/>
      <c r="X195" s="991" t="n"/>
      <c r="Y195" s="991" t="n"/>
      <c r="Z195" s="991" t="n"/>
      <c r="AA195" s="991" t="n"/>
      <c r="AB195" s="991" t="n"/>
      <c r="AC195" s="992">
        <f>SUM(Q195:AB199)</f>
        <v/>
      </c>
      <c r="AH195" s="2">
        <f>+IF(AC195&lt;&gt;I195,1,0)</f>
        <v/>
      </c>
    </row>
    <row r="196" ht="14.25" customHeight="1">
      <c r="A196" s="993" t="n"/>
      <c r="B196" s="972" t="n"/>
      <c r="C196" s="973" t="n"/>
      <c r="D196" s="994" t="n"/>
      <c r="E196" s="994" t="n"/>
      <c r="F196" s="994" t="n"/>
      <c r="G196" s="994" t="n"/>
      <c r="H196" s="994" t="n"/>
      <c r="I196" s="973" t="n"/>
      <c r="J196" s="973" t="n"/>
      <c r="K196" s="995" t="n"/>
      <c r="L196" s="996" t="n"/>
      <c r="M196" s="987" t="n"/>
      <c r="N196" s="988">
        <f>IFERROR(IF(DATEDIF(TODAY(),M196,"M")&lt;=6,"ROJO",IF(DATEDIF(TODAY(),M196,"M")&gt;=12,"VERDE",IF(AND(DATEDIF(TODAY(),M196,"M")&gt;6,DATEDIF(TODAY(),M196,"M")&lt;=11),"AMARILLO",IF(M196&lt;TODAY(),"VENCIDO",0)))),O196)</f>
        <v/>
      </c>
      <c r="O196" s="989">
        <f>IF(M196=0,"","VENCIDO")</f>
        <v/>
      </c>
      <c r="Q196" s="997" t="n"/>
      <c r="R196" s="994" t="n"/>
      <c r="S196" s="994" t="n"/>
      <c r="T196" s="994" t="n"/>
      <c r="U196" s="994" t="n"/>
      <c r="V196" s="994" t="n"/>
      <c r="W196" s="994" t="n"/>
      <c r="X196" s="994" t="n"/>
      <c r="Y196" s="994" t="n"/>
      <c r="Z196" s="994" t="n"/>
      <c r="AA196" s="994" t="n"/>
      <c r="AB196" s="994" t="n"/>
      <c r="AC196" s="974" t="n"/>
      <c r="AE196" s="2">
        <f>IFERROR(AA194*100/(W194+AA194),0)</f>
        <v/>
      </c>
    </row>
    <row r="197" ht="14.25" customHeight="1">
      <c r="A197" s="993" t="n"/>
      <c r="B197" s="972" t="n"/>
      <c r="C197" s="973" t="n"/>
      <c r="D197" s="994" t="n"/>
      <c r="E197" s="994" t="n"/>
      <c r="F197" s="994" t="n"/>
      <c r="G197" s="994" t="n"/>
      <c r="H197" s="994" t="n"/>
      <c r="I197" s="973" t="n"/>
      <c r="J197" s="973" t="n"/>
      <c r="K197" s="995" t="n"/>
      <c r="L197" s="996" t="n"/>
      <c r="M197" s="987" t="n"/>
      <c r="N197" s="988">
        <f>IFERROR(IF(DATEDIF(TODAY(),M197,"M")&lt;=6,"ROJO",IF(DATEDIF(TODAY(),M197,"M")&gt;=12,"VERDE",IF(AND(DATEDIF(TODAY(),M197,"M")&gt;6,DATEDIF(TODAY(),M197,"M")&lt;=11),"AMARILLO",IF(M197&lt;TODAY(),"VENCIDO",0)))),O197)</f>
        <v/>
      </c>
      <c r="O197" s="989">
        <f>IF(M197=0,"","VENCIDO")</f>
        <v/>
      </c>
      <c r="Q197" s="997" t="n"/>
      <c r="R197" s="994" t="n"/>
      <c r="S197" s="994" t="n"/>
      <c r="T197" s="994" t="n"/>
      <c r="U197" s="994" t="n"/>
      <c r="V197" s="994" t="n"/>
      <c r="W197" s="994" t="n"/>
      <c r="X197" s="994" t="n"/>
      <c r="Y197" s="994" t="n"/>
      <c r="Z197" s="994" t="n"/>
      <c r="AA197" s="994" t="n"/>
      <c r="AB197" s="994" t="n"/>
      <c r="AC197" s="974" t="n"/>
    </row>
    <row r="198" ht="14.25" customHeight="1">
      <c r="A198" s="993" t="n"/>
      <c r="B198" s="972" t="n"/>
      <c r="C198" s="973" t="n"/>
      <c r="D198" s="994" t="n"/>
      <c r="E198" s="994" t="n"/>
      <c r="F198" s="994" t="n"/>
      <c r="G198" s="994" t="n"/>
      <c r="H198" s="994" t="n"/>
      <c r="I198" s="973" t="n"/>
      <c r="J198" s="973" t="n"/>
      <c r="K198" s="995" t="n"/>
      <c r="L198" s="996" t="n"/>
      <c r="M198" s="987" t="n"/>
      <c r="N198" s="988">
        <f>IFERROR(IF(DATEDIF(TODAY(),M198,"M")&lt;=6,"ROJO",IF(DATEDIF(TODAY(),M198,"M")&gt;=12,"VERDE",IF(AND(DATEDIF(TODAY(),M198,"M")&gt;6,DATEDIF(TODAY(),M198,"M")&lt;=11),"AMARILLO",IF(M198&lt;TODAY(),"VENCIDO",0)))),O198)</f>
        <v/>
      </c>
      <c r="O198" s="989">
        <f>IF(M198=0,"","VENCIDO")</f>
        <v/>
      </c>
      <c r="Q198" s="997" t="n"/>
      <c r="R198" s="994" t="n"/>
      <c r="S198" s="994" t="n"/>
      <c r="T198" s="994" t="n"/>
      <c r="U198" s="994" t="n"/>
      <c r="V198" s="994" t="n"/>
      <c r="W198" s="994" t="n"/>
      <c r="X198" s="994" t="n"/>
      <c r="Y198" s="994" t="n"/>
      <c r="Z198" s="994" t="n"/>
      <c r="AA198" s="994" t="n"/>
      <c r="AB198" s="994" t="n"/>
      <c r="AC198" s="974" t="n"/>
    </row>
    <row r="199" ht="15" customHeight="1" thickBot="1">
      <c r="A199" s="993" t="n"/>
      <c r="B199" s="972" t="n"/>
      <c r="C199" s="975" t="n"/>
      <c r="D199" s="998" t="n"/>
      <c r="E199" s="998" t="n"/>
      <c r="F199" s="998" t="n"/>
      <c r="G199" s="998" t="n"/>
      <c r="H199" s="998" t="n"/>
      <c r="I199" s="975" t="n"/>
      <c r="J199" s="975" t="n"/>
      <c r="K199" s="1000" t="n"/>
      <c r="L199" s="1001" t="n"/>
      <c r="M199" s="987" t="n"/>
      <c r="N199" s="988">
        <f>IFERROR(IF(DATEDIF(TODAY(),M199,"M")&lt;=6,"ROJO",IF(DATEDIF(TODAY(),M199,"M")&gt;=12,"VERDE",IF(AND(DATEDIF(TODAY(),M199,"M")&gt;6,DATEDIF(TODAY(),M199,"M")&lt;=11),"AMARILLO",IF(M199&lt;TODAY(),"VENCIDO",0)))),O199)</f>
        <v/>
      </c>
      <c r="O199" s="989">
        <f>IF(M199=0,"","VENCIDO")</f>
        <v/>
      </c>
      <c r="Q199" s="1002" t="n"/>
      <c r="R199" s="998" t="n"/>
      <c r="S199" s="998" t="n"/>
      <c r="T199" s="998" t="n"/>
      <c r="U199" s="998" t="n"/>
      <c r="V199" s="998" t="n"/>
      <c r="W199" s="998" t="n"/>
      <c r="X199" s="998" t="n"/>
      <c r="Y199" s="998" t="n"/>
      <c r="Z199" s="998" t="n"/>
      <c r="AA199" s="998" t="n"/>
      <c r="AB199" s="998" t="n"/>
      <c r="AC199" s="1003" t="n"/>
    </row>
    <row r="200" ht="14.4" customHeight="1" thickBot="1">
      <c r="A200" s="1004" t="n"/>
      <c r="B200" s="1005" t="n"/>
      <c r="C200" s="1021" t="n"/>
      <c r="D200" s="1022" t="n"/>
      <c r="E200" s="1022" t="n"/>
      <c r="F200" s="1023" t="n"/>
      <c r="G200" s="1023" t="n"/>
      <c r="H200" s="1023" t="n"/>
      <c r="I200" s="1024" t="n"/>
      <c r="J200" s="1010">
        <f>J195=K200</f>
        <v/>
      </c>
      <c r="K200" s="1025">
        <f>SUM(K195:K199)</f>
        <v/>
      </c>
      <c r="L200" s="1015" t="n"/>
      <c r="M200" s="1013" t="n"/>
      <c r="N200" s="1014">
        <f>IFERROR(IF(DATEDIF(TODAY(),M200,"M")&lt;=6,"ROJO",IF(DATEDIF(TODAY(),M200,"M")&gt;=12,"VERDE",IF(AND(DATEDIF(TODAY(),M200,"M")&gt;6,DATEDIF(TODAY(),M200,"M")&lt;=11),"AMARILLO",IF(M200&lt;TODAY(),"VENCIDO",0)))),O200)</f>
        <v/>
      </c>
      <c r="O200" s="989">
        <f>IF(M200=0,"","VENCIDO")</f>
        <v/>
      </c>
      <c r="Q200" s="1015" t="n"/>
      <c r="R200" s="1016" t="n"/>
      <c r="S200" s="1016" t="n"/>
      <c r="T200" s="1016" t="n"/>
      <c r="U200" s="1016" t="n"/>
      <c r="V200" s="1016" t="n"/>
      <c r="W200" s="1016" t="n"/>
      <c r="X200" s="1016" t="n"/>
      <c r="Y200" s="1016" t="n"/>
      <c r="Z200" s="1016" t="n"/>
      <c r="AA200" s="1016" t="n"/>
      <c r="AB200" s="1016" t="n"/>
      <c r="AC200" s="194" t="n"/>
    </row>
    <row r="201" ht="14.25" customHeight="1">
      <c r="A201" s="979" t="inlineStr">
        <is>
          <t>Sarampión - Rubeola - SR (diluyente)</t>
        </is>
      </c>
      <c r="B201" s="980" t="n"/>
      <c r="C201" s="981">
        <f>ENERO!K254</f>
        <v/>
      </c>
      <c r="D201" s="982" t="n"/>
      <c r="E201" s="982" t="n"/>
      <c r="F201" s="982" t="n"/>
      <c r="G201" s="982" t="n"/>
      <c r="H201" s="982" t="n"/>
      <c r="I201" s="1026">
        <f>AC201</f>
        <v/>
      </c>
      <c r="J201" s="984">
        <f>+(C201+D201+F201+E201)-(G201+H201+I201)</f>
        <v/>
      </c>
      <c r="K201" s="985" t="n"/>
      <c r="L201" s="986" t="n"/>
      <c r="M201" s="987" t="n"/>
      <c r="N201" s="988">
        <f>IFERROR(IF(DATEDIF(TODAY(),M201,"M")&lt;=6,"ROJO",IF(DATEDIF(TODAY(),M201,"M")&gt;=12,"VERDE",IF(AND(DATEDIF(TODAY(),M201,"M")&gt;6,DATEDIF(TODAY(),M201,"M")&lt;=11),"AMARILLO",IF(M201&lt;TODAY(),"VENCIDO",0)))),O201)</f>
        <v/>
      </c>
      <c r="O201" s="989">
        <f>IF(M201=0,"","VENCIDO")</f>
        <v/>
      </c>
      <c r="Q201" s="990" t="n"/>
      <c r="R201" s="991" t="n"/>
      <c r="S201" s="991" t="n"/>
      <c r="T201" s="991" t="n"/>
      <c r="U201" s="991" t="n"/>
      <c r="V201" s="991" t="n"/>
      <c r="W201" s="991" t="n"/>
      <c r="X201" s="991" t="n"/>
      <c r="Y201" s="991" t="n"/>
      <c r="Z201" s="991" t="n"/>
      <c r="AA201" s="991" t="n"/>
      <c r="AB201" s="991" t="n"/>
      <c r="AC201" s="992">
        <f>SUM(Q201:AB205)</f>
        <v/>
      </c>
      <c r="AH201" s="2">
        <f>+IF(AC201&lt;&gt;I201,1,0)</f>
        <v/>
      </c>
    </row>
    <row r="202" ht="14.25" customHeight="1">
      <c r="A202" s="993" t="n"/>
      <c r="B202" s="972" t="n"/>
      <c r="C202" s="973" t="n"/>
      <c r="D202" s="994" t="n"/>
      <c r="E202" s="994" t="n"/>
      <c r="F202" s="994" t="n"/>
      <c r="G202" s="994" t="n"/>
      <c r="H202" s="994" t="n"/>
      <c r="I202" s="973" t="n"/>
      <c r="J202" s="973" t="n"/>
      <c r="K202" s="995" t="n"/>
      <c r="L202" s="996" t="n"/>
      <c r="M202" s="987" t="n"/>
      <c r="N202" s="988">
        <f>IFERROR(IF(DATEDIF(TODAY(),M202,"M")&lt;=6,"ROJO",IF(DATEDIF(TODAY(),M202,"M")&gt;=12,"VERDE",IF(AND(DATEDIF(TODAY(),M202,"M")&gt;6,DATEDIF(TODAY(),M202,"M")&lt;=11),"AMARILLO",IF(M202&lt;TODAY(),"VENCIDO",0)))),O202)</f>
        <v/>
      </c>
      <c r="O202" s="989">
        <f>IF(M202=0,"","VENCIDO")</f>
        <v/>
      </c>
      <c r="Q202" s="997" t="n"/>
      <c r="R202" s="994" t="n"/>
      <c r="S202" s="994" t="n"/>
      <c r="T202" s="994" t="n"/>
      <c r="U202" s="994" t="n"/>
      <c r="V202" s="994" t="n"/>
      <c r="W202" s="994" t="n"/>
      <c r="X202" s="994" t="n"/>
      <c r="Y202" s="994" t="n"/>
      <c r="Z202" s="994" t="n"/>
      <c r="AA202" s="994" t="n"/>
      <c r="AB202" s="994" t="n"/>
      <c r="AC202" s="974" t="n"/>
      <c r="AE202" s="2">
        <f>IFERROR(AA200*100/(W200+AA200),0)</f>
        <v/>
      </c>
    </row>
    <row r="203" ht="14.25" customHeight="1">
      <c r="A203" s="993" t="n"/>
      <c r="B203" s="972" t="n"/>
      <c r="C203" s="973" t="n"/>
      <c r="D203" s="994" t="n"/>
      <c r="E203" s="994" t="n"/>
      <c r="F203" s="994" t="n"/>
      <c r="G203" s="994" t="n"/>
      <c r="H203" s="994" t="n"/>
      <c r="I203" s="973" t="n"/>
      <c r="J203" s="973" t="n"/>
      <c r="K203" s="995" t="n"/>
      <c r="L203" s="996" t="n"/>
      <c r="M203" s="987" t="n"/>
      <c r="N203" s="988">
        <f>IFERROR(IF(DATEDIF(TODAY(),M203,"M")&lt;=6,"ROJO",IF(DATEDIF(TODAY(),M203,"M")&gt;=12,"VERDE",IF(AND(DATEDIF(TODAY(),M203,"M")&gt;6,DATEDIF(TODAY(),M203,"M")&lt;=11),"AMARILLO",IF(M203&lt;TODAY(),"VENCIDO",0)))),O203)</f>
        <v/>
      </c>
      <c r="O203" s="989">
        <f>IF(M203=0,"","VENCIDO")</f>
        <v/>
      </c>
      <c r="Q203" s="997" t="n"/>
      <c r="R203" s="994" t="n"/>
      <c r="S203" s="994" t="n"/>
      <c r="T203" s="994" t="n"/>
      <c r="U203" s="994" t="n"/>
      <c r="V203" s="994" t="n"/>
      <c r="W203" s="994" t="n"/>
      <c r="X203" s="994" t="n"/>
      <c r="Y203" s="994" t="n"/>
      <c r="Z203" s="994" t="n"/>
      <c r="AA203" s="994" t="n"/>
      <c r="AB203" s="994" t="n"/>
      <c r="AC203" s="974" t="n"/>
    </row>
    <row r="204" ht="14.25" customHeight="1">
      <c r="A204" s="993" t="n"/>
      <c r="B204" s="972" t="n"/>
      <c r="C204" s="973" t="n"/>
      <c r="D204" s="994" t="n"/>
      <c r="E204" s="994" t="n"/>
      <c r="F204" s="994" t="n"/>
      <c r="G204" s="994" t="n"/>
      <c r="H204" s="994" t="n"/>
      <c r="I204" s="973" t="n"/>
      <c r="J204" s="973" t="n"/>
      <c r="K204" s="995" t="n"/>
      <c r="L204" s="996" t="n"/>
      <c r="M204" s="987" t="n"/>
      <c r="N204" s="988">
        <f>IFERROR(IF(DATEDIF(TODAY(),M204,"M")&lt;=6,"ROJO",IF(DATEDIF(TODAY(),M204,"M")&gt;=12,"VERDE",IF(AND(DATEDIF(TODAY(),M204,"M")&gt;6,DATEDIF(TODAY(),M204,"M")&lt;=11),"AMARILLO",IF(M204&lt;TODAY(),"VENCIDO",0)))),O204)</f>
        <v/>
      </c>
      <c r="O204" s="989">
        <f>IF(M204=0,"","VENCIDO")</f>
        <v/>
      </c>
      <c r="Q204" s="997" t="n"/>
      <c r="R204" s="994" t="n"/>
      <c r="S204" s="994" t="n"/>
      <c r="T204" s="994" t="n"/>
      <c r="U204" s="994" t="n"/>
      <c r="V204" s="994" t="n"/>
      <c r="W204" s="994" t="n"/>
      <c r="X204" s="994" t="n"/>
      <c r="Y204" s="994" t="n"/>
      <c r="Z204" s="994" t="n"/>
      <c r="AA204" s="994" t="n"/>
      <c r="AB204" s="994" t="n"/>
      <c r="AC204" s="974" t="n"/>
    </row>
    <row r="205" ht="15" customHeight="1" thickBot="1">
      <c r="A205" s="993" t="n"/>
      <c r="B205" s="972" t="n"/>
      <c r="C205" s="975" t="n"/>
      <c r="D205" s="998" t="n"/>
      <c r="E205" s="998" t="n"/>
      <c r="F205" s="998" t="n"/>
      <c r="G205" s="998" t="n"/>
      <c r="H205" s="998" t="n"/>
      <c r="I205" s="975" t="n"/>
      <c r="J205" s="975" t="n"/>
      <c r="K205" s="1000" t="n"/>
      <c r="L205" s="1001" t="n"/>
      <c r="M205" s="987" t="n"/>
      <c r="N205" s="988">
        <f>IFERROR(IF(DATEDIF(TODAY(),M205,"M")&lt;=6,"ROJO",IF(DATEDIF(TODAY(),M205,"M")&gt;=12,"VERDE",IF(AND(DATEDIF(TODAY(),M205,"M")&gt;6,DATEDIF(TODAY(),M205,"M")&lt;=11),"AMARILLO",IF(M205&lt;TODAY(),"VENCIDO",0)))),O205)</f>
        <v/>
      </c>
      <c r="O205" s="989">
        <f>IF(M205=0,"","VENCIDO")</f>
        <v/>
      </c>
      <c r="Q205" s="1002" t="n"/>
      <c r="R205" s="998" t="n"/>
      <c r="S205" s="998" t="n"/>
      <c r="T205" s="998" t="n"/>
      <c r="U205" s="998" t="n"/>
      <c r="V205" s="998" t="n"/>
      <c r="W205" s="998" t="n"/>
      <c r="X205" s="998" t="n"/>
      <c r="Y205" s="998" t="n"/>
      <c r="Z205" s="998" t="n"/>
      <c r="AA205" s="998" t="n"/>
      <c r="AB205" s="998" t="n"/>
      <c r="AC205" s="1003" t="n"/>
    </row>
    <row r="206" ht="14.4" customHeight="1" thickBot="1">
      <c r="A206" s="1004" t="n"/>
      <c r="B206" s="1005" t="n"/>
      <c r="C206" s="1021" t="n"/>
      <c r="D206" s="1022" t="n"/>
      <c r="E206" s="1022" t="n"/>
      <c r="F206" s="1023" t="n"/>
      <c r="G206" s="1023" t="n"/>
      <c r="H206" s="1023" t="n"/>
      <c r="I206" s="1024" t="n"/>
      <c r="J206" s="1010">
        <f>J201=K206</f>
        <v/>
      </c>
      <c r="K206" s="1025">
        <f>SUM(K201:K205)</f>
        <v/>
      </c>
      <c r="L206" s="1015" t="n"/>
      <c r="M206" s="1013" t="n"/>
      <c r="N206" s="1014">
        <f>IFERROR(IF(DATEDIF(TODAY(),M206,"M")&lt;=6,"ROJO",IF(DATEDIF(TODAY(),M206,"M")&gt;=12,"VERDE",IF(AND(DATEDIF(TODAY(),M206,"M")&gt;6,DATEDIF(TODAY(),M206,"M")&lt;=11),"AMARILLO",IF(M206&lt;TODAY(),"VENCIDO",0)))),O206)</f>
        <v/>
      </c>
      <c r="O206" s="989">
        <f>IF(M206=0,"","VENCIDO")</f>
        <v/>
      </c>
      <c r="Q206" s="1015" t="n"/>
      <c r="R206" s="1016" t="n"/>
      <c r="S206" s="1016" t="n"/>
      <c r="T206" s="1016" t="n"/>
      <c r="U206" s="1016" t="n"/>
      <c r="V206" s="1016" t="n"/>
      <c r="W206" s="1016" t="n"/>
      <c r="X206" s="1016" t="n"/>
      <c r="Y206" s="1016" t="n"/>
      <c r="Z206" s="1016" t="n"/>
      <c r="AA206" s="1016" t="n"/>
      <c r="AB206" s="1016" t="n"/>
      <c r="AC206" s="194" t="n"/>
    </row>
    <row r="207" ht="14.25" customHeight="1">
      <c r="A207" s="979" t="inlineStr">
        <is>
          <t>Fiebre amarilla (diluyente)</t>
        </is>
      </c>
      <c r="B207" s="980" t="n"/>
      <c r="C207" s="981">
        <f>ENERO!K272</f>
        <v/>
      </c>
      <c r="D207" s="982" t="n"/>
      <c r="E207" s="982" t="n"/>
      <c r="F207" s="982" t="n"/>
      <c r="G207" s="982" t="n"/>
      <c r="H207" s="982" t="n"/>
      <c r="I207" s="1026">
        <f>AC207</f>
        <v/>
      </c>
      <c r="J207" s="984">
        <f>+(C207+D207+F207+E207)-(G207+H207+I207)</f>
        <v/>
      </c>
      <c r="K207" s="985" t="n"/>
      <c r="L207" s="986" t="n"/>
      <c r="M207" s="987" t="n"/>
      <c r="N207" s="988">
        <f>IFERROR(IF(DATEDIF(TODAY(),M207,"M")&lt;=6,"ROJO",IF(DATEDIF(TODAY(),M207,"M")&gt;=12,"VERDE",IF(AND(DATEDIF(TODAY(),M207,"M")&gt;6,DATEDIF(TODAY(),M207,"M")&lt;=11),"AMARILLO",IF(M207&lt;TODAY(),"VENCIDO",0)))),O207)</f>
        <v/>
      </c>
      <c r="O207" s="989">
        <f>IF(M207=0,"","VENCIDO")</f>
        <v/>
      </c>
      <c r="Q207" s="990" t="n"/>
      <c r="R207" s="991" t="n"/>
      <c r="S207" s="991" t="n"/>
      <c r="T207" s="991" t="n"/>
      <c r="U207" s="991" t="n"/>
      <c r="V207" s="991" t="n"/>
      <c r="W207" s="991" t="n"/>
      <c r="X207" s="991" t="n"/>
      <c r="Y207" s="991" t="n"/>
      <c r="Z207" s="991" t="n"/>
      <c r="AA207" s="991" t="n"/>
      <c r="AB207" s="991" t="n"/>
      <c r="AC207" s="992">
        <f>SUM(Q207:AB211)</f>
        <v/>
      </c>
      <c r="AE207" s="2">
        <f>IFERROR(AA205*100/(W205+AA205),0)</f>
        <v/>
      </c>
      <c r="AH207" s="2">
        <f>+IF(AC207&lt;&gt;I207,1,0)</f>
        <v/>
      </c>
    </row>
    <row r="208" ht="14.25" customHeight="1">
      <c r="A208" s="993" t="n"/>
      <c r="B208" s="972" t="n"/>
      <c r="C208" s="973" t="n"/>
      <c r="D208" s="994" t="n"/>
      <c r="E208" s="994" t="n"/>
      <c r="F208" s="994" t="n"/>
      <c r="G208" s="994" t="n"/>
      <c r="H208" s="994" t="n"/>
      <c r="I208" s="973" t="n"/>
      <c r="J208" s="973" t="n"/>
      <c r="K208" s="995" t="n"/>
      <c r="L208" s="996" t="n"/>
      <c r="M208" s="987" t="n"/>
      <c r="N208" s="988">
        <f>IFERROR(IF(DATEDIF(TODAY(),M208,"M")&lt;=6,"ROJO",IF(DATEDIF(TODAY(),M208,"M")&gt;=12,"VERDE",IF(AND(DATEDIF(TODAY(),M208,"M")&gt;6,DATEDIF(TODAY(),M208,"M")&lt;=11),"AMARILLO",IF(M208&lt;TODAY(),"VENCIDO",0)))),O208)</f>
        <v/>
      </c>
      <c r="O208" s="989">
        <f>IF(M208=0,"","VENCIDO")</f>
        <v/>
      </c>
      <c r="Q208" s="997" t="n"/>
      <c r="R208" s="994" t="n"/>
      <c r="S208" s="994" t="n"/>
      <c r="T208" s="994" t="n"/>
      <c r="U208" s="994" t="n"/>
      <c r="V208" s="994" t="n"/>
      <c r="W208" s="994" t="n"/>
      <c r="X208" s="994" t="n"/>
      <c r="Y208" s="994" t="n"/>
      <c r="Z208" s="994" t="n"/>
      <c r="AA208" s="994" t="n"/>
      <c r="AB208" s="994" t="n"/>
      <c r="AC208" s="974" t="n"/>
    </row>
    <row r="209" ht="14.25" customHeight="1">
      <c r="A209" s="993" t="n"/>
      <c r="B209" s="972" t="n"/>
      <c r="C209" s="973" t="n"/>
      <c r="D209" s="994" t="n"/>
      <c r="E209" s="994" t="n"/>
      <c r="F209" s="994" t="n"/>
      <c r="G209" s="994" t="n"/>
      <c r="H209" s="994" t="n"/>
      <c r="I209" s="973" t="n"/>
      <c r="J209" s="973" t="n"/>
      <c r="K209" s="995" t="n"/>
      <c r="L209" s="996" t="n"/>
      <c r="M209" s="987" t="n"/>
      <c r="N209" s="988">
        <f>IFERROR(IF(DATEDIF(TODAY(),M209,"M")&lt;=6,"ROJO",IF(DATEDIF(TODAY(),M209,"M")&gt;=12,"VERDE",IF(AND(DATEDIF(TODAY(),M209,"M")&gt;6,DATEDIF(TODAY(),M209,"M")&lt;=11),"AMARILLO",IF(M209&lt;TODAY(),"VENCIDO",0)))),O209)</f>
        <v/>
      </c>
      <c r="O209" s="989">
        <f>IF(M209=0,"","VENCIDO")</f>
        <v/>
      </c>
      <c r="Q209" s="997" t="n"/>
      <c r="R209" s="994" t="n"/>
      <c r="S209" s="994" t="n"/>
      <c r="T209" s="994" t="n"/>
      <c r="U209" s="994" t="n"/>
      <c r="V209" s="994" t="n"/>
      <c r="W209" s="994" t="n"/>
      <c r="X209" s="994" t="n"/>
      <c r="Y209" s="994" t="n"/>
      <c r="Z209" s="994" t="n"/>
      <c r="AA209" s="994" t="n"/>
      <c r="AB209" s="994" t="n"/>
      <c r="AC209" s="974" t="n"/>
    </row>
    <row r="210" ht="14.25" customHeight="1">
      <c r="A210" s="993" t="n"/>
      <c r="B210" s="972" t="n"/>
      <c r="C210" s="973" t="n"/>
      <c r="D210" s="994" t="n"/>
      <c r="E210" s="994" t="n"/>
      <c r="F210" s="994" t="n"/>
      <c r="G210" s="994" t="n"/>
      <c r="H210" s="994" t="n"/>
      <c r="I210" s="973" t="n"/>
      <c r="J210" s="973" t="n"/>
      <c r="K210" s="995" t="n"/>
      <c r="L210" s="996" t="n"/>
      <c r="M210" s="987" t="n"/>
      <c r="N210" s="988">
        <f>IFERROR(IF(DATEDIF(TODAY(),M210,"M")&lt;=6,"ROJO",IF(DATEDIF(TODAY(),M210,"M")&gt;=12,"VERDE",IF(AND(DATEDIF(TODAY(),M210,"M")&gt;6,DATEDIF(TODAY(),M210,"M")&lt;=11),"AMARILLO",IF(M210&lt;TODAY(),"VENCIDO",0)))),O210)</f>
        <v/>
      </c>
      <c r="O210" s="989">
        <f>IF(M210=0,"","VENCIDO")</f>
        <v/>
      </c>
      <c r="Q210" s="997" t="n"/>
      <c r="R210" s="994" t="n"/>
      <c r="S210" s="994" t="n"/>
      <c r="T210" s="994" t="n"/>
      <c r="U210" s="994" t="n"/>
      <c r="V210" s="994" t="n"/>
      <c r="W210" s="994" t="n"/>
      <c r="X210" s="994" t="n"/>
      <c r="Y210" s="994" t="n"/>
      <c r="Z210" s="994" t="n"/>
      <c r="AA210" s="994" t="n"/>
      <c r="AB210" s="994" t="n"/>
      <c r="AC210" s="974" t="n"/>
    </row>
    <row r="211" ht="15" customHeight="1" thickBot="1">
      <c r="A211" s="993" t="n"/>
      <c r="B211" s="972" t="n"/>
      <c r="C211" s="975" t="n"/>
      <c r="D211" s="998" t="n"/>
      <c r="E211" s="998" t="n"/>
      <c r="F211" s="998" t="n"/>
      <c r="G211" s="998" t="n"/>
      <c r="H211" s="998" t="n"/>
      <c r="I211" s="975" t="n"/>
      <c r="J211" s="975" t="n"/>
      <c r="K211" s="1000" t="n"/>
      <c r="L211" s="1001" t="n"/>
      <c r="M211" s="987" t="n"/>
      <c r="N211" s="988">
        <f>IFERROR(IF(DATEDIF(TODAY(),M211,"M")&lt;=6,"ROJO",IF(DATEDIF(TODAY(),M211,"M")&gt;=12,"VERDE",IF(AND(DATEDIF(TODAY(),M211,"M")&gt;6,DATEDIF(TODAY(),M211,"M")&lt;=11),"AMARILLO",IF(M211&lt;TODAY(),"VENCIDO",0)))),O211)</f>
        <v/>
      </c>
      <c r="O211" s="989">
        <f>IF(M211=0,"","VENCIDO")</f>
        <v/>
      </c>
      <c r="Q211" s="1002" t="n"/>
      <c r="R211" s="998" t="n"/>
      <c r="S211" s="998" t="n"/>
      <c r="T211" s="998" t="n"/>
      <c r="U211" s="998" t="n"/>
      <c r="V211" s="998" t="n"/>
      <c r="W211" s="998" t="n"/>
      <c r="X211" s="998" t="n"/>
      <c r="Y211" s="998" t="n"/>
      <c r="Z211" s="998" t="n"/>
      <c r="AA211" s="998" t="n"/>
      <c r="AB211" s="998" t="n"/>
      <c r="AC211" s="1003" t="n"/>
    </row>
    <row r="212" ht="14.4" customHeight="1" thickBot="1">
      <c r="A212" s="1004" t="n"/>
      <c r="B212" s="1005" t="n"/>
      <c r="C212" s="1021" t="n"/>
      <c r="D212" s="1022" t="n"/>
      <c r="E212" s="1022" t="n"/>
      <c r="F212" s="1023" t="n"/>
      <c r="G212" s="1023" t="n"/>
      <c r="H212" s="1023" t="n"/>
      <c r="I212" s="1024" t="n"/>
      <c r="J212" s="1010">
        <f>J207=K212</f>
        <v/>
      </c>
      <c r="K212" s="1025">
        <f>SUM(K207:K211)</f>
        <v/>
      </c>
      <c r="L212" s="1015" t="n"/>
      <c r="M212" s="1013" t="n"/>
      <c r="N212" s="1014">
        <f>IFERROR(IF(DATEDIF(TODAY(),M212,"M")&lt;=6,"ROJO",IF(DATEDIF(TODAY(),M212,"M")&gt;=12,"VERDE",IF(AND(DATEDIF(TODAY(),M212,"M")&gt;6,DATEDIF(TODAY(),M212,"M")&lt;=11),"AMARILLO",IF(M212&lt;TODAY(),"VENCIDO",0)))),O212)</f>
        <v/>
      </c>
      <c r="O212" s="989">
        <f>IF(M212=0,"","VENCIDO")</f>
        <v/>
      </c>
      <c r="Q212" s="1030" t="n"/>
      <c r="R212" s="1031" t="n"/>
      <c r="S212" s="1031" t="n"/>
      <c r="T212" s="1031" t="n"/>
      <c r="U212" s="1031" t="n"/>
      <c r="V212" s="1031" t="n"/>
      <c r="W212" s="1031" t="n"/>
      <c r="X212" s="1031" t="n"/>
      <c r="Y212" s="1031" t="n"/>
      <c r="Z212" s="1031" t="n"/>
      <c r="AA212" s="1031" t="n"/>
      <c r="AB212" s="1031" t="n"/>
      <c r="AC212" s="195" t="n"/>
    </row>
    <row r="213" ht="14.25" customHeight="1">
      <c r="A213" s="979" t="inlineStr">
        <is>
          <t>Varicela (diluyente)</t>
        </is>
      </c>
      <c r="B213" s="980" t="n"/>
      <c r="C213" s="981">
        <f>ENERO!K278</f>
        <v/>
      </c>
      <c r="D213" s="982" t="n"/>
      <c r="E213" s="982" t="n"/>
      <c r="F213" s="982" t="n"/>
      <c r="G213" s="982" t="n"/>
      <c r="H213" s="982" t="n"/>
      <c r="I213" s="1026">
        <f>AC213</f>
        <v/>
      </c>
      <c r="J213" s="984">
        <f>+(C213+D213+F213+E213)-(G213+H213+I213)</f>
        <v/>
      </c>
      <c r="K213" s="985" t="n"/>
      <c r="L213" s="986" t="n"/>
      <c r="M213" s="132" t="n"/>
      <c r="N213" s="150">
        <f>IFERROR(IF(DATEDIF(TODAY(),M213,"M")&lt;=6,"ROJO",IF(DATEDIF(TODAY(),M213,"M")&gt;=12,"VERDE",IF(AND(DATEDIF(TODAY(),M213,"M")&gt;6,DATEDIF(TODAY(),M213,"M")&lt;=11),"AMARILLO",IF(M213&lt;TODAY(),"VENCIDO",0)))),O213)</f>
        <v/>
      </c>
      <c r="O213" s="989">
        <f>IF(M213=0,"","VENCIDO")</f>
        <v/>
      </c>
      <c r="Q213" s="990" t="n"/>
      <c r="R213" s="991" t="n"/>
      <c r="S213" s="991" t="n"/>
      <c r="T213" s="991" t="n"/>
      <c r="U213" s="991" t="n"/>
      <c r="V213" s="991" t="n"/>
      <c r="W213" s="991" t="n"/>
      <c r="X213" s="991" t="n"/>
      <c r="Y213" s="991" t="n"/>
      <c r="Z213" s="991" t="n"/>
      <c r="AA213" s="991" t="n"/>
      <c r="AB213" s="991" t="n"/>
      <c r="AC213" s="992">
        <f>SUM(Q213:AB217)</f>
        <v/>
      </c>
      <c r="AE213" s="2">
        <f>IFERROR(AA211*100/(W211+AA211),0)</f>
        <v/>
      </c>
      <c r="AH213" s="2">
        <f>+IF(AC213&lt;&gt;I213,1,0)</f>
        <v/>
      </c>
    </row>
    <row r="214" ht="14.25" customHeight="1">
      <c r="A214" s="993" t="n"/>
      <c r="B214" s="972" t="n"/>
      <c r="C214" s="973" t="n"/>
      <c r="D214" s="994" t="n"/>
      <c r="E214" s="994" t="n"/>
      <c r="F214" s="994" t="n"/>
      <c r="G214" s="994" t="n"/>
      <c r="H214" s="994" t="n"/>
      <c r="I214" s="973" t="n"/>
      <c r="J214" s="973" t="n"/>
      <c r="K214" s="995" t="n"/>
      <c r="L214" s="996" t="n"/>
      <c r="M214" s="132" t="n"/>
      <c r="N214" s="150">
        <f>IFERROR(IF(DATEDIF(TODAY(),M214,"M")&lt;=6,"ROJO",IF(DATEDIF(TODAY(),M214,"M")&gt;=12,"VERDE",IF(AND(DATEDIF(TODAY(),M214,"M")&gt;6,DATEDIF(TODAY(),M214,"M")&lt;=11),"AMARILLO",IF(M214&lt;TODAY(),"VENCIDO",0)))),O214)</f>
        <v/>
      </c>
      <c r="O214" s="989">
        <f>IF(M214=0,"","VENCIDO")</f>
        <v/>
      </c>
      <c r="Q214" s="997" t="n"/>
      <c r="R214" s="994" t="n"/>
      <c r="S214" s="994" t="n"/>
      <c r="T214" s="994" t="n"/>
      <c r="U214" s="994" t="n"/>
      <c r="V214" s="994" t="n"/>
      <c r="W214" s="994" t="n"/>
      <c r="X214" s="994" t="n"/>
      <c r="Y214" s="994" t="n"/>
      <c r="Z214" s="994" t="n"/>
      <c r="AA214" s="994" t="n"/>
      <c r="AB214" s="994" t="n"/>
      <c r="AC214" s="974" t="n"/>
    </row>
    <row r="215" ht="14.25" customHeight="1">
      <c r="A215" s="993" t="n"/>
      <c r="B215" s="972" t="n"/>
      <c r="C215" s="973" t="n"/>
      <c r="D215" s="994" t="n"/>
      <c r="E215" s="994" t="n"/>
      <c r="F215" s="994" t="n"/>
      <c r="G215" s="994" t="n"/>
      <c r="H215" s="994" t="n"/>
      <c r="I215" s="973" t="n"/>
      <c r="J215" s="973" t="n"/>
      <c r="K215" s="995" t="n"/>
      <c r="L215" s="996" t="n"/>
      <c r="M215" s="987" t="n"/>
      <c r="N215" s="988">
        <f>IFERROR(IF(DATEDIF(TODAY(),M215,"M")&lt;=6,"ROJO",IF(DATEDIF(TODAY(),M215,"M")&gt;=12,"VERDE",IF(AND(DATEDIF(TODAY(),M215,"M")&gt;6,DATEDIF(TODAY(),M215,"M")&lt;=11),"AMARILLO",IF(M215&lt;TODAY(),"VENCIDO",0)))),O215)</f>
        <v/>
      </c>
      <c r="O215" s="989">
        <f>IF(M215=0,"","VENCIDO")</f>
        <v/>
      </c>
      <c r="Q215" s="997" t="n"/>
      <c r="R215" s="994" t="n"/>
      <c r="S215" s="994" t="n"/>
      <c r="T215" s="994" t="n"/>
      <c r="U215" s="994" t="n"/>
      <c r="V215" s="994" t="n"/>
      <c r="W215" s="994" t="n"/>
      <c r="X215" s="994" t="n"/>
      <c r="Y215" s="994" t="n"/>
      <c r="Z215" s="994" t="n"/>
      <c r="AA215" s="994" t="n"/>
      <c r="AB215" s="994" t="n"/>
      <c r="AC215" s="974" t="n"/>
    </row>
    <row r="216" ht="14.25" customHeight="1">
      <c r="A216" s="993" t="n"/>
      <c r="B216" s="972" t="n"/>
      <c r="C216" s="973" t="n"/>
      <c r="D216" s="994" t="n"/>
      <c r="E216" s="994" t="n"/>
      <c r="F216" s="994" t="n"/>
      <c r="G216" s="994" t="n"/>
      <c r="H216" s="994" t="n"/>
      <c r="I216" s="973" t="n"/>
      <c r="J216" s="973" t="n"/>
      <c r="K216" s="995" t="n"/>
      <c r="L216" s="996" t="n"/>
      <c r="M216" s="987" t="n"/>
      <c r="N216" s="988">
        <f>IFERROR(IF(DATEDIF(TODAY(),M216,"M")&lt;=6,"ROJO",IF(DATEDIF(TODAY(),M216,"M")&gt;=12,"VERDE",IF(AND(DATEDIF(TODAY(),M216,"M")&gt;6,DATEDIF(TODAY(),M216,"M")&lt;=11),"AMARILLO",IF(M216&lt;TODAY(),"VENCIDO",0)))),O216)</f>
        <v/>
      </c>
      <c r="O216" s="989">
        <f>IF(M216=0,"","VENCIDO")</f>
        <v/>
      </c>
      <c r="Q216" s="997" t="n"/>
      <c r="R216" s="994" t="n"/>
      <c r="S216" s="994" t="n"/>
      <c r="T216" s="994" t="n"/>
      <c r="U216" s="994" t="n"/>
      <c r="V216" s="994" t="n"/>
      <c r="W216" s="994" t="n"/>
      <c r="X216" s="994" t="n"/>
      <c r="Y216" s="994" t="n"/>
      <c r="Z216" s="994" t="n"/>
      <c r="AA216" s="994" t="n"/>
      <c r="AB216" s="994" t="n"/>
      <c r="AC216" s="974" t="n"/>
    </row>
    <row r="217" ht="15" customHeight="1" thickBot="1">
      <c r="A217" s="993" t="n"/>
      <c r="B217" s="972" t="n"/>
      <c r="C217" s="975" t="n"/>
      <c r="D217" s="998" t="n"/>
      <c r="E217" s="998" t="n"/>
      <c r="F217" s="998" t="n"/>
      <c r="G217" s="998" t="n"/>
      <c r="H217" s="998" t="n"/>
      <c r="I217" s="975" t="n"/>
      <c r="J217" s="975" t="n"/>
      <c r="K217" s="1000" t="n"/>
      <c r="L217" s="1001" t="n"/>
      <c r="M217" s="987" t="n"/>
      <c r="N217" s="988">
        <f>IFERROR(IF(DATEDIF(TODAY(),M217,"M")&lt;=6,"ROJO",IF(DATEDIF(TODAY(),M217,"M")&gt;=12,"VERDE",IF(AND(DATEDIF(TODAY(),M217,"M")&gt;6,DATEDIF(TODAY(),M217,"M")&lt;=11),"AMARILLO",IF(M217&lt;TODAY(),"VENCIDO",0)))),O217)</f>
        <v/>
      </c>
      <c r="O217" s="989">
        <f>IF(M217=0,"","VENCIDO")</f>
        <v/>
      </c>
      <c r="Q217" s="1002" t="n"/>
      <c r="R217" s="998" t="n"/>
      <c r="S217" s="998" t="n"/>
      <c r="T217" s="998" t="n"/>
      <c r="U217" s="998" t="n"/>
      <c r="V217" s="998" t="n"/>
      <c r="W217" s="998" t="n"/>
      <c r="X217" s="998" t="n"/>
      <c r="Y217" s="998" t="n"/>
      <c r="Z217" s="998" t="n"/>
      <c r="AA217" s="998" t="n"/>
      <c r="AB217" s="998" t="n"/>
      <c r="AC217" s="1003" t="n"/>
    </row>
    <row r="218" ht="14.4" customHeight="1" thickBot="1">
      <c r="A218" s="1004" t="n"/>
      <c r="B218" s="1005" t="n"/>
      <c r="C218" s="1021" t="n"/>
      <c r="D218" s="1022" t="n"/>
      <c r="E218" s="1022" t="n"/>
      <c r="F218" s="1023" t="n"/>
      <c r="G218" s="1023" t="n"/>
      <c r="H218" s="1023" t="n"/>
      <c r="I218" s="1024" t="n"/>
      <c r="J218" s="1010">
        <f>J213=K218</f>
        <v/>
      </c>
      <c r="K218" s="1025">
        <f>SUM(K213:K217)</f>
        <v/>
      </c>
      <c r="L218" s="1015" t="n"/>
      <c r="M218" s="1013" t="n"/>
      <c r="N218" s="1014">
        <f>IFERROR(IF(DATEDIF(TODAY(),M218,"M")&lt;=6,"ROJO",IF(DATEDIF(TODAY(),M218,"M")&gt;=12,"VERDE",IF(AND(DATEDIF(TODAY(),M218,"M")&gt;6,DATEDIF(TODAY(),M218,"M")&lt;=11),"AMARILLO",IF(M218&lt;TODAY(),"VENCIDO",0)))),O218)</f>
        <v/>
      </c>
      <c r="O218" s="989">
        <f>IF(M218=0,"","VENCIDO")</f>
        <v/>
      </c>
      <c r="Q218" s="1015" t="n"/>
      <c r="R218" s="1016" t="n"/>
      <c r="S218" s="1016" t="n"/>
      <c r="T218" s="1016" t="n"/>
      <c r="U218" s="1016" t="n"/>
      <c r="V218" s="1016" t="n"/>
      <c r="W218" s="1016" t="n"/>
      <c r="X218" s="1016" t="n"/>
      <c r="Y218" s="1016" t="n"/>
      <c r="Z218" s="1016" t="n"/>
      <c r="AA218" s="1016" t="n"/>
      <c r="AB218" s="1016" t="n"/>
      <c r="AC218" s="194" t="n"/>
    </row>
    <row r="219" ht="14.25" customHeight="1">
      <c r="A219" s="979" t="inlineStr">
        <is>
          <t>Antirrabica humana (diluyente)</t>
        </is>
      </c>
      <c r="B219" s="980" t="n"/>
      <c r="C219" s="981">
        <f>ENERO!K290</f>
        <v/>
      </c>
      <c r="D219" s="982" t="n"/>
      <c r="E219" s="982" t="n"/>
      <c r="F219" s="982" t="n"/>
      <c r="G219" s="982" t="n"/>
      <c r="H219" s="982" t="n"/>
      <c r="I219" s="1026">
        <f>AC219</f>
        <v/>
      </c>
      <c r="J219" s="984">
        <f>+(C219+D219+F219+E219)-(G219+H219+I219)</f>
        <v/>
      </c>
      <c r="K219" s="985" t="n"/>
      <c r="L219" s="986" t="n"/>
      <c r="M219" s="987" t="n"/>
      <c r="N219" s="988">
        <f>IFERROR(IF(DATEDIF(TODAY(),M219,"M")&lt;=6,"ROJO",IF(DATEDIF(TODAY(),M219,"M")&gt;=12,"VERDE",IF(AND(DATEDIF(TODAY(),M219,"M")&gt;6,DATEDIF(TODAY(),M219,"M")&lt;=11),"AMARILLO",IF(M219&lt;TODAY(),"VENCIDO",0)))),O219)</f>
        <v/>
      </c>
      <c r="O219" s="989">
        <f>IF(M219=0,"","VENCIDO")</f>
        <v/>
      </c>
      <c r="Q219" s="990" t="n"/>
      <c r="R219" s="991" t="n"/>
      <c r="S219" s="991" t="n"/>
      <c r="T219" s="991" t="n"/>
      <c r="U219" s="991" t="n"/>
      <c r="V219" s="991" t="n"/>
      <c r="W219" s="991" t="n"/>
      <c r="X219" s="991" t="n"/>
      <c r="Y219" s="991" t="n"/>
      <c r="Z219" s="991" t="n"/>
      <c r="AA219" s="991" t="n"/>
      <c r="AB219" s="991" t="n"/>
      <c r="AC219" s="992">
        <f>SUM(Q219:AB223)</f>
        <v/>
      </c>
      <c r="AH219" s="2">
        <f>+IF(AC219&lt;&gt;I219,1,0)</f>
        <v/>
      </c>
    </row>
    <row r="220" ht="14.25" customHeight="1">
      <c r="A220" s="993" t="n"/>
      <c r="B220" s="972" t="n"/>
      <c r="C220" s="973" t="n"/>
      <c r="D220" s="994" t="n"/>
      <c r="E220" s="994" t="n"/>
      <c r="F220" s="994" t="n"/>
      <c r="G220" s="994" t="n"/>
      <c r="H220" s="994" t="n"/>
      <c r="I220" s="973" t="n"/>
      <c r="J220" s="973" t="n"/>
      <c r="K220" s="995" t="n"/>
      <c r="L220" s="996" t="n"/>
      <c r="M220" s="132" t="n"/>
      <c r="N220" s="150">
        <f>IFERROR(IF(DATEDIF(TODAY(),M220,"M")&lt;=6,"ROJO",IF(DATEDIF(TODAY(),M220,"M")&gt;=12,"VERDE",IF(AND(DATEDIF(TODAY(),M220,"M")&gt;6,DATEDIF(TODAY(),M220,"M")&lt;=11),"AMARILLO",IF(M220&lt;TODAY(),"VENCIDO",0)))),O220)</f>
        <v/>
      </c>
      <c r="O220" s="989">
        <f>IF(M220=0,"","VENCIDO")</f>
        <v/>
      </c>
      <c r="Q220" s="997" t="n"/>
      <c r="R220" s="994" t="n"/>
      <c r="S220" s="994" t="n"/>
      <c r="T220" s="994" t="n"/>
      <c r="U220" s="994" t="n"/>
      <c r="V220" s="994" t="n"/>
      <c r="W220" s="994" t="n"/>
      <c r="X220" s="994" t="n"/>
      <c r="Y220" s="994" t="n"/>
      <c r="Z220" s="994" t="n"/>
      <c r="AA220" s="994" t="n"/>
      <c r="AB220" s="994" t="n"/>
      <c r="AC220" s="974" t="n"/>
    </row>
    <row r="221" ht="14.25" customHeight="1">
      <c r="A221" s="993" t="n"/>
      <c r="B221" s="972" t="n"/>
      <c r="C221" s="973" t="n"/>
      <c r="D221" s="994" t="n"/>
      <c r="E221" s="994" t="n"/>
      <c r="F221" s="994" t="n"/>
      <c r="G221" s="994" t="n"/>
      <c r="H221" s="994" t="n"/>
      <c r="I221" s="973" t="n"/>
      <c r="J221" s="973" t="n"/>
      <c r="K221" s="995" t="n"/>
      <c r="L221" s="996" t="n"/>
      <c r="M221" s="987" t="n"/>
      <c r="N221" s="988">
        <f>IFERROR(IF(DATEDIF(TODAY(),M221,"M")&lt;=6,"ROJO",IF(DATEDIF(TODAY(),M221,"M")&gt;=12,"VERDE",IF(AND(DATEDIF(TODAY(),M221,"M")&gt;6,DATEDIF(TODAY(),M221,"M")&lt;=11),"AMARILLO",IF(M221&lt;TODAY(),"VENCIDO",0)))),O221)</f>
        <v/>
      </c>
      <c r="O221" s="989">
        <f>IF(M221=0,"","VENCIDO")</f>
        <v/>
      </c>
      <c r="Q221" s="997" t="n"/>
      <c r="R221" s="994" t="n"/>
      <c r="S221" s="994" t="n"/>
      <c r="T221" s="994" t="n"/>
      <c r="U221" s="994" t="n"/>
      <c r="V221" s="994" t="n"/>
      <c r="W221" s="994" t="n"/>
      <c r="X221" s="994" t="n"/>
      <c r="Y221" s="994" t="n"/>
      <c r="Z221" s="994" t="n"/>
      <c r="AA221" s="994" t="n"/>
      <c r="AB221" s="994" t="n"/>
      <c r="AC221" s="974" t="n"/>
    </row>
    <row r="222" ht="14.25" customHeight="1">
      <c r="A222" s="993" t="n"/>
      <c r="B222" s="972" t="n"/>
      <c r="C222" s="973" t="n"/>
      <c r="D222" s="994" t="n"/>
      <c r="E222" s="994" t="n"/>
      <c r="F222" s="994" t="n"/>
      <c r="G222" s="994" t="n"/>
      <c r="H222" s="994" t="n"/>
      <c r="I222" s="973" t="n"/>
      <c r="J222" s="973" t="n"/>
      <c r="K222" s="995" t="n"/>
      <c r="L222" s="996" t="n"/>
      <c r="M222" s="987" t="n"/>
      <c r="N222" s="988">
        <f>IFERROR(IF(DATEDIF(TODAY(),M222,"M")&lt;=6,"ROJO",IF(DATEDIF(TODAY(),M222,"M")&gt;=12,"VERDE",IF(AND(DATEDIF(TODAY(),M222,"M")&gt;6,DATEDIF(TODAY(),M222,"M")&lt;=11),"AMARILLO",IF(M222&lt;TODAY(),"VENCIDO",0)))),O222)</f>
        <v/>
      </c>
      <c r="O222" s="989">
        <f>IF(M222=0,"","VENCIDO")</f>
        <v/>
      </c>
      <c r="Q222" s="997" t="n"/>
      <c r="R222" s="994" t="n"/>
      <c r="S222" s="994" t="n"/>
      <c r="T222" s="994" t="n"/>
      <c r="U222" s="994" t="n"/>
      <c r="V222" s="994" t="n"/>
      <c r="W222" s="994" t="n"/>
      <c r="X222" s="994" t="n"/>
      <c r="Y222" s="994" t="n"/>
      <c r="Z222" s="994" t="n"/>
      <c r="AA222" s="994" t="n"/>
      <c r="AB222" s="994" t="n"/>
      <c r="AC222" s="974" t="n"/>
    </row>
    <row r="223" ht="15" customHeight="1" thickBot="1">
      <c r="A223" s="993" t="n"/>
      <c r="B223" s="972" t="n"/>
      <c r="C223" s="975" t="n"/>
      <c r="D223" s="998" t="n"/>
      <c r="E223" s="998" t="n"/>
      <c r="F223" s="998" t="n"/>
      <c r="G223" s="998" t="n"/>
      <c r="H223" s="998" t="n"/>
      <c r="I223" s="975" t="n"/>
      <c r="J223" s="975" t="n"/>
      <c r="K223" s="1000" t="n"/>
      <c r="L223" s="1001" t="n"/>
      <c r="M223" s="987" t="n"/>
      <c r="N223" s="988">
        <f>IFERROR(IF(DATEDIF(TODAY(),M223,"M")&lt;=6,"ROJO",IF(DATEDIF(TODAY(),M223,"M")&gt;=12,"VERDE",IF(AND(DATEDIF(TODAY(),M223,"M")&gt;6,DATEDIF(TODAY(),M223,"M")&lt;=11),"AMARILLO",IF(M223&lt;TODAY(),"VENCIDO",0)))),O223)</f>
        <v/>
      </c>
      <c r="O223" s="989">
        <f>IF(M223=0,"","VENCIDO")</f>
        <v/>
      </c>
      <c r="Q223" s="1002" t="n"/>
      <c r="R223" s="998" t="n"/>
      <c r="S223" s="998" t="n"/>
      <c r="T223" s="998" t="n"/>
      <c r="U223" s="998" t="n"/>
      <c r="V223" s="998" t="n"/>
      <c r="W223" s="998" t="n"/>
      <c r="X223" s="998" t="n"/>
      <c r="Y223" s="998" t="n"/>
      <c r="Z223" s="998" t="n"/>
      <c r="AA223" s="998" t="n"/>
      <c r="AB223" s="998" t="n"/>
      <c r="AC223" s="1003" t="n"/>
    </row>
    <row r="224" ht="14.4" customHeight="1" thickBot="1">
      <c r="A224" s="1004" t="n"/>
      <c r="B224" s="1005" t="n"/>
      <c r="C224" s="1021" t="n"/>
      <c r="D224" s="1022" t="n"/>
      <c r="E224" s="1022" t="n"/>
      <c r="F224" s="1023" t="n"/>
      <c r="G224" s="1023" t="n"/>
      <c r="H224" s="1023" t="n"/>
      <c r="I224" s="1024" t="n"/>
      <c r="J224" s="1010">
        <f>J219=K224</f>
        <v/>
      </c>
      <c r="K224" s="1025">
        <f>SUM(K219:K223)</f>
        <v/>
      </c>
      <c r="L224" s="1015" t="n"/>
      <c r="M224" s="1013" t="n"/>
      <c r="N224" s="1014">
        <f>IFERROR(IF(DATEDIF(TODAY(),M224,"M")&lt;=6,"ROJO",IF(DATEDIF(TODAY(),M224,"M")&gt;=12,"VERDE",IF(AND(DATEDIF(TODAY(),M224,"M")&gt;6,DATEDIF(TODAY(),M224,"M")&lt;=11),"AMARILLO",IF(M224&lt;TODAY(),"VENCIDO",0)))),O224)</f>
        <v/>
      </c>
      <c r="O224" s="989">
        <f>IF(M224=0,"","VENCIDO")</f>
        <v/>
      </c>
      <c r="Q224" s="1015" t="n"/>
      <c r="R224" s="1016" t="n"/>
      <c r="S224" s="1016" t="n"/>
      <c r="T224" s="1016" t="n"/>
      <c r="U224" s="1016" t="n"/>
      <c r="V224" s="1016" t="n"/>
      <c r="W224" s="1016" t="n"/>
      <c r="X224" s="1016" t="n"/>
      <c r="Y224" s="1016" t="n"/>
      <c r="Z224" s="1016" t="n"/>
      <c r="AA224" s="1016" t="n"/>
      <c r="AB224" s="1016" t="n"/>
      <c r="AC224" s="194" t="n"/>
    </row>
    <row r="225" ht="14.25" customHeight="1">
      <c r="A225" s="979" t="inlineStr">
        <is>
          <t>Meningococo (solvente)</t>
        </is>
      </c>
      <c r="B225" s="980" t="n"/>
      <c r="C225" s="1017">
        <f>ENERO!K296</f>
        <v/>
      </c>
      <c r="D225" s="1018" t="n"/>
      <c r="E225" s="1018" t="n"/>
      <c r="F225" s="1018" t="n"/>
      <c r="G225" s="1018" t="n"/>
      <c r="H225" s="1018" t="n"/>
      <c r="I225" s="983">
        <f>AC225</f>
        <v/>
      </c>
      <c r="J225" s="1019">
        <f>+(C225+D225+F225+E225)-(G225+H225+I225)</f>
        <v/>
      </c>
      <c r="K225" s="985" t="n"/>
      <c r="L225" s="986" t="n"/>
      <c r="M225" s="987" t="n"/>
      <c r="N225" s="988">
        <f>IFERROR(IF(DATEDIF(TODAY(),M225,"M")&lt;=6,"ROJO",IF(DATEDIF(TODAY(),M225,"M")&gt;=12,"VERDE",IF(AND(DATEDIF(TODAY(),M225,"M")&gt;6,DATEDIF(TODAY(),M225,"M")&lt;=11),"AMARILLO",IF(M225&lt;TODAY(),"VENCIDO",0)))),O225)</f>
        <v/>
      </c>
      <c r="O225" s="989">
        <f>IF(M225=0,"","VENCIDO")</f>
        <v/>
      </c>
      <c r="Q225" s="1032" t="n"/>
      <c r="R225" s="1033" t="n"/>
      <c r="S225" s="1033" t="n"/>
      <c r="T225" s="1033" t="n"/>
      <c r="U225" s="1033" t="n"/>
      <c r="V225" s="1033" t="n"/>
      <c r="W225" s="1033" t="n"/>
      <c r="X225" s="1033" t="n"/>
      <c r="Y225" s="1033" t="n"/>
      <c r="Z225" s="1033" t="n"/>
      <c r="AA225" s="1033" t="n"/>
      <c r="AB225" s="1033" t="n"/>
      <c r="AC225" s="992">
        <f>SUM(Q225:AB229)</f>
        <v/>
      </c>
      <c r="AH225" s="2">
        <f>+IF(AC225&lt;&gt;I225,1,0)</f>
        <v/>
      </c>
    </row>
    <row r="226" ht="14.25" customHeight="1">
      <c r="A226" s="993" t="n"/>
      <c r="B226" s="972" t="n"/>
      <c r="C226" s="973" t="n"/>
      <c r="D226" s="994" t="n"/>
      <c r="E226" s="994" t="n"/>
      <c r="F226" s="994" t="n"/>
      <c r="G226" s="994" t="n"/>
      <c r="H226" s="994" t="n"/>
      <c r="I226" s="973" t="n"/>
      <c r="J226" s="973" t="n"/>
      <c r="K226" s="995" t="n"/>
      <c r="L226" s="996" t="n"/>
      <c r="M226" s="987" t="n"/>
      <c r="N226" s="988">
        <f>IFERROR(IF(DATEDIF(TODAY(),M226,"M")&lt;=6,"ROJO",IF(DATEDIF(TODAY(),M226,"M")&gt;=12,"VERDE",IF(AND(DATEDIF(TODAY(),M226,"M")&gt;6,DATEDIF(TODAY(),M226,"M")&lt;=11),"AMARILLO",IF(M226&lt;TODAY(),"VENCIDO",0)))),O226)</f>
        <v/>
      </c>
      <c r="O226" s="989">
        <f>IF(M226=0,"","VENCIDO")</f>
        <v/>
      </c>
      <c r="Q226" s="997" t="n"/>
      <c r="R226" s="994" t="n"/>
      <c r="S226" s="994" t="n"/>
      <c r="T226" s="994" t="n"/>
      <c r="U226" s="994" t="n"/>
      <c r="V226" s="994" t="n"/>
      <c r="W226" s="994" t="n"/>
      <c r="X226" s="994" t="n"/>
      <c r="Y226" s="994" t="n"/>
      <c r="Z226" s="994" t="n"/>
      <c r="AA226" s="994" t="n"/>
      <c r="AB226" s="994" t="n"/>
      <c r="AC226" s="974" t="n"/>
    </row>
    <row r="227" ht="14.25" customHeight="1">
      <c r="A227" s="993" t="n"/>
      <c r="B227" s="972" t="n"/>
      <c r="C227" s="973" t="n"/>
      <c r="D227" s="994" t="n"/>
      <c r="E227" s="994" t="n"/>
      <c r="F227" s="994" t="n"/>
      <c r="G227" s="994" t="n"/>
      <c r="H227" s="994" t="n"/>
      <c r="I227" s="973" t="n"/>
      <c r="J227" s="973" t="n"/>
      <c r="K227" s="995" t="n"/>
      <c r="L227" s="996" t="n"/>
      <c r="M227" s="987" t="n"/>
      <c r="N227" s="988">
        <f>IFERROR(IF(DATEDIF(TODAY(),M227,"M")&lt;=6,"ROJO",IF(DATEDIF(TODAY(),M227,"M")&gt;=12,"VERDE",IF(AND(DATEDIF(TODAY(),M227,"M")&gt;6,DATEDIF(TODAY(),M227,"M")&lt;=11),"AMARILLO",IF(M227&lt;TODAY(),"VENCIDO",0)))),O227)</f>
        <v/>
      </c>
      <c r="O227" s="989">
        <f>IF(M227=0,"","VENCIDO")</f>
        <v/>
      </c>
      <c r="Q227" s="997" t="n"/>
      <c r="R227" s="994" t="n"/>
      <c r="S227" s="994" t="n"/>
      <c r="T227" s="994" t="n"/>
      <c r="U227" s="994" t="n"/>
      <c r="V227" s="994" t="n"/>
      <c r="W227" s="994" t="n"/>
      <c r="X227" s="994" t="n"/>
      <c r="Y227" s="994" t="n"/>
      <c r="Z227" s="994" t="n"/>
      <c r="AA227" s="994" t="n"/>
      <c r="AB227" s="994" t="n"/>
      <c r="AC227" s="974" t="n"/>
    </row>
    <row r="228" ht="14.25" customHeight="1">
      <c r="A228" s="993" t="n"/>
      <c r="B228" s="972" t="n"/>
      <c r="C228" s="973" t="n"/>
      <c r="D228" s="994" t="n"/>
      <c r="E228" s="994" t="n"/>
      <c r="F228" s="994" t="n"/>
      <c r="G228" s="994" t="n"/>
      <c r="H228" s="994" t="n"/>
      <c r="I228" s="973" t="n"/>
      <c r="J228" s="973" t="n"/>
      <c r="K228" s="995" t="n"/>
      <c r="L228" s="996" t="n"/>
      <c r="M228" s="987" t="n"/>
      <c r="N228" s="988">
        <f>IFERROR(IF(DATEDIF(TODAY(),M228,"M")&lt;=6,"ROJO",IF(DATEDIF(TODAY(),M228,"M")&gt;=12,"VERDE",IF(AND(DATEDIF(TODAY(),M228,"M")&gt;6,DATEDIF(TODAY(),M228,"M")&lt;=11),"AMARILLO",IF(M228&lt;TODAY(),"VENCIDO",0)))),O228)</f>
        <v/>
      </c>
      <c r="O228" s="989">
        <f>IF(M228=0,"","VENCIDO")</f>
        <v/>
      </c>
      <c r="Q228" s="997" t="n"/>
      <c r="R228" s="994" t="n"/>
      <c r="S228" s="994" t="n"/>
      <c r="T228" s="994" t="n"/>
      <c r="U228" s="994" t="n"/>
      <c r="V228" s="994" t="n"/>
      <c r="W228" s="994" t="n"/>
      <c r="X228" s="994" t="n"/>
      <c r="Y228" s="994" t="n"/>
      <c r="Z228" s="994" t="n"/>
      <c r="AA228" s="994" t="n"/>
      <c r="AB228" s="994" t="n"/>
      <c r="AC228" s="974" t="n"/>
    </row>
    <row r="229" ht="15" customHeight="1" thickBot="1">
      <c r="A229" s="993" t="n"/>
      <c r="B229" s="972" t="n"/>
      <c r="C229" s="999" t="n"/>
      <c r="D229" s="1020" t="n"/>
      <c r="E229" s="1020" t="n"/>
      <c r="F229" s="1020" t="n"/>
      <c r="G229" s="1020" t="n"/>
      <c r="H229" s="1020" t="n"/>
      <c r="I229" s="999" t="n"/>
      <c r="J229" s="999" t="n"/>
      <c r="K229" s="1000" t="n"/>
      <c r="L229" s="1001" t="n"/>
      <c r="M229" s="987" t="n"/>
      <c r="N229" s="988">
        <f>IFERROR(IF(DATEDIF(TODAY(),M229,"M")&lt;=6,"ROJO",IF(DATEDIF(TODAY(),M229,"M")&gt;=12,"VERDE",IF(AND(DATEDIF(TODAY(),M229,"M")&gt;6,DATEDIF(TODAY(),M229,"M")&lt;=11),"AMARILLO",IF(M229&lt;TODAY(),"VENCIDO",0)))),O229)</f>
        <v/>
      </c>
      <c r="O229" s="989">
        <f>IF(M229=0,"","VENCIDO")</f>
        <v/>
      </c>
      <c r="Q229" s="1034" t="n"/>
      <c r="R229" s="1020" t="n"/>
      <c r="S229" s="1020" t="n"/>
      <c r="T229" s="1020" t="n"/>
      <c r="U229" s="1020" t="n"/>
      <c r="V229" s="1020" t="n"/>
      <c r="W229" s="1020" t="n"/>
      <c r="X229" s="1020" t="n"/>
      <c r="Y229" s="1020" t="n"/>
      <c r="Z229" s="1020" t="n"/>
      <c r="AA229" s="1020" t="n"/>
      <c r="AB229" s="1020" t="n"/>
      <c r="AC229" s="1003" t="n"/>
    </row>
    <row r="230" ht="14.4" customHeight="1" thickBot="1">
      <c r="A230" s="1004" t="n"/>
      <c r="B230" s="1005" t="n"/>
      <c r="C230" s="1021" t="n"/>
      <c r="D230" s="1022" t="n"/>
      <c r="E230" s="1022" t="n"/>
      <c r="F230" s="1023" t="n"/>
      <c r="G230" s="1023" t="n"/>
      <c r="H230" s="1023" t="n"/>
      <c r="I230" s="1024" t="n"/>
      <c r="J230" s="1010">
        <f>J225=K230</f>
        <v/>
      </c>
      <c r="K230" s="1025">
        <f>SUM(K225:K229)</f>
        <v/>
      </c>
      <c r="L230" s="1015" t="n"/>
      <c r="M230" s="1035" t="n"/>
      <c r="N230" s="1014">
        <f>IFERROR(IF(DATEDIF(TODAY(),M230,"M")&lt;=6,"ROJO",IF(DATEDIF(TODAY(),M230,"M")&gt;=12,"VERDE",IF(AND(DATEDIF(TODAY(),M230,"M")&gt;6,DATEDIF(TODAY(),M230,"M")&lt;=11),"AMARILLO",IF(M230&lt;TODAY(),"VENCIDO",0)))),O230)</f>
        <v/>
      </c>
      <c r="O230" s="989">
        <f>IF(M230=0,"","VENCIDO")</f>
        <v/>
      </c>
      <c r="Q230" s="1015" t="n"/>
      <c r="R230" s="1016" t="n"/>
      <c r="S230" s="1016" t="n"/>
      <c r="T230" s="1016" t="n"/>
      <c r="U230" s="1016" t="n"/>
      <c r="V230" s="1016" t="n"/>
      <c r="W230" s="1016" t="n"/>
      <c r="X230" s="1016" t="n"/>
      <c r="Y230" s="1016" t="n"/>
      <c r="Z230" s="1016" t="n"/>
      <c r="AA230" s="1016" t="n"/>
      <c r="AB230" s="1016" t="n"/>
      <c r="AC230" s="194" t="n"/>
    </row>
    <row r="231" ht="32.25" customHeight="1" thickBot="1">
      <c r="A231" s="834" t="inlineStr">
        <is>
          <t>JERINGAS</t>
        </is>
      </c>
      <c r="B231" s="978" t="n"/>
      <c r="C231" s="1036" t="n"/>
      <c r="D231" s="1036" t="n"/>
      <c r="E231" s="1036" t="n"/>
      <c r="F231" s="1036" t="n"/>
      <c r="G231" s="1036" t="n"/>
      <c r="H231" s="1036" t="n"/>
      <c r="I231" s="1037" t="n"/>
      <c r="J231" s="1037" t="n"/>
      <c r="K231" s="1037" t="n"/>
      <c r="L231" s="1037" t="n"/>
      <c r="M231" s="1038" t="n"/>
      <c r="N231" s="1039" t="n"/>
      <c r="O231" s="1040">
        <f>IF(M231=0,"","VENCIDO")</f>
        <v/>
      </c>
      <c r="Q231" s="1015" t="n"/>
      <c r="R231" s="1016" t="n"/>
      <c r="S231" s="1016" t="n"/>
      <c r="T231" s="1016" t="n"/>
      <c r="U231" s="1016" t="n"/>
      <c r="V231" s="1016" t="n"/>
      <c r="W231" s="1016" t="n"/>
      <c r="X231" s="1016" t="n"/>
      <c r="Y231" s="1016" t="n"/>
      <c r="Z231" s="1016" t="n"/>
      <c r="AA231" s="1016" t="n"/>
      <c r="AB231" s="1016" t="n"/>
      <c r="AC231" s="194" t="n"/>
    </row>
    <row r="232" ht="14.25" customHeight="1">
      <c r="A232" s="979" t="inlineStr">
        <is>
          <t>Jeringa Desechable 22G1 1/2" AD</t>
        </is>
      </c>
      <c r="B232" s="980" t="n"/>
      <c r="C232" s="981">
        <f>ENERO!K303</f>
        <v/>
      </c>
      <c r="D232" s="982" t="n"/>
      <c r="E232" s="982" t="n"/>
      <c r="F232" s="982" t="n"/>
      <c r="G232" s="982" t="n"/>
      <c r="H232" s="982" t="n"/>
      <c r="I232" s="1026">
        <f>+AC232</f>
        <v/>
      </c>
      <c r="J232" s="984">
        <f>+(C240+D240+F240+E240)-(G240+H240+I240)</f>
        <v/>
      </c>
      <c r="K232" s="985" t="n">
        <v>2000</v>
      </c>
      <c r="L232" s="35" t="n">
        <v>90265</v>
      </c>
      <c r="M232" s="1041" t="n">
        <v>45535</v>
      </c>
      <c r="N232" s="988">
        <f>IFERROR(IF(DATEDIF(TODAY(),M232,"M")&lt;=6,"ROJO",IF(DATEDIF(TODAY(),M232,"M")&gt;=12,"VERDE",IF(AND(DATEDIF(TODAY(),M232,"M")&gt;6,DATEDIF(TODAY(),M232,"M")&lt;=11),"AMARILLO",IF(M232&lt;TODAY(),"VENCIDO",0)))),O232)</f>
        <v/>
      </c>
      <c r="O232" s="1042">
        <f>IF(M232=0,"","VENCIDO")</f>
        <v/>
      </c>
      <c r="Q232" s="990" t="n"/>
      <c r="R232" s="991" t="n"/>
      <c r="S232" s="991" t="n"/>
      <c r="T232" s="991" t="n"/>
      <c r="U232" s="991" t="n"/>
      <c r="V232" s="991" t="n"/>
      <c r="W232" s="991" t="n"/>
      <c r="X232" s="991" t="n"/>
      <c r="Y232" s="991" t="n"/>
      <c r="Z232" s="991" t="n"/>
      <c r="AA232" s="991" t="n"/>
      <c r="AB232" s="991" t="n"/>
      <c r="AC232" s="992">
        <f>SUM(Q232:AB238)</f>
        <v/>
      </c>
      <c r="AH232" s="2">
        <f>+IF(AC232&lt;&gt;I232,1,0)</f>
        <v/>
      </c>
    </row>
    <row r="233" ht="14.25" customHeight="1">
      <c r="A233" s="993" t="n"/>
      <c r="B233" s="972" t="n"/>
      <c r="C233" s="973" t="n"/>
      <c r="D233" s="994" t="n"/>
      <c r="E233" s="994" t="n"/>
      <c r="F233" s="994" t="n"/>
      <c r="G233" s="994" t="n"/>
      <c r="H233" s="994" t="n"/>
      <c r="I233" s="973" t="n"/>
      <c r="J233" s="973" t="n"/>
      <c r="K233" s="995" t="n">
        <v>4000</v>
      </c>
      <c r="L233" s="36" t="n">
        <v>200023</v>
      </c>
      <c r="M233" s="1043" t="n">
        <v>45747</v>
      </c>
      <c r="N233" s="988">
        <f>IFERROR(IF(DATEDIF(TODAY(),M233,"M")&lt;=6,"ROJO",IF(DATEDIF(TODAY(),M233,"M")&gt;=12,"VERDE",IF(AND(DATEDIF(TODAY(),M233,"M")&gt;6,DATEDIF(TODAY(),M233,"M")&lt;=11),"AMARILLO",IF(M233&lt;TODAY(),"VENCIDO",0)))),O233)</f>
        <v/>
      </c>
      <c r="O233" s="1042">
        <f>IF(M233=0,"","VENCIDO")</f>
        <v/>
      </c>
      <c r="Q233" s="997" t="n"/>
      <c r="R233" s="994" t="n"/>
      <c r="S233" s="994" t="n"/>
      <c r="T233" s="994" t="n"/>
      <c r="U233" s="994" t="n"/>
      <c r="V233" s="994" t="n"/>
      <c r="W233" s="994" t="n"/>
      <c r="X233" s="994" t="n"/>
      <c r="Y233" s="994" t="n"/>
      <c r="Z233" s="994" t="n"/>
      <c r="AA233" s="994" t="n"/>
      <c r="AB233" s="994" t="n"/>
      <c r="AC233" s="974" t="n"/>
    </row>
    <row r="234" ht="14.25" customHeight="1">
      <c r="A234" s="993" t="n"/>
      <c r="B234" s="972" t="n"/>
      <c r="C234" s="973" t="n"/>
      <c r="D234" s="994" t="n"/>
      <c r="E234" s="994" t="n"/>
      <c r="F234" s="994" t="n"/>
      <c r="G234" s="994" t="n"/>
      <c r="H234" s="994" t="n"/>
      <c r="I234" s="973" t="n"/>
      <c r="J234" s="973" t="n"/>
      <c r="K234" s="995" t="n">
        <v>17540</v>
      </c>
      <c r="L234" s="36" t="n">
        <v>200024</v>
      </c>
      <c r="M234" s="1043" t="n">
        <v>45747</v>
      </c>
      <c r="N234" s="988">
        <f>IFERROR(IF(DATEDIF(TODAY(),M234,"M")&lt;=6,"ROJO",IF(DATEDIF(TODAY(),M234,"M")&gt;=12,"VERDE",IF(AND(DATEDIF(TODAY(),M234,"M")&gt;6,DATEDIF(TODAY(),M234,"M")&lt;=11),"AMARILLO",IF(M234&lt;TODAY(),"VENCIDO",0)))),O234)</f>
        <v/>
      </c>
      <c r="O234" s="1042">
        <f>IF(M234=0,"","VENCIDO")</f>
        <v/>
      </c>
      <c r="Q234" s="997" t="n"/>
      <c r="R234" s="994" t="n"/>
      <c r="S234" s="994" t="n"/>
      <c r="T234" s="994" t="n"/>
      <c r="U234" s="994" t="n"/>
      <c r="V234" s="994" t="n"/>
      <c r="W234" s="994" t="n"/>
      <c r="X234" s="994" t="n"/>
      <c r="Y234" s="994" t="n"/>
      <c r="Z234" s="994" t="n"/>
      <c r="AA234" s="994" t="n"/>
      <c r="AB234" s="994" t="n"/>
      <c r="AC234" s="974" t="n"/>
    </row>
    <row r="235" ht="14.25" customHeight="1">
      <c r="A235" s="993" t="n"/>
      <c r="B235" s="972" t="n"/>
      <c r="C235" s="973" t="n"/>
      <c r="D235" s="994" t="n"/>
      <c r="E235" s="994" t="n"/>
      <c r="F235" s="994" t="n"/>
      <c r="G235" s="994" t="n"/>
      <c r="H235" s="994" t="n"/>
      <c r="I235" s="973" t="n"/>
      <c r="J235" s="973" t="n"/>
      <c r="K235" s="995" t="n">
        <v>6000</v>
      </c>
      <c r="L235" s="36" t="n">
        <v>200035</v>
      </c>
      <c r="M235" s="1043" t="n">
        <v>45808</v>
      </c>
      <c r="N235" s="988">
        <f>IFERROR(IF(DATEDIF(TODAY(),M235,"M")&lt;=6,"ROJO",IF(DATEDIF(TODAY(),M235,"M")&gt;=12,"VERDE",IF(AND(DATEDIF(TODAY(),M235,"M")&gt;6,DATEDIF(TODAY(),M235,"M")&lt;=11),"AMARILLO",IF(M235&lt;TODAY(),"VENCIDO",0)))),O235)</f>
        <v/>
      </c>
      <c r="O235" s="1042">
        <f>IF(M235=0,"","VENCIDO")</f>
        <v/>
      </c>
      <c r="Q235" s="997" t="n"/>
      <c r="R235" s="994" t="n"/>
      <c r="S235" s="994" t="n"/>
      <c r="T235" s="994" t="n"/>
      <c r="U235" s="994" t="n"/>
      <c r="V235" s="994" t="n"/>
      <c r="W235" s="994" t="n"/>
      <c r="X235" s="994" t="n"/>
      <c r="Y235" s="994" t="n"/>
      <c r="Z235" s="994" t="n"/>
      <c r="AA235" s="994" t="n"/>
      <c r="AB235" s="994" t="n"/>
      <c r="AC235" s="974" t="n"/>
    </row>
    <row r="236" ht="14.25" customHeight="1">
      <c r="A236" s="993" t="n"/>
      <c r="B236" s="972" t="n"/>
      <c r="C236" s="973" t="n"/>
      <c r="D236" s="994" t="n"/>
      <c r="E236" s="994" t="n"/>
      <c r="F236" s="994" t="n"/>
      <c r="G236" s="994" t="n"/>
      <c r="H236" s="994" t="n"/>
      <c r="I236" s="973" t="n"/>
      <c r="J236" s="973" t="n"/>
      <c r="K236" s="995" t="n">
        <v>3000</v>
      </c>
      <c r="L236" s="36" t="n">
        <v>200035</v>
      </c>
      <c r="M236" s="1043" t="n">
        <v>45808</v>
      </c>
      <c r="N236" s="988">
        <f>IFERROR(IF(DATEDIF(TODAY(),M236,"M")&lt;=6,"ROJO",IF(DATEDIF(TODAY(),M236,"M")&gt;=12,"VERDE",IF(AND(DATEDIF(TODAY(),M236,"M")&gt;6,DATEDIF(TODAY(),M236,"M")&lt;=11),"AMARILLO",IF(M236&lt;TODAY(),"VENCIDO",0)))),O236)</f>
        <v/>
      </c>
      <c r="O236" s="1042">
        <f>IF(M236=0,"","VENCIDO")</f>
        <v/>
      </c>
      <c r="Q236" s="997" t="n"/>
      <c r="R236" s="994" t="n"/>
      <c r="S236" s="994" t="n"/>
      <c r="T236" s="994" t="n"/>
      <c r="U236" s="994" t="n"/>
      <c r="V236" s="994" t="n"/>
      <c r="W236" s="994" t="n"/>
      <c r="X236" s="994" t="n"/>
      <c r="Y236" s="994" t="n"/>
      <c r="Z236" s="994" t="n"/>
      <c r="AA236" s="994" t="n"/>
      <c r="AB236" s="994" t="n"/>
      <c r="AC236" s="974" t="n"/>
    </row>
    <row r="237" ht="14.25" customHeight="1">
      <c r="A237" s="993" t="n"/>
      <c r="B237" s="972" t="n"/>
      <c r="C237" s="973" t="n"/>
      <c r="D237" s="994" t="n"/>
      <c r="E237" s="994" t="n"/>
      <c r="F237" s="994" t="n"/>
      <c r="G237" s="994" t="n"/>
      <c r="H237" s="994" t="n"/>
      <c r="I237" s="973" t="n"/>
      <c r="J237" s="973" t="n"/>
      <c r="K237" s="995" t="n"/>
      <c r="L237" s="995" t="n"/>
      <c r="M237" s="1043" t="n"/>
      <c r="N237" s="988">
        <f>IFERROR(IF(DATEDIF(TODAY(),M237,"M")&lt;=6,"ROJO",IF(DATEDIF(TODAY(),M237,"M")&gt;=12,"VERDE",IF(AND(DATEDIF(TODAY(),M237,"M")&gt;6,DATEDIF(TODAY(),M237,"M")&lt;=11),"AMARILLO",IF(M237&lt;TODAY(),"VENCIDO",0)))),O237)</f>
        <v/>
      </c>
      <c r="O237" s="1042">
        <f>IF(M237=0,"","VENCIDO")</f>
        <v/>
      </c>
      <c r="Q237" s="997" t="n"/>
      <c r="R237" s="994" t="n"/>
      <c r="S237" s="994" t="n"/>
      <c r="T237" s="994" t="n"/>
      <c r="U237" s="994" t="n"/>
      <c r="V237" s="994" t="n"/>
      <c r="W237" s="994" t="n"/>
      <c r="X237" s="994" t="n"/>
      <c r="Y237" s="994" t="n"/>
      <c r="Z237" s="994" t="n"/>
      <c r="AA237" s="994" t="n"/>
      <c r="AB237" s="994" t="n"/>
      <c r="AC237" s="974" t="n"/>
    </row>
    <row r="238" ht="15" customHeight="1" thickBot="1">
      <c r="A238" s="993" t="n"/>
      <c r="B238" s="972" t="n"/>
      <c r="C238" s="975" t="n"/>
      <c r="D238" s="998" t="n"/>
      <c r="E238" s="998" t="n"/>
      <c r="F238" s="998" t="n"/>
      <c r="G238" s="998" t="n"/>
      <c r="H238" s="998" t="n"/>
      <c r="I238" s="975" t="n"/>
      <c r="J238" s="975" t="n"/>
      <c r="K238" s="1000" t="n"/>
      <c r="L238" s="1000" t="n"/>
      <c r="M238" s="1044" t="n"/>
      <c r="N238" s="988">
        <f>IFERROR(IF(DATEDIF(TODAY(),M238,"M")&lt;=6,"ROJO",IF(DATEDIF(TODAY(),M238,"M")&gt;=12,"VERDE",IF(AND(DATEDIF(TODAY(),M238,"M")&gt;6,DATEDIF(TODAY(),M238,"M")&lt;=11),"AMARILLO",IF(M238&lt;TODAY(),"VENCIDO",0)))),O238)</f>
        <v/>
      </c>
      <c r="O238" s="1042">
        <f>IF(M238=0,"","VENCIDO")</f>
        <v/>
      </c>
      <c r="Q238" s="1002" t="n"/>
      <c r="R238" s="998" t="n"/>
      <c r="S238" s="998" t="n"/>
      <c r="T238" s="998" t="n"/>
      <c r="U238" s="998" t="n"/>
      <c r="V238" s="998" t="n"/>
      <c r="W238" s="998" t="n"/>
      <c r="X238" s="998" t="n"/>
      <c r="Y238" s="998" t="n"/>
      <c r="Z238" s="998" t="n"/>
      <c r="AA238" s="998" t="n"/>
      <c r="AB238" s="998" t="n"/>
      <c r="AC238" s="1003" t="n"/>
    </row>
    <row r="239" ht="14.4" customHeight="1" thickBot="1">
      <c r="A239" s="1004" t="n"/>
      <c r="B239" s="1005" t="n"/>
      <c r="C239" s="1021" t="n"/>
      <c r="D239" s="1022" t="n"/>
      <c r="E239" s="1022" t="n"/>
      <c r="F239" s="1023" t="n"/>
      <c r="G239" s="1023" t="n"/>
      <c r="H239" s="1023" t="n"/>
      <c r="I239" s="1024" t="n"/>
      <c r="J239" s="1010">
        <f>J232=K239</f>
        <v/>
      </c>
      <c r="K239" s="1025">
        <f>SUM(K232:K238)</f>
        <v/>
      </c>
      <c r="L239" s="1015" t="n"/>
      <c r="M239" s="1045" t="n"/>
      <c r="N239" s="1014">
        <f>IFERROR(IF(DATEDIF(TODAY(),M239,"M")&lt;=6,"ROJO",IF(DATEDIF(TODAY(),M239,"M")&gt;=12,"VERDE",IF(AND(DATEDIF(TODAY(),M239,"M")&gt;6,DATEDIF(TODAY(),M239,"M")&lt;=11),"AMARILLO",IF(M239&lt;TODAY(),"VENCIDO",0)))),O239)</f>
        <v/>
      </c>
      <c r="O239" s="1046">
        <f>IF(M239=0,"","VENCIDO")</f>
        <v/>
      </c>
      <c r="Q239" s="1015" t="n"/>
      <c r="R239" s="1016" t="n"/>
      <c r="S239" s="1016" t="n"/>
      <c r="T239" s="1016" t="n"/>
      <c r="U239" s="1016" t="n"/>
      <c r="V239" s="1016" t="n"/>
      <c r="W239" s="1016" t="n"/>
      <c r="X239" s="1016" t="n"/>
      <c r="Y239" s="1016" t="n"/>
      <c r="Z239" s="1016" t="n"/>
      <c r="AA239" s="1016" t="n"/>
      <c r="AB239" s="1016" t="n"/>
      <c r="AC239" s="194" t="n"/>
    </row>
    <row r="240" ht="14.25" customHeight="1">
      <c r="A240" s="979" t="inlineStr">
        <is>
          <t>Jeringa Desechable 22G1 1/2" Convencional</t>
        </is>
      </c>
      <c r="B240" s="980" t="n"/>
      <c r="C240" s="981">
        <f>ENERO!K317</f>
        <v/>
      </c>
      <c r="D240" s="982" t="n"/>
      <c r="E240" s="982" t="n"/>
      <c r="F240" s="982" t="n"/>
      <c r="G240" s="982" t="n"/>
      <c r="H240" s="982" t="n"/>
      <c r="I240" s="1026">
        <f>AC240</f>
        <v/>
      </c>
      <c r="J240" s="984">
        <f>+(C240+D240+F240+E240)-(G240+H240+I240)</f>
        <v/>
      </c>
      <c r="K240" s="985" t="n"/>
      <c r="L240" s="35" t="n"/>
      <c r="M240" s="1041" t="n"/>
      <c r="N240" s="988">
        <f>IFERROR(IF(DATEDIF(TODAY(),M240,"M")&lt;=6,"ROJO",IF(DATEDIF(TODAY(),M240,"M")&gt;=12,"VERDE",IF(AND(DATEDIF(TODAY(),M240,"M")&gt;6,DATEDIF(TODAY(),M240,"M")&lt;=11),"AMARILLO",IF(M240&lt;TODAY(),"VENCIDO",0)))),O240)</f>
        <v/>
      </c>
      <c r="O240" s="1042">
        <f>IF(M240=0,"","VENCIDO")</f>
        <v/>
      </c>
      <c r="Q240" s="990" t="n"/>
      <c r="R240" s="991" t="n"/>
      <c r="S240" s="991" t="n"/>
      <c r="T240" s="991" t="n"/>
      <c r="U240" s="991" t="n"/>
      <c r="V240" s="991" t="n"/>
      <c r="W240" s="991" t="n"/>
      <c r="X240" s="991" t="n"/>
      <c r="Y240" s="991" t="n"/>
      <c r="Z240" s="991" t="n"/>
      <c r="AA240" s="991" t="n"/>
      <c r="AB240" s="991" t="n"/>
      <c r="AC240" s="992">
        <f>SUM(Q240:AB244)</f>
        <v/>
      </c>
      <c r="AH240" s="2">
        <f>+IF(AC240&lt;&gt;I240,1,0)</f>
        <v/>
      </c>
    </row>
    <row r="241" ht="14.25" customHeight="1">
      <c r="A241" s="993" t="n"/>
      <c r="B241" s="972" t="n"/>
      <c r="C241" s="973" t="n"/>
      <c r="D241" s="994" t="n"/>
      <c r="E241" s="994" t="n"/>
      <c r="F241" s="994" t="n"/>
      <c r="G241" s="994" t="n"/>
      <c r="H241" s="994" t="n"/>
      <c r="I241" s="973" t="n"/>
      <c r="J241" s="973" t="n"/>
      <c r="K241" s="995" t="n"/>
      <c r="L241" s="995" t="n"/>
      <c r="M241" s="1043" t="n"/>
      <c r="N241" s="988">
        <f>IFERROR(IF(DATEDIF(TODAY(),M241,"M")&lt;=6,"ROJO",IF(DATEDIF(TODAY(),M241,"M")&gt;=12,"VERDE",IF(AND(DATEDIF(TODAY(),M241,"M")&gt;6,DATEDIF(TODAY(),M241,"M")&lt;=11),"AMARILLO",IF(M241&lt;TODAY(),"VENCIDO",0)))),O241)</f>
        <v/>
      </c>
      <c r="O241" s="1042">
        <f>IF(M241=0,"","VENCIDO")</f>
        <v/>
      </c>
      <c r="Q241" s="997" t="n"/>
      <c r="R241" s="994" t="n"/>
      <c r="S241" s="994" t="n"/>
      <c r="T241" s="994" t="n"/>
      <c r="U241" s="994" t="n"/>
      <c r="V241" s="994" t="n"/>
      <c r="W241" s="994" t="n"/>
      <c r="X241" s="994" t="n"/>
      <c r="Y241" s="994" t="n"/>
      <c r="Z241" s="994" t="n"/>
      <c r="AA241" s="994" t="n"/>
      <c r="AB241" s="994" t="n"/>
      <c r="AC241" s="974" t="n"/>
    </row>
    <row r="242" ht="14.25" customHeight="1">
      <c r="A242" s="993" t="n"/>
      <c r="B242" s="972" t="n"/>
      <c r="C242" s="973" t="n"/>
      <c r="D242" s="994" t="n"/>
      <c r="E242" s="994" t="n"/>
      <c r="F242" s="994" t="n"/>
      <c r="G242" s="994" t="n"/>
      <c r="H242" s="994" t="n"/>
      <c r="I242" s="973" t="n"/>
      <c r="J242" s="973" t="n"/>
      <c r="K242" s="995" t="n"/>
      <c r="L242" s="995" t="n"/>
      <c r="M242" s="1043" t="n"/>
      <c r="N242" s="988">
        <f>IFERROR(IF(DATEDIF(TODAY(),M242,"M")&lt;=6,"ROJO",IF(DATEDIF(TODAY(),M242,"M")&gt;=12,"VERDE",IF(AND(DATEDIF(TODAY(),M242,"M")&gt;6,DATEDIF(TODAY(),M242,"M")&lt;=11),"AMARILLO",IF(M242&lt;TODAY(),"VENCIDO",0)))),O242)</f>
        <v/>
      </c>
      <c r="O242" s="1042">
        <f>IF(M242=0,"","VENCIDO")</f>
        <v/>
      </c>
      <c r="Q242" s="997" t="n"/>
      <c r="R242" s="994" t="n"/>
      <c r="S242" s="994" t="n"/>
      <c r="T242" s="994" t="n"/>
      <c r="U242" s="994" t="n"/>
      <c r="V242" s="994" t="n"/>
      <c r="W242" s="994" t="n"/>
      <c r="X242" s="994" t="n"/>
      <c r="Y242" s="994" t="n"/>
      <c r="Z242" s="994" t="n"/>
      <c r="AA242" s="994" t="n"/>
      <c r="AB242" s="994" t="n"/>
      <c r="AC242" s="974" t="n"/>
    </row>
    <row r="243" ht="14.25" customHeight="1">
      <c r="A243" s="993" t="n"/>
      <c r="B243" s="972" t="n"/>
      <c r="C243" s="973" t="n"/>
      <c r="D243" s="994" t="n"/>
      <c r="E243" s="994" t="n"/>
      <c r="F243" s="994" t="n"/>
      <c r="G243" s="994" t="n"/>
      <c r="H243" s="994" t="n"/>
      <c r="I243" s="973" t="n"/>
      <c r="J243" s="973" t="n"/>
      <c r="K243" s="995" t="n"/>
      <c r="L243" s="995" t="n"/>
      <c r="M243" s="1043" t="n"/>
      <c r="N243" s="988">
        <f>IFERROR(IF(DATEDIF(TODAY(),M243,"M")&lt;=6,"ROJO",IF(DATEDIF(TODAY(),M243,"M")&gt;=12,"VERDE",IF(AND(DATEDIF(TODAY(),M243,"M")&gt;6,DATEDIF(TODAY(),M243,"M")&lt;=11),"AMARILLO",IF(M243&lt;TODAY(),"VENCIDO",0)))),O243)</f>
        <v/>
      </c>
      <c r="O243" s="1042">
        <f>IF(M243=0,"","VENCIDO")</f>
        <v/>
      </c>
      <c r="Q243" s="997" t="n"/>
      <c r="R243" s="994" t="n"/>
      <c r="S243" s="994" t="n"/>
      <c r="T243" s="994" t="n"/>
      <c r="U243" s="994" t="n"/>
      <c r="V243" s="994" t="n"/>
      <c r="W243" s="994" t="n"/>
      <c r="X243" s="994" t="n"/>
      <c r="Y243" s="994" t="n"/>
      <c r="Z243" s="994" t="n"/>
      <c r="AA243" s="994" t="n"/>
      <c r="AB243" s="994" t="n"/>
      <c r="AC243" s="974" t="n"/>
    </row>
    <row r="244" ht="15" customHeight="1" thickBot="1">
      <c r="A244" s="993" t="n"/>
      <c r="B244" s="972" t="n"/>
      <c r="C244" s="975" t="n"/>
      <c r="D244" s="998" t="n"/>
      <c r="E244" s="998" t="n"/>
      <c r="F244" s="998" t="n"/>
      <c r="G244" s="998" t="n"/>
      <c r="H244" s="998" t="n"/>
      <c r="I244" s="975" t="n"/>
      <c r="J244" s="975" t="n"/>
      <c r="K244" s="1000" t="n"/>
      <c r="L244" s="1000" t="n"/>
      <c r="M244" s="1044" t="n"/>
      <c r="N244" s="988">
        <f>IFERROR(IF(DATEDIF(TODAY(),M244,"M")&lt;=6,"ROJO",IF(DATEDIF(TODAY(),M244,"M")&gt;=12,"VERDE",IF(AND(DATEDIF(TODAY(),M244,"M")&gt;6,DATEDIF(TODAY(),M244,"M")&lt;=11),"AMARILLO",IF(M244&lt;TODAY(),"VENCIDO",0)))),O244)</f>
        <v/>
      </c>
      <c r="O244" s="1042">
        <f>IF(M244=0,"","VENCIDO")</f>
        <v/>
      </c>
      <c r="Q244" s="1002" t="n"/>
      <c r="R244" s="998" t="n"/>
      <c r="S244" s="998" t="n"/>
      <c r="T244" s="998" t="n"/>
      <c r="U244" s="998" t="n"/>
      <c r="V244" s="998" t="n"/>
      <c r="W244" s="998" t="n"/>
      <c r="X244" s="998" t="n"/>
      <c r="Y244" s="998" t="n"/>
      <c r="Z244" s="998" t="n"/>
      <c r="AA244" s="998" t="n"/>
      <c r="AB244" s="998" t="n"/>
      <c r="AC244" s="1003" t="n"/>
    </row>
    <row r="245" ht="14.4" customHeight="1" thickBot="1">
      <c r="A245" s="1004" t="n"/>
      <c r="B245" s="1005" t="n"/>
      <c r="C245" s="1021" t="n"/>
      <c r="D245" s="1022" t="n"/>
      <c r="E245" s="1022" t="n"/>
      <c r="F245" s="1023" t="n"/>
      <c r="G245" s="1023" t="n"/>
      <c r="H245" s="1023" t="n"/>
      <c r="I245" s="1024" t="n"/>
      <c r="J245" s="1010">
        <f>J240=K245</f>
        <v/>
      </c>
      <c r="K245" s="1025">
        <f>SUM(K240:K244)</f>
        <v/>
      </c>
      <c r="L245" s="1015" t="n"/>
      <c r="M245" s="1045" t="n"/>
      <c r="N245" s="1014">
        <f>IFERROR(IF(DATEDIF(TODAY(),M245,"M")&lt;=6,"ROJO",IF(DATEDIF(TODAY(),M245,"M")&gt;=12,"VERDE",IF(AND(DATEDIF(TODAY(),M245,"M")&gt;6,DATEDIF(TODAY(),M245,"M")&lt;=11),"AMARILLO",IF(M245&lt;TODAY(),"VENCIDO",0)))),O245)</f>
        <v/>
      </c>
      <c r="O245" s="1046">
        <f>IF(M245=0,"","VENCIDO")</f>
        <v/>
      </c>
      <c r="Q245" s="1030" t="n"/>
      <c r="R245" s="1031" t="n"/>
      <c r="S245" s="1031" t="n"/>
      <c r="T245" s="1031" t="n"/>
      <c r="U245" s="1031" t="n"/>
      <c r="V245" s="1031" t="n"/>
      <c r="W245" s="1031" t="n"/>
      <c r="X245" s="1031" t="n"/>
      <c r="Y245" s="1031" t="n"/>
      <c r="Z245" s="1031" t="n"/>
      <c r="AA245" s="1031" t="n"/>
      <c r="AB245" s="1031" t="n"/>
      <c r="AC245" s="195" t="n"/>
    </row>
    <row r="246" ht="14.25" customHeight="1">
      <c r="A246" s="979" t="inlineStr">
        <is>
          <t>Jeringa Desechable 23G1" AD</t>
        </is>
      </c>
      <c r="B246" s="980" t="n"/>
      <c r="C246" s="981">
        <f>ENERO!K331</f>
        <v/>
      </c>
      <c r="D246" s="982" t="n"/>
      <c r="E246" s="982" t="n"/>
      <c r="F246" s="982" t="n"/>
      <c r="G246" s="982" t="n"/>
      <c r="H246" s="982" t="n"/>
      <c r="I246" s="1026">
        <f>AC246</f>
        <v/>
      </c>
      <c r="J246" s="984">
        <f>+(C246+D246+F246+E246)-(G246+H246+I246)</f>
        <v/>
      </c>
      <c r="K246" s="985" t="n">
        <v>25060</v>
      </c>
      <c r="L246" s="35" t="n">
        <v>210008</v>
      </c>
      <c r="M246" s="1041" t="n">
        <v>46053</v>
      </c>
      <c r="N246" s="988">
        <f>IFERROR(IF(DATEDIF(TODAY(),M246,"M")&lt;=6,"ROJO",IF(DATEDIF(TODAY(),M246,"M")&gt;=12,"VERDE",IF(AND(DATEDIF(TODAY(),M246,"M")&gt;6,DATEDIF(TODAY(),M246,"M")&lt;=11),"AMARILLO",IF(M246&lt;TODAY(),"VENCIDO",0)))),O246)</f>
        <v/>
      </c>
      <c r="O246" s="1042">
        <f>IF(M246=0,"","VENCIDO")</f>
        <v/>
      </c>
      <c r="Q246" s="990" t="n"/>
      <c r="R246" s="991" t="n"/>
      <c r="S246" s="991" t="n"/>
      <c r="T246" s="991" t="n"/>
      <c r="U246" s="991" t="n"/>
      <c r="V246" s="991" t="n"/>
      <c r="W246" s="991" t="n"/>
      <c r="X246" s="991" t="n"/>
      <c r="Y246" s="991" t="n"/>
      <c r="Z246" s="991" t="n"/>
      <c r="AA246" s="991" t="n"/>
      <c r="AB246" s="991" t="n"/>
      <c r="AC246" s="992">
        <f>SUM(Q246:AB250)</f>
        <v/>
      </c>
      <c r="AH246" s="2">
        <f>+IF(AC246&lt;&gt;I246,1,0)</f>
        <v/>
      </c>
    </row>
    <row r="247" ht="14.25" customHeight="1">
      <c r="A247" s="993" t="n"/>
      <c r="B247" s="972" t="n"/>
      <c r="C247" s="973" t="n"/>
      <c r="D247" s="994" t="n"/>
      <c r="E247" s="994" t="n"/>
      <c r="F247" s="994" t="n"/>
      <c r="G247" s="994" t="n"/>
      <c r="H247" s="994" t="n"/>
      <c r="I247" s="973" t="n"/>
      <c r="J247" s="973" t="n"/>
      <c r="K247" s="995" t="n"/>
      <c r="L247" s="995" t="n"/>
      <c r="M247" s="1043" t="n"/>
      <c r="N247" s="988">
        <f>IFERROR(IF(DATEDIF(TODAY(),M247,"M")&lt;=6,"ROJO",IF(DATEDIF(TODAY(),M247,"M")&gt;=12,"VERDE",IF(AND(DATEDIF(TODAY(),M247,"M")&gt;6,DATEDIF(TODAY(),M247,"M")&lt;=11),"AMARILLO",IF(M247&lt;TODAY(),"VENCIDO",0)))),O247)</f>
        <v/>
      </c>
      <c r="O247" s="1042">
        <f>IF(M247=0,"","VENCIDO")</f>
        <v/>
      </c>
      <c r="Q247" s="997" t="n"/>
      <c r="R247" s="994" t="n"/>
      <c r="S247" s="994" t="n"/>
      <c r="T247" s="994" t="n"/>
      <c r="U247" s="994" t="n"/>
      <c r="V247" s="994" t="n"/>
      <c r="W247" s="994" t="n"/>
      <c r="X247" s="994" t="n"/>
      <c r="Y247" s="994" t="n"/>
      <c r="Z247" s="994" t="n"/>
      <c r="AA247" s="994" t="n"/>
      <c r="AB247" s="994" t="n"/>
      <c r="AC247" s="974" t="n"/>
    </row>
    <row r="248" ht="14.25" customHeight="1">
      <c r="A248" s="993" t="n"/>
      <c r="B248" s="972" t="n"/>
      <c r="C248" s="973" t="n"/>
      <c r="D248" s="994" t="n"/>
      <c r="E248" s="994" t="n"/>
      <c r="F248" s="994" t="n"/>
      <c r="G248" s="994" t="n"/>
      <c r="H248" s="994" t="n"/>
      <c r="I248" s="973" t="n"/>
      <c r="J248" s="973" t="n"/>
      <c r="K248" s="995" t="n"/>
      <c r="L248" s="995" t="n"/>
      <c r="M248" s="1043" t="n"/>
      <c r="N248" s="988">
        <f>IFERROR(IF(DATEDIF(TODAY(),M248,"M")&lt;=6,"ROJO",IF(DATEDIF(TODAY(),M248,"M")&gt;=12,"VERDE",IF(AND(DATEDIF(TODAY(),M248,"M")&gt;6,DATEDIF(TODAY(),M248,"M")&lt;=11),"AMARILLO",IF(M248&lt;TODAY(),"VENCIDO",0)))),O248)</f>
        <v/>
      </c>
      <c r="O248" s="1042">
        <f>IF(M248=0,"","VENCIDO")</f>
        <v/>
      </c>
      <c r="Q248" s="997" t="n"/>
      <c r="R248" s="994" t="n"/>
      <c r="S248" s="994" t="n"/>
      <c r="T248" s="994" t="n"/>
      <c r="U248" s="994" t="n"/>
      <c r="V248" s="994" t="n"/>
      <c r="W248" s="994" t="n"/>
      <c r="X248" s="994" t="n"/>
      <c r="Y248" s="994" t="n"/>
      <c r="Z248" s="994" t="n"/>
      <c r="AA248" s="994" t="n"/>
      <c r="AB248" s="994" t="n"/>
      <c r="AC248" s="974" t="n"/>
    </row>
    <row r="249" ht="14.25" customHeight="1">
      <c r="A249" s="993" t="n"/>
      <c r="B249" s="972" t="n"/>
      <c r="C249" s="973" t="n"/>
      <c r="D249" s="994" t="n"/>
      <c r="E249" s="994" t="n"/>
      <c r="F249" s="994" t="n"/>
      <c r="G249" s="994" t="n"/>
      <c r="H249" s="994" t="n"/>
      <c r="I249" s="973" t="n"/>
      <c r="J249" s="973" t="n"/>
      <c r="K249" s="995" t="n"/>
      <c r="L249" s="995" t="n"/>
      <c r="M249" s="1043" t="n"/>
      <c r="N249" s="988">
        <f>IFERROR(IF(DATEDIF(TODAY(),M249,"M")&lt;=6,"ROJO",IF(DATEDIF(TODAY(),M249,"M")&gt;=12,"VERDE",IF(AND(DATEDIF(TODAY(),M249,"M")&gt;6,DATEDIF(TODAY(),M249,"M")&lt;=11),"AMARILLO",IF(M249&lt;TODAY(),"VENCIDO",0)))),O249)</f>
        <v/>
      </c>
      <c r="O249" s="1042">
        <f>IF(M249=0,"","VENCIDO")</f>
        <v/>
      </c>
      <c r="Q249" s="997" t="n"/>
      <c r="R249" s="994" t="n"/>
      <c r="S249" s="994" t="n"/>
      <c r="T249" s="994" t="n"/>
      <c r="U249" s="994" t="n"/>
      <c r="V249" s="994" t="n"/>
      <c r="W249" s="994" t="n"/>
      <c r="X249" s="994" t="n"/>
      <c r="Y249" s="994" t="n"/>
      <c r="Z249" s="994" t="n"/>
      <c r="AA249" s="994" t="n"/>
      <c r="AB249" s="994" t="n"/>
      <c r="AC249" s="974" t="n"/>
    </row>
    <row r="250" ht="15" customHeight="1" thickBot="1">
      <c r="A250" s="993" t="n"/>
      <c r="B250" s="972" t="n"/>
      <c r="C250" s="975" t="n"/>
      <c r="D250" s="998" t="n"/>
      <c r="E250" s="998" t="n"/>
      <c r="F250" s="998" t="n"/>
      <c r="G250" s="998" t="n"/>
      <c r="H250" s="998" t="n"/>
      <c r="I250" s="975" t="n"/>
      <c r="J250" s="975" t="n"/>
      <c r="K250" s="1000" t="n"/>
      <c r="L250" s="1000" t="n"/>
      <c r="M250" s="1044" t="n"/>
      <c r="N250" s="988">
        <f>IFERROR(IF(DATEDIF(TODAY(),M250,"M")&lt;=6,"ROJO",IF(DATEDIF(TODAY(),M250,"M")&gt;=12,"VERDE",IF(AND(DATEDIF(TODAY(),M250,"M")&gt;6,DATEDIF(TODAY(),M250,"M")&lt;=11),"AMARILLO",IF(M250&lt;TODAY(),"VENCIDO",0)))),O250)</f>
        <v/>
      </c>
      <c r="O250" s="1042">
        <f>IF(M250=0,"","VENCIDO")</f>
        <v/>
      </c>
      <c r="Q250" s="1002" t="n"/>
      <c r="R250" s="998" t="n"/>
      <c r="S250" s="998" t="n"/>
      <c r="T250" s="998" t="n"/>
      <c r="U250" s="998" t="n"/>
      <c r="V250" s="998" t="n"/>
      <c r="W250" s="998" t="n"/>
      <c r="X250" s="998" t="n"/>
      <c r="Y250" s="998" t="n"/>
      <c r="Z250" s="998" t="n"/>
      <c r="AA250" s="998" t="n"/>
      <c r="AB250" s="998" t="n"/>
      <c r="AC250" s="1003" t="n"/>
    </row>
    <row r="251" ht="14.4" customHeight="1" thickBot="1">
      <c r="A251" s="1004" t="n"/>
      <c r="B251" s="1005" t="n"/>
      <c r="C251" s="1021" t="n"/>
      <c r="D251" s="1022" t="n"/>
      <c r="E251" s="1022" t="n"/>
      <c r="F251" s="1023" t="n"/>
      <c r="G251" s="1023" t="n"/>
      <c r="H251" s="1023" t="n"/>
      <c r="I251" s="1024" t="n"/>
      <c r="J251" s="1010">
        <f>J246=K251</f>
        <v/>
      </c>
      <c r="K251" s="1025">
        <f>SUM(K246:K250)</f>
        <v/>
      </c>
      <c r="L251" s="1015" t="n"/>
      <c r="M251" s="1045" t="n"/>
      <c r="N251" s="1014">
        <f>IFERROR(IF(DATEDIF(TODAY(),M251,"M")&lt;=6,"ROJO",IF(DATEDIF(TODAY(),M251,"M")&gt;=12,"VERDE",IF(AND(DATEDIF(TODAY(),M251,"M")&gt;6,DATEDIF(TODAY(),M251,"M")&lt;=11),"AMARILLO",IF(M251&lt;TODAY(),"VENCIDO",0)))),O251)</f>
        <v/>
      </c>
      <c r="O251" s="1046">
        <f>IF(M251=0,"","VENCIDO")</f>
        <v/>
      </c>
      <c r="Q251" s="1047" t="n"/>
      <c r="R251" s="1048" t="n"/>
      <c r="S251" s="1048" t="n"/>
      <c r="T251" s="1048" t="n"/>
      <c r="U251" s="1048" t="n"/>
      <c r="V251" s="1048" t="n"/>
      <c r="W251" s="1048" t="n"/>
      <c r="X251" s="1048" t="n"/>
      <c r="Y251" s="1048" t="n"/>
      <c r="Z251" s="1048" t="n"/>
      <c r="AA251" s="1048" t="n"/>
      <c r="AB251" s="1048" t="n"/>
      <c r="AC251" s="196" t="n"/>
    </row>
    <row r="252" ht="14.25" customHeight="1">
      <c r="A252" s="777" t="inlineStr">
        <is>
          <t>Jeringa Desechable 23G1" Convencional</t>
        </is>
      </c>
      <c r="B252" s="980" t="n"/>
      <c r="C252" s="981">
        <f>ENERO!K338</f>
        <v/>
      </c>
      <c r="D252" s="982" t="n"/>
      <c r="E252" s="982" t="n"/>
      <c r="F252" s="982" t="n"/>
      <c r="G252" s="982" t="n"/>
      <c r="H252" s="982" t="n"/>
      <c r="I252" s="1026">
        <f>AC252</f>
        <v/>
      </c>
      <c r="J252" s="984">
        <f>+(C252+D252+F252+E252)-(G252+H252+I252)</f>
        <v/>
      </c>
      <c r="K252" s="995" t="n"/>
      <c r="L252" s="985" t="n"/>
      <c r="M252" s="1041" t="n"/>
      <c r="N252" s="988">
        <f>IFERROR(IF(DATEDIF(TODAY(),M252,"M")&lt;=6,"ROJO",IF(DATEDIF(TODAY(),M252,"M")&gt;=12,"VERDE",IF(AND(DATEDIF(TODAY(),M252,"M")&gt;6,DATEDIF(TODAY(),M252,"M")&lt;=11),"AMARILLO",IF(M252&lt;TODAY(),"VENCIDO",0)))),O252)</f>
        <v/>
      </c>
      <c r="O252" s="1042">
        <f>IF(M252=0,"","VENCIDO")</f>
        <v/>
      </c>
      <c r="Q252" s="990" t="n"/>
      <c r="R252" s="991" t="n"/>
      <c r="S252" s="991" t="n"/>
      <c r="T252" s="991" t="n"/>
      <c r="U252" s="991" t="n"/>
      <c r="V252" s="991" t="n"/>
      <c r="W252" s="991" t="n"/>
      <c r="X252" s="991" t="n"/>
      <c r="Y252" s="991" t="n"/>
      <c r="Z252" s="991" t="n"/>
      <c r="AA252" s="991" t="n"/>
      <c r="AB252" s="991" t="n"/>
      <c r="AC252" s="992">
        <f>SUM(Q252:AB256)</f>
        <v/>
      </c>
      <c r="AH252" s="2">
        <f>+IF(AC252&lt;&gt;I252,1,0)</f>
        <v/>
      </c>
    </row>
    <row r="253" ht="14.25" customHeight="1">
      <c r="B253" s="972" t="n"/>
      <c r="C253" s="973" t="n"/>
      <c r="D253" s="994" t="n"/>
      <c r="E253" s="994" t="n"/>
      <c r="F253" s="994" t="n"/>
      <c r="G253" s="994" t="n"/>
      <c r="H253" s="994" t="n"/>
      <c r="I253" s="973" t="n"/>
      <c r="J253" s="973" t="n"/>
      <c r="K253" s="995" t="n"/>
      <c r="L253" s="995" t="n"/>
      <c r="M253" s="1043" t="n"/>
      <c r="N253" s="988">
        <f>IFERROR(IF(DATEDIF(TODAY(),M253,"M")&lt;=6,"ROJO",IF(DATEDIF(TODAY(),M253,"M")&gt;=12,"VERDE",IF(AND(DATEDIF(TODAY(),M253,"M")&gt;6,DATEDIF(TODAY(),M253,"M")&lt;=11),"AMARILLO",IF(M253&lt;TODAY(),"VENCIDO",0)))),O253)</f>
        <v/>
      </c>
      <c r="O253" s="1042">
        <f>IF(M253=0,"","VENCIDO")</f>
        <v/>
      </c>
      <c r="Q253" s="997" t="n"/>
      <c r="R253" s="994" t="n"/>
      <c r="S253" s="994" t="n"/>
      <c r="T253" s="994" t="n"/>
      <c r="U253" s="994" t="n"/>
      <c r="V253" s="994" t="n"/>
      <c r="W253" s="994" t="n"/>
      <c r="X253" s="994" t="n"/>
      <c r="Y253" s="994" t="n"/>
      <c r="Z253" s="994" t="n"/>
      <c r="AA253" s="994" t="n"/>
      <c r="AB253" s="994" t="n"/>
      <c r="AC253" s="974" t="n"/>
    </row>
    <row r="254" ht="14.25" customHeight="1">
      <c r="B254" s="972" t="n"/>
      <c r="C254" s="973" t="n"/>
      <c r="D254" s="994" t="n"/>
      <c r="E254" s="994" t="n"/>
      <c r="F254" s="994" t="n"/>
      <c r="G254" s="994" t="n"/>
      <c r="H254" s="994" t="n"/>
      <c r="I254" s="973" t="n"/>
      <c r="J254" s="973" t="n"/>
      <c r="K254" s="995" t="n"/>
      <c r="L254" s="995" t="n"/>
      <c r="M254" s="1043" t="n"/>
      <c r="N254" s="988">
        <f>IFERROR(IF(DATEDIF(TODAY(),M254,"M")&lt;=6,"ROJO",IF(DATEDIF(TODAY(),M254,"M")&gt;=12,"VERDE",IF(AND(DATEDIF(TODAY(),M254,"M")&gt;6,DATEDIF(TODAY(),M254,"M")&lt;=11),"AMARILLO",IF(M254&lt;TODAY(),"VENCIDO",0)))),O254)</f>
        <v/>
      </c>
      <c r="O254" s="1042">
        <f>IF(M254=0,"","VENCIDO")</f>
        <v/>
      </c>
      <c r="Q254" s="997" t="n"/>
      <c r="R254" s="994" t="n"/>
      <c r="S254" s="994" t="n"/>
      <c r="T254" s="994" t="n"/>
      <c r="U254" s="994" t="n"/>
      <c r="V254" s="994" t="n"/>
      <c r="W254" s="994" t="n"/>
      <c r="X254" s="994" t="n"/>
      <c r="Y254" s="994" t="n"/>
      <c r="Z254" s="994" t="n"/>
      <c r="AA254" s="994" t="n"/>
      <c r="AB254" s="994" t="n"/>
      <c r="AC254" s="974" t="n"/>
    </row>
    <row r="255" ht="14.25" customHeight="1">
      <c r="B255" s="972" t="n"/>
      <c r="C255" s="973" t="n"/>
      <c r="D255" s="994" t="n"/>
      <c r="E255" s="994" t="n"/>
      <c r="F255" s="994" t="n"/>
      <c r="G255" s="994" t="n"/>
      <c r="H255" s="994" t="n"/>
      <c r="I255" s="973" t="n"/>
      <c r="J255" s="973" t="n"/>
      <c r="K255" s="995" t="n"/>
      <c r="L255" s="995" t="n"/>
      <c r="M255" s="1043" t="n"/>
      <c r="N255" s="988">
        <f>IFERROR(IF(DATEDIF(TODAY(),M255,"M")&lt;=6,"ROJO",IF(DATEDIF(TODAY(),M255,"M")&gt;=12,"VERDE",IF(AND(DATEDIF(TODAY(),M255,"M")&gt;6,DATEDIF(TODAY(),M255,"M")&lt;=11),"AMARILLO",IF(M255&lt;TODAY(),"VENCIDO",0)))),O255)</f>
        <v/>
      </c>
      <c r="O255" s="1042">
        <f>IF(M255=0,"","VENCIDO")</f>
        <v/>
      </c>
      <c r="Q255" s="997" t="n"/>
      <c r="R255" s="994" t="n"/>
      <c r="S255" s="994" t="n"/>
      <c r="T255" s="994" t="n"/>
      <c r="U255" s="994" t="n"/>
      <c r="V255" s="994" t="n"/>
      <c r="W255" s="994" t="n"/>
      <c r="X255" s="994" t="n"/>
      <c r="Y255" s="994" t="n"/>
      <c r="Z255" s="994" t="n"/>
      <c r="AA255" s="994" t="n"/>
      <c r="AB255" s="994" t="n"/>
      <c r="AC255" s="974" t="n"/>
    </row>
    <row r="256" ht="15.75" customHeight="1" thickBot="1">
      <c r="B256" s="972" t="n"/>
      <c r="C256" s="975" t="n"/>
      <c r="D256" s="998" t="n"/>
      <c r="E256" s="998" t="n"/>
      <c r="F256" s="998" t="n"/>
      <c r="G256" s="998" t="n"/>
      <c r="H256" s="998" t="n"/>
      <c r="I256" s="975" t="n"/>
      <c r="J256" s="975" t="n"/>
      <c r="K256" s="1000" t="n"/>
      <c r="L256" s="1000" t="n"/>
      <c r="M256" s="1044" t="n"/>
      <c r="N256" s="988">
        <f>IFERROR(IF(DATEDIF(TODAY(),M256,"M")&lt;=6,"ROJO",IF(DATEDIF(TODAY(),M256,"M")&gt;=12,"VERDE",IF(AND(DATEDIF(TODAY(),M256,"M")&gt;6,DATEDIF(TODAY(),M256,"M")&lt;=11),"AMARILLO",IF(M256&lt;TODAY(),"VENCIDO",0)))),O256)</f>
        <v/>
      </c>
      <c r="O256" s="1042">
        <f>IF(M256=0,"","VENCIDO")</f>
        <v/>
      </c>
      <c r="Q256" s="1002" t="n"/>
      <c r="R256" s="998" t="n"/>
      <c r="S256" s="998" t="n"/>
      <c r="T256" s="998" t="n"/>
      <c r="U256" s="998" t="n"/>
      <c r="V256" s="998" t="n"/>
      <c r="W256" s="998" t="n"/>
      <c r="X256" s="998" t="n"/>
      <c r="Y256" s="998" t="n"/>
      <c r="Z256" s="998" t="n"/>
      <c r="AA256" s="998" t="n"/>
      <c r="AB256" s="998" t="n"/>
      <c r="AC256" s="1003" t="n"/>
    </row>
    <row r="257" ht="15.75" customHeight="1" thickBot="1">
      <c r="B257" s="972" t="n"/>
      <c r="C257" s="1021" t="n"/>
      <c r="D257" s="1022" t="n"/>
      <c r="E257" s="1022" t="n"/>
      <c r="F257" s="1023" t="n"/>
      <c r="G257" s="1023" t="n"/>
      <c r="H257" s="1023" t="n"/>
      <c r="I257" s="1024" t="n"/>
      <c r="J257" s="1010">
        <f>J252=K257</f>
        <v/>
      </c>
      <c r="K257" s="1025">
        <f>SUM(K252:K256)</f>
        <v/>
      </c>
      <c r="L257" s="1015" t="n"/>
      <c r="M257" s="1045" t="n"/>
      <c r="N257" s="1014">
        <f>IFERROR(IF(DATEDIF(TODAY(),M257,"M")&lt;=6,"ROJO",IF(DATEDIF(TODAY(),M257,"M")&gt;=12,"VERDE",IF(AND(DATEDIF(TODAY(),M257,"M")&gt;6,DATEDIF(TODAY(),M257,"M")&lt;=11),"AMARILLO",IF(M257&lt;TODAY(),"VENCIDO",0)))),O257)</f>
        <v/>
      </c>
      <c r="O257" s="1046">
        <f>IF(M257=0,"","VENCIDO")</f>
        <v/>
      </c>
      <c r="Q257" s="1047" t="n"/>
      <c r="R257" s="1048" t="n"/>
      <c r="S257" s="1048" t="n"/>
      <c r="T257" s="1048" t="n"/>
      <c r="U257" s="1048" t="n"/>
      <c r="V257" s="1048" t="n"/>
      <c r="W257" s="1048" t="n"/>
      <c r="X257" s="1048" t="n"/>
      <c r="Y257" s="1048" t="n"/>
      <c r="Z257" s="1048" t="n"/>
      <c r="AA257" s="1048" t="n"/>
      <c r="AB257" s="1048" t="n"/>
      <c r="AC257" s="196" t="n"/>
    </row>
    <row r="258" ht="26.25" customHeight="1" thickBot="1">
      <c r="A258" s="1049" t="inlineStr">
        <is>
          <t>Jeringa Desechable 25G5/8" AD</t>
        </is>
      </c>
      <c r="B258" s="1050" t="n"/>
      <c r="C258" s="981">
        <f>ENERO!D345</f>
        <v/>
      </c>
      <c r="D258" s="982" t="n"/>
      <c r="E258" s="982" t="n"/>
      <c r="F258" s="982" t="n"/>
      <c r="G258" s="982" t="n"/>
      <c r="H258" s="982" t="n"/>
      <c r="I258" s="1026">
        <f>AC258</f>
        <v/>
      </c>
      <c r="J258" s="984">
        <f>+(C240+D240+F240+E240)-(G240+H240+I240)</f>
        <v/>
      </c>
      <c r="K258" s="985" t="n">
        <v>1400</v>
      </c>
      <c r="L258" s="35" t="n">
        <v>200022</v>
      </c>
      <c r="M258" s="1041" t="n">
        <v>45688</v>
      </c>
      <c r="N258" s="988">
        <f>IFERROR(IF(DATEDIF(TODAY(),M258,"M")&lt;=6,"ROJO",IF(DATEDIF(TODAY(),M258,"M")&gt;=12,"VERDE",IF(AND(DATEDIF(TODAY(),M258,"M")&gt;6,DATEDIF(TODAY(),M258,"M")&lt;=11),"AMARILLO",IF(M258&lt;TODAY(),"VENCIDO",0)))),O258)</f>
        <v/>
      </c>
      <c r="O258" s="1042">
        <f>IF(M258=0,"","VENCIDO")</f>
        <v/>
      </c>
      <c r="Q258" s="990" t="n"/>
      <c r="R258" s="991" t="n"/>
      <c r="S258" s="991" t="n"/>
      <c r="T258" s="991" t="n"/>
      <c r="U258" s="991" t="n"/>
      <c r="V258" s="991" t="n"/>
      <c r="W258" s="991" t="n"/>
      <c r="X258" s="991" t="n"/>
      <c r="Y258" s="991" t="n"/>
      <c r="Z258" s="991" t="n"/>
      <c r="AA258" s="991" t="n"/>
      <c r="AB258" s="991" t="n"/>
      <c r="AC258" s="1051">
        <f>SUM(Q258:AB264)</f>
        <v/>
      </c>
      <c r="AH258" s="2">
        <f>+IF(AC258&lt;&gt;I258,1,0)</f>
        <v/>
      </c>
    </row>
    <row r="259" ht="14.4" customHeight="1" thickBot="1">
      <c r="A259" s="993" t="n"/>
      <c r="B259" s="1052" t="n"/>
      <c r="C259" s="973" t="n"/>
      <c r="D259" s="994" t="n"/>
      <c r="E259" s="994" t="n"/>
      <c r="F259" s="994" t="n"/>
      <c r="G259" s="994" t="n"/>
      <c r="H259" s="994" t="n"/>
      <c r="I259" s="973" t="n"/>
      <c r="J259" s="973" t="n"/>
      <c r="K259" s="995" t="n">
        <v>3000</v>
      </c>
      <c r="L259" s="36" t="n">
        <v>200051</v>
      </c>
      <c r="M259" s="139" t="n">
        <v>45869</v>
      </c>
      <c r="N259" s="150">
        <f>IFERROR(IF(DATEDIF(TODAY(),M259,"M")&lt;=6,"ROJO",IF(DATEDIF(TODAY(),M259,"M")&gt;=12,"VERDE",IF(AND(DATEDIF(TODAY(),M259,"M")&gt;6,DATEDIF(TODAY(),M259,"M")&lt;=11),"AMARILLO",IF(M259&lt;TODAY(),"VENCIDO",0)))),O259)</f>
        <v/>
      </c>
      <c r="O259" s="118">
        <f>IF(M259=0,"","VENCIDO")</f>
        <v/>
      </c>
      <c r="Q259" s="997" t="n"/>
      <c r="R259" s="994" t="n"/>
      <c r="S259" s="994" t="n"/>
      <c r="T259" s="994" t="n"/>
      <c r="U259" s="994" t="n"/>
      <c r="V259" s="994" t="n"/>
      <c r="W259" s="994" t="n"/>
      <c r="X259" s="994" t="n"/>
      <c r="Y259" s="994" t="n"/>
      <c r="Z259" s="994" t="n"/>
      <c r="AA259" s="994" t="n"/>
      <c r="AB259" s="994" t="n"/>
      <c r="AC259" s="974" t="n"/>
    </row>
    <row r="260">
      <c r="A260" s="993" t="n"/>
      <c r="B260" s="1052" t="n"/>
      <c r="C260" s="973" t="n"/>
      <c r="D260" s="994" t="n"/>
      <c r="E260" s="994" t="n"/>
      <c r="F260" s="994" t="n"/>
      <c r="G260" s="994" t="n"/>
      <c r="H260" s="994" t="n"/>
      <c r="I260" s="973" t="n"/>
      <c r="J260" s="973" t="n"/>
      <c r="K260" s="995" t="n">
        <v>6000</v>
      </c>
      <c r="L260" s="36" t="n">
        <v>200053</v>
      </c>
      <c r="M260" s="1043" t="n">
        <v>45869</v>
      </c>
      <c r="N260" s="988">
        <f>IFERROR(IF(DATEDIF(TODAY(),M260,"M")&lt;=6,"ROJO",IF(DATEDIF(TODAY(),M260,"M")&gt;=12,"VERDE",IF(AND(DATEDIF(TODAY(),M260,"M")&gt;6,DATEDIF(TODAY(),M260,"M")&lt;=11),"AMARILLO",IF(M260&lt;TODAY(),"VENCIDO",0)))),O260)</f>
        <v/>
      </c>
      <c r="O260" s="1042">
        <f>IF(M260=0,"","VENCIDO")</f>
        <v/>
      </c>
      <c r="Q260" s="997" t="n"/>
      <c r="R260" s="994" t="n"/>
      <c r="S260" s="994" t="n"/>
      <c r="T260" s="994" t="n"/>
      <c r="U260" s="994" t="n"/>
      <c r="V260" s="994" t="n"/>
      <c r="W260" s="994" t="n"/>
      <c r="X260" s="994" t="n"/>
      <c r="Y260" s="994" t="n"/>
      <c r="Z260" s="994" t="n"/>
      <c r="AA260" s="994" t="n"/>
      <c r="AB260" s="994" t="n"/>
      <c r="AC260" s="974" t="n"/>
    </row>
    <row r="261">
      <c r="A261" s="993" t="n"/>
      <c r="B261" s="1052" t="n"/>
      <c r="C261" s="973" t="n"/>
      <c r="D261" s="994" t="n"/>
      <c r="E261" s="994" t="n"/>
      <c r="F261" s="994" t="n"/>
      <c r="G261" s="994" t="n"/>
      <c r="H261" s="994" t="n"/>
      <c r="I261" s="973" t="n"/>
      <c r="J261" s="973" t="n"/>
      <c r="K261" s="995" t="n">
        <v>890</v>
      </c>
      <c r="L261" s="36" t="n">
        <v>432009</v>
      </c>
      <c r="M261" s="1043" t="n">
        <v>45716</v>
      </c>
      <c r="N261" s="988">
        <f>IFERROR(IF(DATEDIF(TODAY(),M261,"M")&lt;=6,"ROJO",IF(DATEDIF(TODAY(),M261,"M")&gt;=12,"VERDE",IF(AND(DATEDIF(TODAY(),M261,"M")&gt;6,DATEDIF(TODAY(),M261,"M")&lt;=11),"AMARILLO",IF(M261&lt;TODAY(),"VENCIDO",0)))),O261)</f>
        <v/>
      </c>
      <c r="O261" s="1042">
        <f>IF(M261=0,"","VENCIDO")</f>
        <v/>
      </c>
      <c r="Q261" s="997" t="n"/>
      <c r="R261" s="994" t="n"/>
      <c r="S261" s="994" t="n"/>
      <c r="T261" s="994" t="n"/>
      <c r="U261" s="994" t="n"/>
      <c r="V261" s="994" t="n"/>
      <c r="W261" s="994" t="n"/>
      <c r="X261" s="994" t="n"/>
      <c r="Y261" s="994" t="n"/>
      <c r="Z261" s="994" t="n"/>
      <c r="AA261" s="994" t="n"/>
      <c r="AB261" s="994" t="n"/>
      <c r="AC261" s="974" t="n"/>
    </row>
    <row r="262" ht="14.4" customHeight="1" thickBot="1">
      <c r="A262" s="993" t="n"/>
      <c r="B262" s="1052" t="n"/>
      <c r="C262" s="973" t="n"/>
      <c r="D262" s="994" t="n"/>
      <c r="E262" s="994" t="n"/>
      <c r="F262" s="994" t="n"/>
      <c r="G262" s="994" t="n"/>
      <c r="H262" s="994" t="n"/>
      <c r="I262" s="973" t="n"/>
      <c r="J262" s="973" t="n"/>
      <c r="K262" s="995" t="n">
        <v>24400</v>
      </c>
      <c r="L262" s="36" t="n">
        <v>200053</v>
      </c>
      <c r="M262" s="1043" t="n">
        <v>45869</v>
      </c>
      <c r="N262" s="988">
        <f>IFERROR(IF(DATEDIF(TODAY(),M262,"M")&lt;=6,"ROJO",IF(DATEDIF(TODAY(),M262,"M")&gt;=12,"VERDE",IF(AND(DATEDIF(TODAY(),M262,"M")&gt;6,DATEDIF(TODAY(),M262,"M")&lt;=11),"AMARILLO",IF(M262&lt;TODAY(),"VENCIDO",0)))),O262)</f>
        <v/>
      </c>
      <c r="O262" s="1042">
        <f>IF(M262=0,"","VENCIDO")</f>
        <v/>
      </c>
      <c r="Q262" s="997" t="n"/>
      <c r="R262" s="994" t="n"/>
      <c r="S262" s="994" t="n"/>
      <c r="T262" s="994" t="n"/>
      <c r="U262" s="994" t="n"/>
      <c r="V262" s="994" t="n"/>
      <c r="W262" s="994" t="n"/>
      <c r="X262" s="994" t="n"/>
      <c r="Y262" s="994" t="n"/>
      <c r="Z262" s="994" t="n"/>
      <c r="AA262" s="994" t="n"/>
      <c r="AB262" s="994" t="n"/>
      <c r="AC262" s="974" t="n"/>
    </row>
    <row r="263" ht="14.4" customHeight="1" thickBot="1">
      <c r="A263" s="993" t="n"/>
      <c r="B263" s="1052" t="n"/>
      <c r="C263" s="975" t="n"/>
      <c r="D263" s="998" t="n"/>
      <c r="E263" s="998" t="n"/>
      <c r="F263" s="998" t="n"/>
      <c r="G263" s="998" t="n"/>
      <c r="H263" s="998" t="n"/>
      <c r="I263" s="975" t="n"/>
      <c r="J263" s="975" t="n"/>
      <c r="K263" s="1000" t="n">
        <v>5600</v>
      </c>
      <c r="L263" s="39" t="inlineStr">
        <is>
          <t>200054</t>
        </is>
      </c>
      <c r="M263" s="1044" t="n">
        <v>45869</v>
      </c>
      <c r="N263" s="988">
        <f>IFERROR(IF(DATEDIF(TODAY(),M263,"M")&lt;=6,"ROJO",IF(DATEDIF(TODAY(),M263,"M")&gt;=12,"VERDE",IF(AND(DATEDIF(TODAY(),M263,"M")&gt;6,DATEDIF(TODAY(),M263,"M")&lt;=11),"AMARILLO",IF(M263&lt;TODAY(),"VENCIDO",0)))),O263)</f>
        <v/>
      </c>
      <c r="O263" s="1042">
        <f>IF(M263=0,"","VENCIDO")</f>
        <v/>
      </c>
      <c r="Q263" s="1002" t="n"/>
      <c r="R263" s="998" t="n"/>
      <c r="S263" s="998" t="n"/>
      <c r="T263" s="998" t="n"/>
      <c r="U263" s="998" t="n"/>
      <c r="V263" s="998" t="n"/>
      <c r="W263" s="998" t="n"/>
      <c r="X263" s="998" t="n"/>
      <c r="Y263" s="998" t="n"/>
      <c r="Z263" s="998" t="n"/>
      <c r="AA263" s="998" t="n"/>
      <c r="AB263" s="998" t="n"/>
      <c r="AC263" s="977" t="n"/>
    </row>
    <row r="264" ht="15.75" customHeight="1" thickBot="1">
      <c r="A264" s="1004" t="n"/>
      <c r="B264" s="1053" t="n"/>
      <c r="C264" s="1021" t="n"/>
      <c r="D264" s="1022" t="n"/>
      <c r="E264" s="1022" t="n"/>
      <c r="F264" s="1023" t="n"/>
      <c r="G264" s="1023" t="n"/>
      <c r="H264" s="1023" t="n"/>
      <c r="I264" s="1024" t="n"/>
      <c r="J264" s="1010">
        <f>J258=K264</f>
        <v/>
      </c>
      <c r="K264" s="1025">
        <f>SUM(K258:K263)</f>
        <v/>
      </c>
      <c r="L264" s="1015" t="n"/>
      <c r="M264" s="1045" t="n"/>
      <c r="N264" s="1014">
        <f>IFERROR(IF(DATEDIF(TODAY(),M264,"M")&lt;=6,"ROJO",IF(DATEDIF(TODAY(),M264,"M")&gt;=12,"VERDE",IF(AND(DATEDIF(TODAY(),M264,"M")&gt;6,DATEDIF(TODAY(),M264,"M")&lt;=11),"AMARILLO",IF(M264&lt;TODAY(),"VENCIDO",0)))),O264)</f>
        <v/>
      </c>
      <c r="O264" s="1046">
        <f>IF(M264=0,"","VENCIDO")</f>
        <v/>
      </c>
      <c r="Q264" s="1047" t="n"/>
      <c r="R264" s="1048" t="n"/>
      <c r="S264" s="1048" t="n"/>
      <c r="T264" s="1048" t="n"/>
      <c r="U264" s="1048" t="n"/>
      <c r="V264" s="1048" t="n"/>
      <c r="W264" s="1048" t="n"/>
      <c r="X264" s="1048" t="n"/>
      <c r="Y264" s="1048" t="n"/>
      <c r="Z264" s="1048" t="n"/>
      <c r="AA264" s="1048" t="n"/>
      <c r="AB264" s="1048" t="n"/>
      <c r="AC264" s="196" t="n"/>
    </row>
    <row r="265" ht="26.25" customHeight="1">
      <c r="A265" s="1049" t="inlineStr">
        <is>
          <t>Jeringa Desechable 25G5/8" Convencional</t>
        </is>
      </c>
      <c r="B265" s="1050" t="n"/>
      <c r="C265" s="981">
        <f>ENERO!#REF!</f>
        <v/>
      </c>
      <c r="D265" s="982" t="n"/>
      <c r="E265" s="982" t="n"/>
      <c r="F265" s="982" t="n"/>
      <c r="G265" s="982" t="n"/>
      <c r="H265" s="982" t="n"/>
      <c r="I265" s="1026">
        <f>AC265</f>
        <v/>
      </c>
      <c r="J265" s="984">
        <f>+(C265+D265+F265+E265)-(G265+H265+I265)</f>
        <v/>
      </c>
      <c r="K265" s="985" t="n"/>
      <c r="L265" s="985" t="n"/>
      <c r="M265" s="1041" t="n"/>
      <c r="N265" s="988">
        <f>IFERROR(IF(DATEDIF(TODAY(),M265,"M")&lt;=6,"ROJO",IF(DATEDIF(TODAY(),M265,"M")&gt;=12,"VERDE",IF(AND(DATEDIF(TODAY(),M265,"M")&gt;6,DATEDIF(TODAY(),M265,"M")&lt;=11),"AMARILLO",IF(M265&lt;TODAY(),"VENCIDO",0)))),O265)</f>
        <v/>
      </c>
      <c r="O265" s="1042">
        <f>IF(M265=0,"","VENCIDO")</f>
        <v/>
      </c>
      <c r="Q265" s="990" t="n"/>
      <c r="R265" s="991" t="n"/>
      <c r="S265" s="991" t="n"/>
      <c r="T265" s="991" t="n"/>
      <c r="U265" s="991" t="n"/>
      <c r="V265" s="991" t="n"/>
      <c r="W265" s="991" t="n"/>
      <c r="X265" s="991" t="n"/>
      <c r="Y265" s="991" t="n"/>
      <c r="Z265" s="991" t="n"/>
      <c r="AA265" s="991" t="n"/>
      <c r="AB265" s="991" t="n"/>
      <c r="AC265" s="992">
        <f>SUM(Q265:AB269)</f>
        <v/>
      </c>
      <c r="AH265" s="2">
        <f>+IF(AC265&lt;&gt;I265,1,0)</f>
        <v/>
      </c>
    </row>
    <row r="266" ht="14.25" customHeight="1">
      <c r="A266" s="993" t="n"/>
      <c r="B266" s="1052" t="n"/>
      <c r="C266" s="973" t="n"/>
      <c r="D266" s="994" t="n"/>
      <c r="E266" s="994" t="n"/>
      <c r="F266" s="994" t="n"/>
      <c r="G266" s="994" t="n"/>
      <c r="H266" s="994" t="n"/>
      <c r="I266" s="973" t="n"/>
      <c r="J266" s="973" t="n"/>
      <c r="K266" s="995" t="n"/>
      <c r="L266" s="995" t="n"/>
      <c r="M266" s="1043" t="n"/>
      <c r="N266" s="988">
        <f>IFERROR(IF(DATEDIF(TODAY(),M266,"M")&lt;=6,"ROJO",IF(DATEDIF(TODAY(),M266,"M")&gt;=12,"VERDE",IF(AND(DATEDIF(TODAY(),M266,"M")&gt;6,DATEDIF(TODAY(),M266,"M")&lt;=11),"AMARILLO",IF(M266&lt;TODAY(),"VENCIDO",0)))),O266)</f>
        <v/>
      </c>
      <c r="O266" s="1042">
        <f>IF(M266=0,"","VENCIDO")</f>
        <v/>
      </c>
      <c r="Q266" s="997" t="n"/>
      <c r="R266" s="994" t="n"/>
      <c r="S266" s="994" t="n"/>
      <c r="T266" s="994" t="n"/>
      <c r="U266" s="994" t="n"/>
      <c r="V266" s="994" t="n"/>
      <c r="W266" s="994" t="n"/>
      <c r="X266" s="994" t="n"/>
      <c r="Y266" s="994" t="n"/>
      <c r="Z266" s="994" t="n"/>
      <c r="AA266" s="994" t="n"/>
      <c r="AB266" s="994" t="n"/>
      <c r="AC266" s="974" t="n"/>
    </row>
    <row r="267" ht="14.25" customHeight="1">
      <c r="A267" s="993" t="n"/>
      <c r="B267" s="1052" t="n"/>
      <c r="C267" s="973" t="n"/>
      <c r="D267" s="994" t="n"/>
      <c r="E267" s="994" t="n"/>
      <c r="F267" s="994" t="n"/>
      <c r="G267" s="994" t="n"/>
      <c r="H267" s="994" t="n"/>
      <c r="I267" s="973" t="n"/>
      <c r="J267" s="973" t="n"/>
      <c r="K267" s="995" t="n"/>
      <c r="L267" s="995" t="n"/>
      <c r="M267" s="1043" t="n"/>
      <c r="N267" s="988">
        <f>IFERROR(IF(DATEDIF(TODAY(),M267,"M")&lt;=6,"ROJO",IF(DATEDIF(TODAY(),M267,"M")&gt;=12,"VERDE",IF(AND(DATEDIF(TODAY(),M267,"M")&gt;6,DATEDIF(TODAY(),M267,"M")&lt;=11),"AMARILLO",IF(M267&lt;TODAY(),"VENCIDO",0)))),O267)</f>
        <v/>
      </c>
      <c r="O267" s="1042">
        <f>IF(M267=0,"","VENCIDO")</f>
        <v/>
      </c>
      <c r="Q267" s="997" t="n"/>
      <c r="R267" s="994" t="n"/>
      <c r="S267" s="994" t="n"/>
      <c r="T267" s="994" t="n"/>
      <c r="U267" s="994" t="n"/>
      <c r="V267" s="994" t="n"/>
      <c r="W267" s="994" t="n"/>
      <c r="X267" s="994" t="n"/>
      <c r="Y267" s="994" t="n"/>
      <c r="Z267" s="994" t="n"/>
      <c r="AA267" s="994" t="n"/>
      <c r="AB267" s="994" t="n"/>
      <c r="AC267" s="974" t="n"/>
    </row>
    <row r="268" ht="14.25" customHeight="1">
      <c r="A268" s="993" t="n"/>
      <c r="B268" s="1052" t="n"/>
      <c r="C268" s="973" t="n"/>
      <c r="D268" s="994" t="n"/>
      <c r="E268" s="994" t="n"/>
      <c r="F268" s="994" t="n"/>
      <c r="G268" s="994" t="n"/>
      <c r="H268" s="994" t="n"/>
      <c r="I268" s="973" t="n"/>
      <c r="J268" s="973" t="n"/>
      <c r="K268" s="995" t="n"/>
      <c r="L268" s="995" t="n"/>
      <c r="M268" s="1043" t="n"/>
      <c r="N268" s="988">
        <f>IFERROR(IF(DATEDIF(TODAY(),M268,"M")&lt;=6,"ROJO",IF(DATEDIF(TODAY(),M268,"M")&gt;=12,"VERDE",IF(AND(DATEDIF(TODAY(),M268,"M")&gt;6,DATEDIF(TODAY(),M268,"M")&lt;=11),"AMARILLO",IF(M268&lt;TODAY(),"VENCIDO",0)))),O268)</f>
        <v/>
      </c>
      <c r="O268" s="1042">
        <f>IF(M268=0,"","VENCIDO")</f>
        <v/>
      </c>
      <c r="Q268" s="997" t="n"/>
      <c r="R268" s="994" t="n"/>
      <c r="S268" s="994" t="n"/>
      <c r="T268" s="994" t="n"/>
      <c r="U268" s="994" t="n"/>
      <c r="V268" s="994" t="n"/>
      <c r="W268" s="994" t="n"/>
      <c r="X268" s="994" t="n"/>
      <c r="Y268" s="994" t="n"/>
      <c r="Z268" s="994" t="n"/>
      <c r="AA268" s="994" t="n"/>
      <c r="AB268" s="994" t="n"/>
      <c r="AC268" s="974" t="n"/>
    </row>
    <row r="269" ht="15" customHeight="1" thickBot="1">
      <c r="A269" s="993" t="n"/>
      <c r="B269" s="1052" t="n"/>
      <c r="C269" s="975" t="n"/>
      <c r="D269" s="998" t="n"/>
      <c r="E269" s="998" t="n"/>
      <c r="F269" s="998" t="n"/>
      <c r="G269" s="998" t="n"/>
      <c r="H269" s="998" t="n"/>
      <c r="I269" s="975" t="n"/>
      <c r="J269" s="975" t="n"/>
      <c r="K269" s="1000" t="n"/>
      <c r="L269" s="1000" t="n"/>
      <c r="M269" s="1044" t="n"/>
      <c r="N269" s="988">
        <f>IFERROR(IF(DATEDIF(TODAY(),M269,"M")&lt;=6,"ROJO",IF(DATEDIF(TODAY(),M269,"M")&gt;=12,"VERDE",IF(AND(DATEDIF(TODAY(),M269,"M")&gt;6,DATEDIF(TODAY(),M269,"M")&lt;=11),"AMARILLO",IF(M269&lt;TODAY(),"VENCIDO",0)))),O269)</f>
        <v/>
      </c>
      <c r="O269" s="1042">
        <f>IF(M269=0,"","VENCIDO")</f>
        <v/>
      </c>
      <c r="Q269" s="1002" t="n"/>
      <c r="R269" s="998" t="n"/>
      <c r="S269" s="998" t="n"/>
      <c r="T269" s="998" t="n"/>
      <c r="U269" s="998" t="n"/>
      <c r="V269" s="998" t="n"/>
      <c r="W269" s="998" t="n"/>
      <c r="X269" s="998" t="n"/>
      <c r="Y269" s="998" t="n"/>
      <c r="Z269" s="998" t="n"/>
      <c r="AA269" s="998" t="n"/>
      <c r="AB269" s="998" t="n"/>
      <c r="AC269" s="1003" t="n"/>
    </row>
    <row r="270" ht="14.4" customHeight="1" thickBot="1">
      <c r="A270" s="1004" t="n"/>
      <c r="B270" s="1053" t="n"/>
      <c r="C270" s="1021" t="n"/>
      <c r="D270" s="1022" t="n"/>
      <c r="E270" s="1022" t="n"/>
      <c r="F270" s="1023" t="n"/>
      <c r="G270" s="1023" t="n"/>
      <c r="H270" s="1023" t="n"/>
      <c r="I270" s="1024" t="n"/>
      <c r="J270" s="1010">
        <f>J265=K270</f>
        <v/>
      </c>
      <c r="K270" s="1025">
        <f>SUM(K265:K269)</f>
        <v/>
      </c>
      <c r="L270" s="1015" t="n"/>
      <c r="M270" s="1045" t="n"/>
      <c r="N270" s="1014">
        <f>IFERROR(IF(DATEDIF(TODAY(),M270,"M")&lt;=6,"ROJO",IF(DATEDIF(TODAY(),M270,"M")&gt;=12,"VERDE",IF(AND(DATEDIF(TODAY(),M270,"M")&gt;6,DATEDIF(TODAY(),M270,"M")&lt;=11),"AMARILLO",IF(M270&lt;TODAY(),"VENCIDO",0)))),O270)</f>
        <v/>
      </c>
      <c r="O270" s="1046">
        <f>IF(M270=0,"","VENCIDO")</f>
        <v/>
      </c>
      <c r="Q270" s="1047" t="n"/>
      <c r="R270" s="1048" t="n"/>
      <c r="S270" s="1048" t="n"/>
      <c r="T270" s="1048" t="n"/>
      <c r="U270" s="1048" t="n"/>
      <c r="V270" s="1048" t="n"/>
      <c r="W270" s="1048" t="n"/>
      <c r="X270" s="1048" t="n"/>
      <c r="Y270" s="1048" t="n"/>
      <c r="Z270" s="1048" t="n"/>
      <c r="AA270" s="1048" t="n"/>
      <c r="AB270" s="1048" t="n"/>
      <c r="AC270" s="196" t="n"/>
    </row>
    <row r="271" ht="26.25" customHeight="1" thickBot="1">
      <c r="A271" s="1049" t="inlineStr">
        <is>
          <t>Jeringa Desechable 26G 3/8" AD</t>
        </is>
      </c>
      <c r="B271" s="1050" t="n"/>
      <c r="C271" s="981">
        <f>ENERO!K359</f>
        <v/>
      </c>
      <c r="D271" s="982" t="n"/>
      <c r="E271" s="982" t="n"/>
      <c r="F271" s="982" t="n"/>
      <c r="G271" s="982" t="n"/>
      <c r="H271" s="982" t="n"/>
      <c r="I271" s="1026">
        <f>AC271</f>
        <v/>
      </c>
      <c r="J271" s="1019">
        <f>+(C271+D271+F271+E271)-(G271+H271+I271)</f>
        <v/>
      </c>
      <c r="K271" s="985" t="n">
        <v>1035</v>
      </c>
      <c r="L271" s="35" t="n">
        <v>90272</v>
      </c>
      <c r="M271" s="1041" t="n">
        <v>45535</v>
      </c>
      <c r="N271" s="988">
        <f>IFERROR(IF(DATEDIF(TODAY(),M271,"M")&lt;=6,"ROJO",IF(DATEDIF(TODAY(),M271,"M")&gt;=12,"VERDE",IF(AND(DATEDIF(TODAY(),M271,"M")&gt;6,DATEDIF(TODAY(),M271,"M")&lt;=11),"AMARILLO",IF(M271&lt;TODAY(),"VENCIDO",0)))),O271)</f>
        <v/>
      </c>
      <c r="O271" s="1042">
        <f>IF(M271=0,"","VENCIDO")</f>
        <v/>
      </c>
      <c r="Q271" s="990" t="n"/>
      <c r="R271" s="991" t="n"/>
      <c r="S271" s="991" t="n"/>
      <c r="T271" s="991" t="n"/>
      <c r="U271" s="991" t="n"/>
      <c r="V271" s="991" t="n"/>
      <c r="W271" s="991" t="n"/>
      <c r="X271" s="991" t="n"/>
      <c r="Y271" s="991" t="n"/>
      <c r="Z271" s="991" t="n"/>
      <c r="AA271" s="991" t="n"/>
      <c r="AB271" s="991" t="n"/>
      <c r="AC271" s="992">
        <f>SUM(Q271:AB275)</f>
        <v/>
      </c>
      <c r="AH271" s="2">
        <f>+IF(AC271&lt;&gt;I271,1,0)</f>
        <v/>
      </c>
    </row>
    <row r="272" ht="15" customHeight="1" thickBot="1">
      <c r="A272" s="993" t="n"/>
      <c r="B272" s="1052" t="n"/>
      <c r="C272" s="973" t="n"/>
      <c r="D272" s="994" t="n"/>
      <c r="E272" s="994" t="n"/>
      <c r="F272" s="994" t="n"/>
      <c r="G272" s="994" t="n"/>
      <c r="H272" s="994" t="n"/>
      <c r="I272" s="973" t="n"/>
      <c r="J272" s="973" t="n"/>
      <c r="K272" s="995" t="n">
        <v>300</v>
      </c>
      <c r="L272" s="36" t="n">
        <v>582101</v>
      </c>
      <c r="M272" s="140" t="n">
        <v>46173</v>
      </c>
      <c r="N272" s="150">
        <f>IFERROR(IF(DATEDIF(TODAY(),M272,"M")&lt;=6,"ROJO",IF(DATEDIF(TODAY(),M272,"M")&gt;=12,"VERDE",IF(AND(DATEDIF(TODAY(),M272,"M")&gt;6,DATEDIF(TODAY(),M272,"M")&lt;=11),"AMARILLO",IF(M272&lt;TODAY(),"VENCIDO",0)))),O272)</f>
        <v/>
      </c>
      <c r="O272" s="120">
        <f>IF(M272=0,"","VENCIDO")</f>
        <v/>
      </c>
      <c r="Q272" s="997" t="n"/>
      <c r="R272" s="994" t="n"/>
      <c r="S272" s="994" t="n"/>
      <c r="T272" s="994" t="n"/>
      <c r="U272" s="994" t="n"/>
      <c r="V272" s="994" t="n"/>
      <c r="W272" s="994" t="n"/>
      <c r="X272" s="994" t="n"/>
      <c r="Y272" s="994" t="n"/>
      <c r="Z272" s="994" t="n"/>
      <c r="AA272" s="994" t="n"/>
      <c r="AB272" s="994" t="n"/>
      <c r="AC272" s="974" t="n"/>
    </row>
    <row r="273" ht="14.25" customHeight="1">
      <c r="A273" s="993" t="n"/>
      <c r="B273" s="1052" t="n"/>
      <c r="C273" s="973" t="n"/>
      <c r="D273" s="994" t="n"/>
      <c r="E273" s="994" t="n"/>
      <c r="F273" s="994" t="n"/>
      <c r="G273" s="994" t="n"/>
      <c r="H273" s="994" t="n"/>
      <c r="I273" s="973" t="n"/>
      <c r="J273" s="973" t="n"/>
      <c r="K273" s="995" t="n"/>
      <c r="L273" s="995" t="n"/>
      <c r="M273" s="1043" t="n"/>
      <c r="N273" s="988">
        <f>IFERROR(IF(DATEDIF(TODAY(),M273,"M")&lt;=6,"ROJO",IF(DATEDIF(TODAY(),M273,"M")&gt;=12,"VERDE",IF(AND(DATEDIF(TODAY(),M273,"M")&gt;6,DATEDIF(TODAY(),M273,"M")&lt;=11),"AMARILLO",IF(M273&lt;TODAY(),"VENCIDO",0)))),O273)</f>
        <v/>
      </c>
      <c r="O273" s="1042">
        <f>IF(M273=0,"","VENCIDO")</f>
        <v/>
      </c>
      <c r="Q273" s="997" t="n"/>
      <c r="R273" s="994" t="n"/>
      <c r="S273" s="994" t="n"/>
      <c r="T273" s="994" t="n"/>
      <c r="U273" s="994" t="n"/>
      <c r="V273" s="994" t="n"/>
      <c r="W273" s="994" t="n"/>
      <c r="X273" s="994" t="n"/>
      <c r="Y273" s="994" t="n"/>
      <c r="Z273" s="994" t="n"/>
      <c r="AA273" s="994" t="n"/>
      <c r="AB273" s="994" t="n"/>
      <c r="AC273" s="974" t="n"/>
    </row>
    <row r="274" ht="14.25" customHeight="1">
      <c r="A274" s="993" t="n"/>
      <c r="B274" s="1052" t="n"/>
      <c r="C274" s="973" t="n"/>
      <c r="D274" s="994" t="n"/>
      <c r="E274" s="994" t="n"/>
      <c r="F274" s="994" t="n"/>
      <c r="G274" s="994" t="n"/>
      <c r="H274" s="994" t="n"/>
      <c r="I274" s="973" t="n"/>
      <c r="J274" s="973" t="n"/>
      <c r="K274" s="995" t="n"/>
      <c r="L274" s="995" t="n"/>
      <c r="M274" s="1043" t="n"/>
      <c r="N274" s="988">
        <f>IFERROR(IF(DATEDIF(TODAY(),M274,"M")&lt;=6,"ROJO",IF(DATEDIF(TODAY(),M274,"M")&gt;=12,"VERDE",IF(AND(DATEDIF(TODAY(),M274,"M")&gt;6,DATEDIF(TODAY(),M274,"M")&lt;=11),"AMARILLO",IF(M274&lt;TODAY(),"VENCIDO",0)))),O274)</f>
        <v/>
      </c>
      <c r="O274" s="1042">
        <f>IF(M274=0,"","VENCIDO")</f>
        <v/>
      </c>
      <c r="Q274" s="997" t="n"/>
      <c r="R274" s="994" t="n"/>
      <c r="S274" s="994" t="n"/>
      <c r="T274" s="994" t="n"/>
      <c r="U274" s="994" t="n"/>
      <c r="V274" s="994" t="n"/>
      <c r="W274" s="994" t="n"/>
      <c r="X274" s="994" t="n"/>
      <c r="Y274" s="994" t="n"/>
      <c r="Z274" s="994" t="n"/>
      <c r="AA274" s="994" t="n"/>
      <c r="AB274" s="994" t="n"/>
      <c r="AC274" s="974" t="n"/>
    </row>
    <row r="275" ht="15" customHeight="1" thickBot="1">
      <c r="A275" s="993" t="n"/>
      <c r="B275" s="1052" t="n"/>
      <c r="C275" s="975" t="n"/>
      <c r="D275" s="998" t="n"/>
      <c r="E275" s="998" t="n"/>
      <c r="F275" s="998" t="n"/>
      <c r="G275" s="998" t="n"/>
      <c r="H275" s="998" t="n"/>
      <c r="I275" s="975" t="n"/>
      <c r="J275" s="999" t="n"/>
      <c r="K275" s="1000" t="n"/>
      <c r="L275" s="1000" t="n"/>
      <c r="M275" s="1044" t="n"/>
      <c r="N275" s="988">
        <f>IFERROR(IF(DATEDIF(TODAY(),M275,"M")&lt;=6,"ROJO",IF(DATEDIF(TODAY(),M275,"M")&gt;=12,"VERDE",IF(AND(DATEDIF(TODAY(),M275,"M")&gt;6,DATEDIF(TODAY(),M275,"M")&lt;=11),"AMARILLO",IF(M275&lt;TODAY(),"VENCIDO",0)))),O275)</f>
        <v/>
      </c>
      <c r="O275" s="1042">
        <f>IF(M275=0,"","VENCIDO")</f>
        <v/>
      </c>
      <c r="Q275" s="1002" t="n"/>
      <c r="R275" s="998" t="n"/>
      <c r="S275" s="998" t="n"/>
      <c r="T275" s="998" t="n"/>
      <c r="U275" s="998" t="n"/>
      <c r="V275" s="998" t="n"/>
      <c r="W275" s="998" t="n"/>
      <c r="X275" s="998" t="n"/>
      <c r="Y275" s="998" t="n"/>
      <c r="Z275" s="998" t="n"/>
      <c r="AA275" s="998" t="n"/>
      <c r="AB275" s="998" t="n"/>
      <c r="AC275" s="1003" t="n"/>
    </row>
    <row r="276" ht="15.75" customHeight="1" thickBot="1">
      <c r="A276" s="1004" t="n"/>
      <c r="B276" s="1053" t="n"/>
      <c r="C276" s="1021" t="n"/>
      <c r="D276" s="1022" t="n"/>
      <c r="E276" s="1022" t="n"/>
      <c r="F276" s="1023" t="n"/>
      <c r="G276" s="1023" t="n"/>
      <c r="H276" s="1023" t="n"/>
      <c r="I276" s="1024" t="n"/>
      <c r="J276" s="1010">
        <f>J271=K276</f>
        <v/>
      </c>
      <c r="K276" s="1025">
        <f>SUM(K271:K275)</f>
        <v/>
      </c>
      <c r="L276" s="1015" t="n"/>
      <c r="M276" s="1045" t="n"/>
      <c r="N276" s="1014">
        <f>IFERROR(IF(DATEDIF(TODAY(),M276,"M")&lt;=6,"ROJO",IF(DATEDIF(TODAY(),M276,"M")&gt;=12,"VERDE",IF(AND(DATEDIF(TODAY(),M276,"M")&gt;6,DATEDIF(TODAY(),M276,"M")&lt;=11),"AMARILLO",IF(M276&lt;TODAY(),"VENCIDO",0)))),O276)</f>
        <v/>
      </c>
      <c r="O276" s="1046">
        <f>IF(M276=0,"","VENCIDO")</f>
        <v/>
      </c>
      <c r="Q276" s="1047" t="n"/>
      <c r="R276" s="1048" t="n"/>
      <c r="S276" s="1048" t="n"/>
      <c r="T276" s="1048" t="n"/>
      <c r="U276" s="1048" t="n"/>
      <c r="V276" s="1048" t="n"/>
      <c r="W276" s="1048" t="n"/>
      <c r="X276" s="1048" t="n"/>
      <c r="Y276" s="1048" t="n"/>
      <c r="Z276" s="1048" t="n"/>
      <c r="AA276" s="1048" t="n"/>
      <c r="AB276" s="1048" t="n"/>
      <c r="AC276" s="196" t="n"/>
    </row>
    <row r="277" ht="26.25" customHeight="1">
      <c r="A277" s="1049" t="inlineStr">
        <is>
          <t>Jeringa Desechable 26G 3/8" Convencional</t>
        </is>
      </c>
      <c r="B277" s="1050" t="n"/>
      <c r="C277" s="981">
        <f>ENERO!#REF!</f>
        <v/>
      </c>
      <c r="D277" s="982" t="n"/>
      <c r="E277" s="982" t="n"/>
      <c r="F277" s="982" t="n"/>
      <c r="G277" s="982" t="n"/>
      <c r="H277" s="982" t="n"/>
      <c r="I277" s="1026">
        <f>AC277</f>
        <v/>
      </c>
      <c r="J277" s="984">
        <f>+(C277+D277+F277+E277)-(G277+H277+I277)</f>
        <v/>
      </c>
      <c r="K277" s="985" t="n"/>
      <c r="L277" s="985" t="n"/>
      <c r="M277" s="1041" t="n"/>
      <c r="N277" s="988">
        <f>IFERROR(IF(DATEDIF(TODAY(),M277,"M")&lt;=6,"ROJO",IF(DATEDIF(TODAY(),M277,"M")&gt;=12,"VERDE",IF(AND(DATEDIF(TODAY(),M277,"M")&gt;6,DATEDIF(TODAY(),M277,"M")&lt;=11),"AMARILLO",IF(M277&lt;TODAY(),"VENCIDO",0)))),O277)</f>
        <v/>
      </c>
      <c r="O277" s="1042">
        <f>IF(M277=0,"","VENCIDO")</f>
        <v/>
      </c>
      <c r="Q277" s="990" t="n"/>
      <c r="R277" s="991" t="n"/>
      <c r="S277" s="991" t="n"/>
      <c r="T277" s="991" t="n"/>
      <c r="U277" s="991" t="n"/>
      <c r="V277" s="991" t="n"/>
      <c r="W277" s="991" t="n"/>
      <c r="X277" s="991" t="n"/>
      <c r="Y277" s="991" t="n"/>
      <c r="Z277" s="991" t="n"/>
      <c r="AA277" s="991" t="n"/>
      <c r="AB277" s="991" t="n"/>
      <c r="AC277" s="992">
        <f>SUM(Q277:AB281)</f>
        <v/>
      </c>
      <c r="AH277" s="2">
        <f>+IF(AC277&lt;&gt;I277,1,0)</f>
        <v/>
      </c>
    </row>
    <row r="278" ht="14.25" customHeight="1">
      <c r="A278" s="993" t="n"/>
      <c r="B278" s="1052" t="n"/>
      <c r="C278" s="973" t="n"/>
      <c r="D278" s="994" t="n"/>
      <c r="E278" s="994" t="n"/>
      <c r="F278" s="994" t="n"/>
      <c r="G278" s="994" t="n"/>
      <c r="H278" s="994" t="n"/>
      <c r="I278" s="973" t="n"/>
      <c r="J278" s="973" t="n"/>
      <c r="K278" s="995" t="n"/>
      <c r="L278" s="995" t="n"/>
      <c r="M278" s="1043" t="n"/>
      <c r="N278" s="988">
        <f>IFERROR(IF(DATEDIF(TODAY(),M278,"M")&lt;=6,"ROJO",IF(DATEDIF(TODAY(),M278,"M")&gt;=12,"VERDE",IF(AND(DATEDIF(TODAY(),M278,"M")&gt;6,DATEDIF(TODAY(),M278,"M")&lt;=11),"AMARILLO",IF(M278&lt;TODAY(),"VENCIDO",0)))),O278)</f>
        <v/>
      </c>
      <c r="O278" s="1042">
        <f>IF(M278=0,"","VENCIDO")</f>
        <v/>
      </c>
      <c r="Q278" s="997" t="n"/>
      <c r="R278" s="994" t="n"/>
      <c r="S278" s="994" t="n"/>
      <c r="T278" s="994" t="n"/>
      <c r="U278" s="994" t="n"/>
      <c r="V278" s="994" t="n"/>
      <c r="W278" s="994" t="n"/>
      <c r="X278" s="994" t="n"/>
      <c r="Y278" s="994" t="n"/>
      <c r="Z278" s="994" t="n"/>
      <c r="AA278" s="994" t="n"/>
      <c r="AB278" s="994" t="n"/>
      <c r="AC278" s="974" t="n"/>
    </row>
    <row r="279" ht="14.25" customHeight="1">
      <c r="A279" s="993" t="n"/>
      <c r="B279" s="1052" t="n"/>
      <c r="C279" s="973" t="n"/>
      <c r="D279" s="994" t="n"/>
      <c r="E279" s="994" t="n"/>
      <c r="F279" s="994" t="n"/>
      <c r="G279" s="994" t="n"/>
      <c r="H279" s="994" t="n"/>
      <c r="I279" s="973" t="n"/>
      <c r="J279" s="973" t="n"/>
      <c r="K279" s="995" t="n"/>
      <c r="L279" s="995" t="n"/>
      <c r="M279" s="1043" t="n"/>
      <c r="N279" s="988">
        <f>IFERROR(IF(DATEDIF(TODAY(),M279,"M")&lt;=6,"ROJO",IF(DATEDIF(TODAY(),M279,"M")&gt;=12,"VERDE",IF(AND(DATEDIF(TODAY(),M279,"M")&gt;6,DATEDIF(TODAY(),M279,"M")&lt;=11),"AMARILLO",IF(M279&lt;TODAY(),"VENCIDO",0)))),O279)</f>
        <v/>
      </c>
      <c r="O279" s="1042">
        <f>IF(M279=0,"","VENCIDO")</f>
        <v/>
      </c>
      <c r="Q279" s="997" t="n"/>
      <c r="R279" s="994" t="n"/>
      <c r="S279" s="994" t="n"/>
      <c r="T279" s="994" t="n"/>
      <c r="U279" s="994" t="n"/>
      <c r="V279" s="994" t="n"/>
      <c r="W279" s="994" t="n"/>
      <c r="X279" s="994" t="n"/>
      <c r="Y279" s="994" t="n"/>
      <c r="Z279" s="994" t="n"/>
      <c r="AA279" s="994" t="n"/>
      <c r="AB279" s="994" t="n"/>
      <c r="AC279" s="974" t="n"/>
    </row>
    <row r="280" ht="14.25" customHeight="1">
      <c r="A280" s="993" t="n"/>
      <c r="B280" s="1052" t="n"/>
      <c r="C280" s="973" t="n"/>
      <c r="D280" s="994" t="n"/>
      <c r="E280" s="994" t="n"/>
      <c r="F280" s="994" t="n"/>
      <c r="G280" s="994" t="n"/>
      <c r="H280" s="994" t="n"/>
      <c r="I280" s="973" t="n"/>
      <c r="J280" s="973" t="n"/>
      <c r="K280" s="995" t="n"/>
      <c r="L280" s="995" t="n"/>
      <c r="M280" s="1043" t="n"/>
      <c r="N280" s="988">
        <f>IFERROR(IF(DATEDIF(TODAY(),M280,"M")&lt;=6,"ROJO",IF(DATEDIF(TODAY(),M280,"M")&gt;=12,"VERDE",IF(AND(DATEDIF(TODAY(),M280,"M")&gt;6,DATEDIF(TODAY(),M280,"M")&lt;=11),"AMARILLO",IF(M280&lt;TODAY(),"VENCIDO",0)))),O280)</f>
        <v/>
      </c>
      <c r="O280" s="1042">
        <f>IF(M280=0,"","VENCIDO")</f>
        <v/>
      </c>
      <c r="Q280" s="997" t="n"/>
      <c r="R280" s="994" t="n"/>
      <c r="S280" s="994" t="n"/>
      <c r="T280" s="994" t="n"/>
      <c r="U280" s="994" t="n"/>
      <c r="V280" s="994" t="n"/>
      <c r="W280" s="994" t="n"/>
      <c r="X280" s="994" t="n"/>
      <c r="Y280" s="994" t="n"/>
      <c r="Z280" s="994" t="n"/>
      <c r="AA280" s="994" t="n"/>
      <c r="AB280" s="994" t="n"/>
      <c r="AC280" s="974" t="n"/>
    </row>
    <row r="281" ht="15" customHeight="1" thickBot="1">
      <c r="A281" s="993" t="n"/>
      <c r="B281" s="1052" t="n"/>
      <c r="C281" s="975" t="n"/>
      <c r="D281" s="998" t="n"/>
      <c r="E281" s="998" t="n"/>
      <c r="F281" s="998" t="n"/>
      <c r="G281" s="998" t="n"/>
      <c r="H281" s="998" t="n"/>
      <c r="I281" s="975" t="n"/>
      <c r="J281" s="975" t="n"/>
      <c r="K281" s="1000" t="n"/>
      <c r="L281" s="1000" t="n"/>
      <c r="M281" s="1044" t="n"/>
      <c r="N281" s="988">
        <f>IFERROR(IF(DATEDIF(TODAY(),M281,"M")&lt;=6,"ROJO",IF(DATEDIF(TODAY(),M281,"M")&gt;=12,"VERDE",IF(AND(DATEDIF(TODAY(),M281,"M")&gt;6,DATEDIF(TODAY(),M281,"M")&lt;=11),"AMARILLO",IF(M281&lt;TODAY(),"VENCIDO",0)))),O281)</f>
        <v/>
      </c>
      <c r="O281" s="1042">
        <f>IF(M281=0,"","VENCIDO")</f>
        <v/>
      </c>
      <c r="Q281" s="1002" t="n"/>
      <c r="R281" s="998" t="n"/>
      <c r="S281" s="998" t="n"/>
      <c r="T281" s="998" t="n"/>
      <c r="U281" s="998" t="n"/>
      <c r="V281" s="998" t="n"/>
      <c r="W281" s="998" t="n"/>
      <c r="X281" s="998" t="n"/>
      <c r="Y281" s="998" t="n"/>
      <c r="Z281" s="998" t="n"/>
      <c r="AA281" s="998" t="n"/>
      <c r="AB281" s="998" t="n"/>
      <c r="AC281" s="1003" t="n"/>
    </row>
    <row r="282" ht="14.4" customHeight="1" thickBot="1">
      <c r="A282" s="1004" t="n"/>
      <c r="B282" s="1053" t="n"/>
      <c r="C282" s="1021" t="n"/>
      <c r="D282" s="1022" t="n"/>
      <c r="E282" s="1022" t="n"/>
      <c r="F282" s="1023" t="n"/>
      <c r="G282" s="1023" t="n"/>
      <c r="H282" s="1023" t="n"/>
      <c r="I282" s="1024" t="n"/>
      <c r="J282" s="1010">
        <f>J277=K282</f>
        <v/>
      </c>
      <c r="K282" s="1025">
        <f>SUM(K277:K281)</f>
        <v/>
      </c>
      <c r="L282" s="1015" t="n"/>
      <c r="M282" s="1045" t="n"/>
      <c r="N282" s="1014">
        <f>IFERROR(IF(DATEDIF(TODAY(),M282,"M")&lt;=6,"ROJO",IF(DATEDIF(TODAY(),M282,"M")&gt;=12,"VERDE",IF(AND(DATEDIF(TODAY(),M282,"M")&gt;6,DATEDIF(TODAY(),M282,"M")&lt;=11),"AMARILLO",IF(M282&lt;TODAY(),"VENCIDO",0)))),O282)</f>
        <v/>
      </c>
      <c r="O282" s="1046">
        <f>IF(M282=0,"","VENCIDO")</f>
        <v/>
      </c>
      <c r="Q282" s="1047" t="n"/>
      <c r="R282" s="1048" t="n"/>
      <c r="S282" s="1048" t="n"/>
      <c r="T282" s="1048" t="n"/>
      <c r="U282" s="1048" t="n"/>
      <c r="V282" s="1048" t="n"/>
      <c r="W282" s="1048" t="n"/>
      <c r="X282" s="1048" t="n"/>
      <c r="Y282" s="1048" t="n"/>
      <c r="Z282" s="1048" t="n"/>
      <c r="AA282" s="1048" t="n"/>
      <c r="AB282" s="1048" t="n"/>
      <c r="AC282" s="196" t="n"/>
    </row>
    <row r="283" ht="14.25" customHeight="1">
      <c r="A283" s="1049" t="inlineStr">
        <is>
          <t xml:space="preserve">Jeringa Desechable 27G 3/8" </t>
        </is>
      </c>
      <c r="B283" s="1050" t="n"/>
      <c r="C283" s="981">
        <f>ENERO!K366</f>
        <v/>
      </c>
      <c r="D283" s="982" t="n"/>
      <c r="E283" s="982" t="n"/>
      <c r="F283" s="982" t="n"/>
      <c r="G283" s="982" t="n"/>
      <c r="H283" s="982" t="n"/>
      <c r="I283" s="1026">
        <f>AC283</f>
        <v/>
      </c>
      <c r="J283" s="984">
        <f>+(C283+D283+F283+E283)-(G283+H283+I283)</f>
        <v/>
      </c>
      <c r="K283" s="985" t="n">
        <v>0</v>
      </c>
      <c r="L283" s="985" t="n"/>
      <c r="M283" s="1041" t="n"/>
      <c r="N283" s="988">
        <f>IFERROR(IF(DATEDIF(TODAY(),M283,"M")&lt;=6,"ROJO",IF(DATEDIF(TODAY(),M283,"M")&gt;=12,"VERDE",IF(AND(DATEDIF(TODAY(),M283,"M")&gt;6,DATEDIF(TODAY(),M283,"M")&lt;=11),"AMARILLO",IF(M283&lt;TODAY(),"VENCIDO",0)))),O283)</f>
        <v/>
      </c>
      <c r="O283" s="1042">
        <f>IF(M283=0,"","VENCIDO")</f>
        <v/>
      </c>
      <c r="Q283" s="990" t="n"/>
      <c r="R283" s="991" t="n"/>
      <c r="S283" s="991" t="n"/>
      <c r="T283" s="991" t="n"/>
      <c r="U283" s="991" t="n"/>
      <c r="V283" s="991" t="n"/>
      <c r="W283" s="991" t="n"/>
      <c r="X283" s="991" t="n"/>
      <c r="Y283" s="991" t="n"/>
      <c r="Z283" s="991" t="n"/>
      <c r="AA283" s="991" t="n"/>
      <c r="AB283" s="991" t="n"/>
      <c r="AC283" s="992">
        <f>SUM(Q283:AB287)</f>
        <v/>
      </c>
      <c r="AH283" s="2">
        <f>+IF(AC283&lt;&gt;I283,1,0)</f>
        <v/>
      </c>
    </row>
    <row r="284" ht="14.25" customHeight="1">
      <c r="A284" s="993" t="n"/>
      <c r="B284" s="1052" t="n"/>
      <c r="C284" s="973" t="n"/>
      <c r="D284" s="994" t="n"/>
      <c r="E284" s="994" t="n"/>
      <c r="F284" s="994" t="n"/>
      <c r="G284" s="994" t="n"/>
      <c r="H284" s="994" t="n"/>
      <c r="I284" s="973" t="n"/>
      <c r="J284" s="973" t="n"/>
      <c r="K284" s="995" t="n">
        <v>0</v>
      </c>
      <c r="L284" s="995" t="n"/>
      <c r="M284" s="1043" t="n"/>
      <c r="N284" s="988">
        <f>IFERROR(IF(DATEDIF(TODAY(),M284,"M")&lt;=6,"ROJO",IF(DATEDIF(TODAY(),M284,"M")&gt;=12,"VERDE",IF(AND(DATEDIF(TODAY(),M284,"M")&gt;6,DATEDIF(TODAY(),M284,"M")&lt;=11),"AMARILLO",IF(M284&lt;TODAY(),"VENCIDO",0)))),O284)</f>
        <v/>
      </c>
      <c r="O284" s="1042">
        <f>IF(M284=0,"","VENCIDO")</f>
        <v/>
      </c>
      <c r="Q284" s="997" t="n"/>
      <c r="R284" s="994" t="n"/>
      <c r="S284" s="994" t="n"/>
      <c r="T284" s="994" t="n"/>
      <c r="U284" s="994" t="n"/>
      <c r="V284" s="994" t="n"/>
      <c r="W284" s="994" t="n"/>
      <c r="X284" s="994" t="n"/>
      <c r="Y284" s="994" t="n"/>
      <c r="Z284" s="994" t="n"/>
      <c r="AA284" s="994" t="n"/>
      <c r="AB284" s="994" t="n"/>
      <c r="AC284" s="974" t="n"/>
    </row>
    <row r="285" ht="14.25" customHeight="1">
      <c r="A285" s="993" t="n"/>
      <c r="B285" s="1052" t="n"/>
      <c r="C285" s="973" t="n"/>
      <c r="D285" s="994" t="n"/>
      <c r="E285" s="994" t="n"/>
      <c r="F285" s="994" t="n"/>
      <c r="G285" s="994" t="n"/>
      <c r="H285" s="994" t="n"/>
      <c r="I285" s="973" t="n"/>
      <c r="J285" s="973" t="n"/>
      <c r="K285" s="995" t="n">
        <v>0</v>
      </c>
      <c r="L285" s="995" t="n"/>
      <c r="M285" s="1043" t="n"/>
      <c r="N285" s="988">
        <f>IFERROR(IF(DATEDIF(TODAY(),M285,"M")&lt;=6,"ROJO",IF(DATEDIF(TODAY(),M285,"M")&gt;=12,"VERDE",IF(AND(DATEDIF(TODAY(),M285,"M")&gt;6,DATEDIF(TODAY(),M285,"M")&lt;=11),"AMARILLO",IF(M285&lt;TODAY(),"VENCIDO",0)))),O285)</f>
        <v/>
      </c>
      <c r="O285" s="1042">
        <f>IF(M285=0,"","VENCIDO")</f>
        <v/>
      </c>
      <c r="Q285" s="997" t="n"/>
      <c r="R285" s="994" t="n"/>
      <c r="S285" s="994" t="n"/>
      <c r="T285" s="994" t="n"/>
      <c r="U285" s="994" t="n"/>
      <c r="V285" s="994" t="n"/>
      <c r="W285" s="994" t="n"/>
      <c r="X285" s="994" t="n"/>
      <c r="Y285" s="994" t="n"/>
      <c r="Z285" s="994" t="n"/>
      <c r="AA285" s="994" t="n"/>
      <c r="AB285" s="994" t="n"/>
      <c r="AC285" s="974" t="n"/>
    </row>
    <row r="286" ht="14.25" customHeight="1">
      <c r="A286" s="993" t="n"/>
      <c r="B286" s="1052" t="n"/>
      <c r="C286" s="973" t="n"/>
      <c r="D286" s="994" t="n"/>
      <c r="E286" s="994" t="n"/>
      <c r="F286" s="994" t="n"/>
      <c r="G286" s="994" t="n"/>
      <c r="H286" s="994" t="n"/>
      <c r="I286" s="973" t="n"/>
      <c r="J286" s="973" t="n"/>
      <c r="K286" s="995" t="n">
        <v>0</v>
      </c>
      <c r="L286" s="995" t="n"/>
      <c r="M286" s="1043" t="n"/>
      <c r="N286" s="988">
        <f>IFERROR(IF(DATEDIF(TODAY(),M286,"M")&lt;=6,"ROJO",IF(DATEDIF(TODAY(),M286,"M")&gt;=12,"VERDE",IF(AND(DATEDIF(TODAY(),M286,"M")&gt;6,DATEDIF(TODAY(),M286,"M")&lt;=11),"AMARILLO",IF(M286&lt;TODAY(),"VENCIDO",0)))),O286)</f>
        <v/>
      </c>
      <c r="O286" s="1042">
        <f>IF(M286=0,"","VENCIDO")</f>
        <v/>
      </c>
      <c r="Q286" s="997" t="n"/>
      <c r="R286" s="994" t="n"/>
      <c r="S286" s="994" t="n"/>
      <c r="T286" s="994" t="n"/>
      <c r="U286" s="994" t="n"/>
      <c r="V286" s="994" t="n"/>
      <c r="W286" s="994" t="n"/>
      <c r="X286" s="994" t="n"/>
      <c r="Y286" s="994" t="n"/>
      <c r="Z286" s="994" t="n"/>
      <c r="AA286" s="994" t="n"/>
      <c r="AB286" s="994" t="n"/>
      <c r="AC286" s="974" t="n"/>
    </row>
    <row r="287" ht="15" customHeight="1" thickBot="1">
      <c r="A287" s="993" t="n"/>
      <c r="B287" s="1052" t="n"/>
      <c r="C287" s="975" t="n"/>
      <c r="D287" s="998" t="n"/>
      <c r="E287" s="998" t="n"/>
      <c r="F287" s="998" t="n"/>
      <c r="G287" s="998" t="n"/>
      <c r="H287" s="998" t="n"/>
      <c r="I287" s="975" t="n"/>
      <c r="J287" s="975" t="n"/>
      <c r="K287" s="1000" t="n">
        <v>0</v>
      </c>
      <c r="L287" s="1000" t="n"/>
      <c r="M287" s="1044" t="n"/>
      <c r="N287" s="988">
        <f>IFERROR(IF(DATEDIF(TODAY(),M287,"M")&lt;=6,"ROJO",IF(DATEDIF(TODAY(),M287,"M")&gt;=12,"VERDE",IF(AND(DATEDIF(TODAY(),M287,"M")&gt;6,DATEDIF(TODAY(),M287,"M")&lt;=11),"AMARILLO",IF(M287&lt;TODAY(),"VENCIDO",0)))),O287)</f>
        <v/>
      </c>
      <c r="O287" s="1042">
        <f>IF(M287=0,"","VENCIDO")</f>
        <v/>
      </c>
      <c r="Q287" s="1002" t="n"/>
      <c r="R287" s="998" t="n"/>
      <c r="S287" s="998" t="n"/>
      <c r="T287" s="998" t="n"/>
      <c r="U287" s="998" t="n"/>
      <c r="V287" s="998" t="n"/>
      <c r="W287" s="998" t="n"/>
      <c r="X287" s="998" t="n"/>
      <c r="Y287" s="998" t="n"/>
      <c r="Z287" s="998" t="n"/>
      <c r="AA287" s="998" t="n"/>
      <c r="AB287" s="998" t="n"/>
      <c r="AC287" s="1003" t="n"/>
    </row>
    <row r="288" ht="14.4" customHeight="1" thickBot="1">
      <c r="A288" s="1004" t="n"/>
      <c r="B288" s="1053" t="n"/>
      <c r="C288" s="1021" t="n"/>
      <c r="D288" s="1022" t="n"/>
      <c r="E288" s="1022" t="n"/>
      <c r="F288" s="1023" t="n"/>
      <c r="G288" s="1023" t="n"/>
      <c r="H288" s="1023" t="n"/>
      <c r="I288" s="1024" t="n"/>
      <c r="J288" s="1010">
        <f>J283=K288</f>
        <v/>
      </c>
      <c r="K288" s="1025">
        <f>SUM(K283:K287)</f>
        <v/>
      </c>
      <c r="L288" s="1015" t="n"/>
      <c r="M288" s="1045" t="n"/>
      <c r="N288" s="1014" t="n"/>
      <c r="O288" s="1046" t="n"/>
      <c r="Q288" s="1047" t="n"/>
      <c r="R288" s="1048" t="n"/>
      <c r="S288" s="1048" t="n"/>
      <c r="T288" s="1048" t="n"/>
      <c r="U288" s="1048" t="n"/>
      <c r="V288" s="1048" t="n"/>
      <c r="W288" s="1048" t="n"/>
      <c r="X288" s="1048" t="n"/>
      <c r="Y288" s="1048" t="n"/>
      <c r="Z288" s="1048" t="n"/>
      <c r="AA288" s="1048" t="n"/>
      <c r="AB288" s="1048" t="n"/>
      <c r="AC288" s="196" t="n"/>
    </row>
    <row r="289" ht="14.25" customHeight="1">
      <c r="A289" s="1054" t="inlineStr">
        <is>
          <t xml:space="preserve">Goteros </t>
        </is>
      </c>
      <c r="B289" s="980" t="n"/>
      <c r="C289" s="981">
        <f>ENERO!#REF!</f>
        <v/>
      </c>
      <c r="D289" s="982" t="n"/>
      <c r="E289" s="982" t="n"/>
      <c r="F289" s="982" t="n"/>
      <c r="G289" s="982" t="n"/>
      <c r="H289" s="982" t="n"/>
      <c r="I289" s="1026">
        <f>AC289</f>
        <v/>
      </c>
      <c r="J289" s="984">
        <f>+(C289+D289+F289+E289)-(G289+H289+I289)</f>
        <v/>
      </c>
      <c r="K289" s="985" t="n"/>
      <c r="L289" s="985" t="n"/>
      <c r="M289" s="1041" t="n"/>
      <c r="N289" s="988" t="n"/>
      <c r="O289" s="1042" t="n"/>
      <c r="Q289" s="990" t="n"/>
      <c r="R289" s="991" t="n"/>
      <c r="S289" s="991" t="n"/>
      <c r="T289" s="991" t="n"/>
      <c r="U289" s="991" t="n"/>
      <c r="V289" s="991" t="n"/>
      <c r="W289" s="991" t="n"/>
      <c r="X289" s="991" t="n"/>
      <c r="Y289" s="991" t="n"/>
      <c r="Z289" s="991" t="n"/>
      <c r="AA289" s="991" t="n"/>
      <c r="AB289" s="991" t="n"/>
      <c r="AC289" s="992">
        <f>SUM(Q289:AB293)</f>
        <v/>
      </c>
      <c r="AH289" s="2">
        <f>+IF(AC289&lt;&gt;I289,1,0)</f>
        <v/>
      </c>
    </row>
    <row r="290" ht="14.25" customHeight="1">
      <c r="A290" s="993" t="n"/>
      <c r="B290" s="972" t="n"/>
      <c r="C290" s="973" t="n"/>
      <c r="D290" s="994" t="n"/>
      <c r="E290" s="994" t="n"/>
      <c r="F290" s="994" t="n"/>
      <c r="G290" s="994" t="n"/>
      <c r="H290" s="994" t="n"/>
      <c r="I290" s="973" t="n"/>
      <c r="J290" s="973" t="n"/>
      <c r="K290" s="995" t="n"/>
      <c r="L290" s="995" t="n"/>
      <c r="M290" s="1043" t="n"/>
      <c r="N290" s="988" t="n"/>
      <c r="O290" s="1042" t="n"/>
      <c r="Q290" s="997" t="n"/>
      <c r="R290" s="994" t="n"/>
      <c r="S290" s="994" t="n"/>
      <c r="T290" s="994" t="n"/>
      <c r="U290" s="994" t="n"/>
      <c r="V290" s="994" t="n"/>
      <c r="W290" s="994" t="n"/>
      <c r="X290" s="994" t="n"/>
      <c r="Y290" s="994" t="n"/>
      <c r="Z290" s="994" t="n"/>
      <c r="AA290" s="994" t="n"/>
      <c r="AB290" s="994" t="n"/>
      <c r="AC290" s="974" t="n"/>
    </row>
    <row r="291" ht="14.25" customHeight="1">
      <c r="A291" s="993" t="n"/>
      <c r="B291" s="972" t="n"/>
      <c r="C291" s="973" t="n"/>
      <c r="D291" s="994" t="n"/>
      <c r="E291" s="994" t="n"/>
      <c r="F291" s="994" t="n"/>
      <c r="G291" s="994" t="n"/>
      <c r="H291" s="994" t="n"/>
      <c r="I291" s="973" t="n"/>
      <c r="J291" s="973" t="n"/>
      <c r="K291" s="995" t="n"/>
      <c r="L291" s="995" t="n"/>
      <c r="M291" s="1043" t="n"/>
      <c r="N291" s="988" t="n"/>
      <c r="O291" s="1042" t="n"/>
      <c r="Q291" s="997" t="n"/>
      <c r="R291" s="994" t="n"/>
      <c r="S291" s="994" t="n"/>
      <c r="T291" s="994" t="n"/>
      <c r="U291" s="994" t="n"/>
      <c r="V291" s="994" t="n"/>
      <c r="W291" s="994" t="n"/>
      <c r="X291" s="994" t="n"/>
      <c r="Y291" s="994" t="n"/>
      <c r="Z291" s="994" t="n"/>
      <c r="AA291" s="994" t="n"/>
      <c r="AB291" s="994" t="n"/>
      <c r="AC291" s="974" t="n"/>
    </row>
    <row r="292" ht="14.25" customHeight="1">
      <c r="A292" s="993" t="n"/>
      <c r="B292" s="972" t="n"/>
      <c r="C292" s="973" t="n"/>
      <c r="D292" s="994" t="n"/>
      <c r="E292" s="994" t="n"/>
      <c r="F292" s="994" t="n"/>
      <c r="G292" s="994" t="n"/>
      <c r="H292" s="994" t="n"/>
      <c r="I292" s="973" t="n"/>
      <c r="J292" s="973" t="n"/>
      <c r="K292" s="995" t="n"/>
      <c r="L292" s="995" t="n"/>
      <c r="M292" s="1043" t="n"/>
      <c r="N292" s="988" t="n"/>
      <c r="O292" s="1042" t="n"/>
      <c r="Q292" s="997" t="n"/>
      <c r="R292" s="994" t="n"/>
      <c r="S292" s="994" t="n"/>
      <c r="T292" s="994" t="n"/>
      <c r="U292" s="994" t="n"/>
      <c r="V292" s="994" t="n"/>
      <c r="W292" s="994" t="n"/>
      <c r="X292" s="994" t="n"/>
      <c r="Y292" s="994" t="n"/>
      <c r="Z292" s="994" t="n"/>
      <c r="AA292" s="994" t="n"/>
      <c r="AB292" s="994" t="n"/>
      <c r="AC292" s="974" t="n"/>
    </row>
    <row r="293" ht="15" customHeight="1" thickBot="1">
      <c r="A293" s="993" t="n"/>
      <c r="B293" s="972" t="n"/>
      <c r="C293" s="975" t="n"/>
      <c r="D293" s="998" t="n"/>
      <c r="E293" s="998" t="n"/>
      <c r="F293" s="998" t="n"/>
      <c r="G293" s="998" t="n"/>
      <c r="H293" s="998" t="n"/>
      <c r="I293" s="975" t="n"/>
      <c r="J293" s="975" t="n"/>
      <c r="K293" s="1000" t="n"/>
      <c r="L293" s="1000" t="n"/>
      <c r="M293" s="1044" t="n"/>
      <c r="N293" s="988" t="n"/>
      <c r="O293" s="1042" t="n"/>
      <c r="Q293" s="1002" t="n"/>
      <c r="R293" s="998" t="n"/>
      <c r="S293" s="998" t="n"/>
      <c r="T293" s="998" t="n"/>
      <c r="U293" s="998" t="n"/>
      <c r="V293" s="998" t="n"/>
      <c r="W293" s="998" t="n"/>
      <c r="X293" s="998" t="n"/>
      <c r="Y293" s="998" t="n"/>
      <c r="Z293" s="998" t="n"/>
      <c r="AA293" s="998" t="n"/>
      <c r="AB293" s="998" t="n"/>
      <c r="AC293" s="1003" t="n"/>
    </row>
    <row r="294" ht="14.4" customHeight="1" thickBot="1">
      <c r="A294" s="993" t="n"/>
      <c r="B294" s="972" t="n"/>
      <c r="C294" s="1055" t="n"/>
      <c r="D294" s="1056" t="n"/>
      <c r="E294" s="1056" t="n"/>
      <c r="F294" s="1057" t="n"/>
      <c r="G294" s="1057" t="n"/>
      <c r="H294" s="1057" t="n"/>
      <c r="I294" s="1058" t="n"/>
      <c r="J294" s="1059">
        <f>J289=K294</f>
        <v/>
      </c>
      <c r="K294" s="1060">
        <f>SUM(K289:K293)</f>
        <v/>
      </c>
      <c r="L294" s="1030" t="n"/>
      <c r="M294" s="1061" t="n"/>
      <c r="N294" s="1014" t="n"/>
      <c r="O294" s="1046" t="n"/>
      <c r="Q294" s="1012" t="n"/>
      <c r="R294" s="1062" t="n"/>
      <c r="S294" s="1062" t="n"/>
      <c r="T294" s="1062" t="n"/>
      <c r="U294" s="1062" t="n"/>
      <c r="V294" s="1062" t="n"/>
      <c r="W294" s="1062" t="n"/>
      <c r="X294" s="1062" t="n"/>
      <c r="Y294" s="1062" t="n"/>
      <c r="Z294" s="1062" t="n"/>
      <c r="AA294" s="1062" t="n"/>
      <c r="AB294" s="1062" t="n"/>
      <c r="AC294" s="193" t="n"/>
    </row>
    <row r="295" ht="15.75" customHeight="1" thickBot="1">
      <c r="A295" s="847" t="inlineStr">
        <is>
          <t>CARNE DE VACUNACIÓN INFANTIL</t>
        </is>
      </c>
      <c r="B295" s="970" t="n"/>
      <c r="C295" s="1063">
        <f>ENERO!K373</f>
        <v/>
      </c>
      <c r="D295" s="982" t="n"/>
      <c r="E295" s="982" t="n"/>
      <c r="F295" s="982" t="n"/>
      <c r="G295" s="982" t="n"/>
      <c r="H295" s="982" t="n"/>
      <c r="I295" s="1064">
        <f>AC295</f>
        <v/>
      </c>
      <c r="J295" s="984">
        <f>+(C289+D289+F289+E289)-(G289+H289+I289)</f>
        <v/>
      </c>
      <c r="K295" s="985" t="n"/>
      <c r="L295" s="985" t="n"/>
      <c r="M295" s="1041" t="n"/>
      <c r="N295" s="988" t="n"/>
      <c r="O295" s="1042" t="n"/>
      <c r="Q295" s="990" t="n"/>
      <c r="R295" s="991" t="n"/>
      <c r="S295" s="991" t="n"/>
      <c r="T295" s="991" t="n"/>
      <c r="U295" s="991" t="n"/>
      <c r="V295" s="991" t="n"/>
      <c r="W295" s="991" t="n"/>
      <c r="X295" s="991" t="n"/>
      <c r="Y295" s="991" t="n"/>
      <c r="Z295" s="991" t="n"/>
      <c r="AA295" s="991" t="n"/>
      <c r="AB295" s="1065" t="n"/>
      <c r="AC295" s="1051">
        <f>SUM(Q295:AB295)</f>
        <v/>
      </c>
      <c r="AH295" s="2">
        <f>+IF(AC295&lt;&gt;I295,1,0)</f>
        <v/>
      </c>
    </row>
    <row r="296" ht="15.75" customHeight="1" thickBot="1">
      <c r="A296" s="849" t="inlineStr">
        <is>
          <t>CARNE/CERTIFICADO DE VACUNACIÓN DE ADULTOS</t>
        </is>
      </c>
      <c r="B296" s="967" t="n"/>
      <c r="C296" s="1066">
        <f>ENERO!K374</f>
        <v/>
      </c>
      <c r="D296" s="1067" t="n"/>
      <c r="E296" s="1067" t="n"/>
      <c r="F296" s="1067" t="n"/>
      <c r="G296" s="1067" t="n"/>
      <c r="H296" s="1067" t="n"/>
      <c r="I296" s="1068">
        <f>AC296</f>
        <v/>
      </c>
      <c r="J296" s="1069">
        <f>+(C290+D290+F290+E290)-(G290+H290+I290)</f>
        <v/>
      </c>
      <c r="K296" s="995" t="n"/>
      <c r="L296" s="995" t="n"/>
      <c r="M296" s="1043" t="n"/>
      <c r="N296" s="988" t="n"/>
      <c r="O296" s="1042" t="n"/>
      <c r="Q296" s="1070" t="n"/>
      <c r="R296" s="1071" t="n"/>
      <c r="S296" s="1071" t="n"/>
      <c r="T296" s="1071" t="n"/>
      <c r="U296" s="1071" t="n"/>
      <c r="V296" s="1071" t="n"/>
      <c r="W296" s="1071" t="n"/>
      <c r="X296" s="1071" t="n"/>
      <c r="Y296" s="1071" t="n"/>
      <c r="Z296" s="1071" t="n"/>
      <c r="AA296" s="1071" t="n"/>
      <c r="AB296" s="1072" t="n"/>
      <c r="AC296" s="1051">
        <f>SUM(Q296:AB296)</f>
        <v/>
      </c>
      <c r="AH296" s="2">
        <f>+IF(AC296&lt;&gt;I296,1,0)</f>
        <v/>
      </c>
    </row>
    <row r="297" ht="16.5" customHeight="1" thickBot="1">
      <c r="A297" s="849" t="inlineStr">
        <is>
          <t>CARNE/CERTIFICADO INTERNACIONAL DE VACUNACIÓN</t>
        </is>
      </c>
      <c r="B297" s="967" t="n"/>
      <c r="C297" s="1066">
        <f>ENERO!K376</f>
        <v/>
      </c>
      <c r="D297" s="1067" t="n"/>
      <c r="E297" s="1067" t="n"/>
      <c r="F297" s="1067" t="n"/>
      <c r="G297" s="1067" t="n"/>
      <c r="H297" s="1067" t="n"/>
      <c r="I297" s="1068">
        <f>AC297</f>
        <v/>
      </c>
      <c r="J297" s="1069">
        <f>+(C291+D291+F291+E291)-(G291+H291+I291)</f>
        <v/>
      </c>
      <c r="K297" s="995" t="n"/>
      <c r="L297" s="1073" t="n"/>
      <c r="M297" s="1074" t="n"/>
      <c r="N297" s="988" t="n"/>
      <c r="O297" s="1042" t="n"/>
      <c r="Q297" s="1070" t="n"/>
      <c r="R297" s="1071" t="n"/>
      <c r="S297" s="1071" t="n"/>
      <c r="T297" s="1071" t="n"/>
      <c r="U297" s="1071" t="n"/>
      <c r="V297" s="1071" t="n"/>
      <c r="W297" s="1071" t="n"/>
      <c r="X297" s="1071" t="n"/>
      <c r="Y297" s="1071" t="n"/>
      <c r="Z297" s="1071" t="n"/>
      <c r="AA297" s="1071" t="n"/>
      <c r="AB297" s="1072" t="n"/>
      <c r="AC297" s="1051">
        <f>SUM(Q297:AB297)</f>
        <v/>
      </c>
      <c r="AH297" s="2">
        <f>+IF(AC297&lt;&gt;I297,1,0)</f>
        <v/>
      </c>
    </row>
    <row r="298" ht="16.5" customHeight="1" thickBot="1">
      <c r="A298" s="849" t="inlineStr">
        <is>
          <t>TARJETAS UNIFICADAS DE VACUNACION -TUV ADULTOS</t>
        </is>
      </c>
      <c r="B298" s="967" t="n"/>
      <c r="C298" s="1066">
        <f>ENERO!K377</f>
        <v/>
      </c>
      <c r="D298" s="1067" t="n"/>
      <c r="E298" s="1067" t="n"/>
      <c r="F298" s="1075" t="n"/>
      <c r="G298" s="1075" t="n"/>
      <c r="H298" s="1075" t="n"/>
      <c r="I298" s="1068">
        <f>AC298</f>
        <v/>
      </c>
      <c r="J298" s="1069">
        <f>+(C292+D292+F292+E292)-(G292+H292+I292)</f>
        <v/>
      </c>
      <c r="K298" s="995" t="n"/>
      <c r="L298" s="1073" t="n"/>
      <c r="M298" s="1074" t="n"/>
      <c r="N298" s="988" t="n"/>
      <c r="O298" s="1042" t="n"/>
      <c r="Q298" s="1070" t="n"/>
      <c r="R298" s="1071" t="n"/>
      <c r="S298" s="1071" t="n"/>
      <c r="T298" s="1071" t="n"/>
      <c r="U298" s="1071" t="n"/>
      <c r="V298" s="1071" t="n"/>
      <c r="W298" s="1071" t="n"/>
      <c r="X298" s="1071" t="n"/>
      <c r="Y298" s="1071" t="n"/>
      <c r="Z298" s="1071" t="n"/>
      <c r="AA298" s="1071" t="n"/>
      <c r="AB298" s="1072" t="n"/>
      <c r="AC298" s="1051">
        <f>SUM(Q298:AB298)</f>
        <v/>
      </c>
      <c r="AH298" s="2">
        <f>+IF(AC298&lt;&gt;I298,1,0)</f>
        <v/>
      </c>
    </row>
    <row r="299" ht="16.5" customHeight="1" thickBot="1">
      <c r="A299" s="863" t="inlineStr">
        <is>
          <t>TARJETAS UNIFICADAS DE VACUNACION -TUV NIÑOS</t>
        </is>
      </c>
      <c r="B299" s="1076" t="n"/>
      <c r="C299" s="1077">
        <f>ENERO!K378</f>
        <v/>
      </c>
      <c r="D299" s="1078" t="n"/>
      <c r="E299" s="1078" t="n"/>
      <c r="F299" s="1079" t="n"/>
      <c r="G299" s="1079" t="n"/>
      <c r="H299" s="1079" t="n"/>
      <c r="I299" s="1080">
        <f>AC299</f>
        <v/>
      </c>
      <c r="J299" s="1081">
        <f>+(C293+D293+F293+E293)-(G293+H293+I293)</f>
        <v/>
      </c>
      <c r="K299" s="1000" t="n"/>
      <c r="L299" s="1000" t="n"/>
      <c r="M299" s="1044" t="n"/>
      <c r="N299" s="988" t="n"/>
      <c r="O299" s="1042" t="n"/>
      <c r="Q299" s="1082" t="n"/>
      <c r="R299" s="1083" t="n"/>
      <c r="S299" s="1083" t="n"/>
      <c r="T299" s="1083" t="n"/>
      <c r="U299" s="1083" t="n"/>
      <c r="V299" s="1083" t="n"/>
      <c r="W299" s="1083" t="n"/>
      <c r="X299" s="1083" t="n"/>
      <c r="Y299" s="1083" t="n"/>
      <c r="Z299" s="1083" t="n"/>
      <c r="AA299" s="1083" t="n"/>
      <c r="AB299" s="1084" t="n"/>
      <c r="AC299" s="1051">
        <f>SUM(Q299:AB299)</f>
        <v/>
      </c>
      <c r="AH299" s="2">
        <f>+IF(AC299&lt;&gt;I299,1,0)</f>
        <v/>
      </c>
    </row>
    <row r="300">
      <c r="A300" s="62" t="n"/>
      <c r="B300" s="62" t="n"/>
      <c r="C300" s="63" t="n"/>
      <c r="D300" s="63" t="n"/>
      <c r="E300" s="64" t="n"/>
      <c r="F300" s="64" t="n"/>
      <c r="G300" s="64" t="n"/>
      <c r="H300" s="64" t="n"/>
      <c r="I300" s="65" t="n"/>
      <c r="J300" s="65" t="n"/>
      <c r="K300" s="65" t="n"/>
      <c r="L300" s="65" t="n"/>
      <c r="M300" s="65" t="n"/>
      <c r="N300" s="65" t="n"/>
      <c r="O300" s="65" t="n"/>
    </row>
    <row r="301" ht="14.4" customHeight="1" thickBot="1">
      <c r="A301" s="66" t="inlineStr">
        <is>
          <t>OBSERVACIONES MUNICIPIOS: (Especifique las caracteristicas de los traslados realizados, pérdidas, entre otras que considere deba puntualizar).</t>
        </is>
      </c>
      <c r="B301" s="62" t="n"/>
      <c r="C301" s="63" t="n"/>
      <c r="D301" s="63" t="n"/>
      <c r="E301" s="64" t="n"/>
      <c r="F301" s="64" t="n"/>
      <c r="G301" s="64" t="n"/>
      <c r="H301" s="64" t="n"/>
      <c r="I301" s="65" t="n"/>
      <c r="J301" s="65" t="n"/>
      <c r="K301" s="65" t="n"/>
      <c r="L301" s="65" t="n"/>
      <c r="M301" s="65" t="n"/>
      <c r="N301" s="65" t="n"/>
      <c r="O301" s="65" t="n"/>
    </row>
    <row r="302" ht="15" customHeight="1">
      <c r="A302" s="1085" t="n"/>
      <c r="B302" s="1086" t="n"/>
      <c r="C302" s="1086" t="n"/>
      <c r="D302" s="1086" t="n"/>
      <c r="E302" s="1086" t="n"/>
      <c r="F302" s="1086" t="n"/>
      <c r="G302" s="1086" t="n"/>
      <c r="H302" s="1086" t="n"/>
      <c r="I302" s="1086" t="n"/>
      <c r="J302" s="1086" t="n"/>
      <c r="K302" s="1086" t="n"/>
      <c r="L302" s="1086" t="n"/>
      <c r="M302" s="1087" t="n"/>
      <c r="N302" s="144" t="n"/>
      <c r="O302" s="869" t="n"/>
    </row>
    <row r="303" ht="15" customHeight="1">
      <c r="A303" s="1088" t="n"/>
      <c r="B303" s="1089" t="n"/>
      <c r="C303" s="1089" t="n"/>
      <c r="D303" s="1089" t="n"/>
      <c r="E303" s="1089" t="n"/>
      <c r="F303" s="1089" t="n"/>
      <c r="G303" s="1089" t="n"/>
      <c r="H303" s="1089" t="n"/>
      <c r="I303" s="1089" t="n"/>
      <c r="J303" s="1089" t="n"/>
      <c r="K303" s="1089" t="n"/>
      <c r="L303" s="1089" t="n"/>
      <c r="M303" s="1090" t="n"/>
      <c r="N303" s="144" t="n"/>
      <c r="O303" s="869" t="n"/>
    </row>
    <row r="304" ht="15.75" customHeight="1" thickBot="1">
      <c r="A304" s="1091" t="n"/>
      <c r="B304" s="1092" t="n"/>
      <c r="C304" s="1092" t="n"/>
      <c r="D304" s="1092" t="n"/>
      <c r="E304" s="1092" t="n"/>
      <c r="F304" s="1092" t="n"/>
      <c r="G304" s="1092" t="n"/>
      <c r="H304" s="1092" t="n"/>
      <c r="I304" s="1092" t="n"/>
      <c r="J304" s="1092" t="n"/>
      <c r="K304" s="1092" t="n"/>
      <c r="L304" s="1092" t="n"/>
      <c r="M304" s="1093" t="n"/>
      <c r="N304" s="144" t="n"/>
      <c r="O304" s="869" t="n"/>
    </row>
    <row r="305" ht="21" customHeight="1" thickBot="1">
      <c r="A305" s="874" t="inlineStr">
        <is>
          <t>CONSOLIDADO MUNICIPIOS (Consolida los movimientos realizados por los municipios )</t>
        </is>
      </c>
      <c r="B305" s="1094" t="n"/>
      <c r="C305" s="1094" t="n"/>
      <c r="D305" s="1094" t="n"/>
      <c r="E305" s="1094" t="n"/>
      <c r="F305" s="1094" t="n"/>
      <c r="G305" s="1094" t="n"/>
      <c r="H305" s="1094" t="n"/>
      <c r="I305" s="1094" t="n"/>
      <c r="J305" s="1094" t="n"/>
      <c r="K305" s="1094" t="n"/>
      <c r="L305" s="1094" t="n"/>
      <c r="M305" s="1094" t="n"/>
      <c r="N305" s="146" t="n"/>
      <c r="O305" s="875" t="n"/>
      <c r="P305" s="13" t="n"/>
      <c r="Q305" s="13" t="n"/>
      <c r="R305" s="13" t="n"/>
      <c r="S305" s="13" t="n"/>
      <c r="T305" s="13" t="n"/>
      <c r="U305" s="13" t="n"/>
      <c r="V305" s="13" t="n"/>
      <c r="W305" s="13" t="n"/>
      <c r="X305" s="13" t="n"/>
      <c r="Y305" s="13" t="n"/>
      <c r="Z305" s="13" t="n"/>
      <c r="AA305" s="13" t="n"/>
      <c r="AB305" s="13" t="n"/>
      <c r="AC305" s="198" t="n"/>
    </row>
    <row r="306" ht="22.5" customHeight="1" thickTop="1">
      <c r="A306" s="1095" t="inlineStr">
        <is>
          <t>INSUMOS</t>
        </is>
      </c>
      <c r="B306" s="980" t="n"/>
      <c r="C306" s="1096" t="inlineStr">
        <is>
          <t>SALDO MES ANTERIOR</t>
        </is>
      </c>
      <c r="D306" s="1096" t="inlineStr">
        <is>
          <t>ENTRADAS</t>
        </is>
      </c>
      <c r="E306" s="1097" t="inlineStr">
        <is>
          <t>D. APLICADAS</t>
        </is>
      </c>
      <c r="F306" s="967" t="n"/>
      <c r="G306" s="966" t="inlineStr">
        <is>
          <t>ENTRADAS</t>
        </is>
      </c>
      <c r="H306" s="967" t="n"/>
      <c r="I306" s="1098" t="inlineStr">
        <is>
          <t>SALIDAS</t>
        </is>
      </c>
      <c r="J306" s="1099" t="n"/>
      <c r="K306" s="1100" t="n"/>
      <c r="L306" s="174" t="n"/>
      <c r="M306" s="1101" t="n"/>
      <c r="N306" s="1101" t="n"/>
      <c r="O306" s="1101" t="n"/>
      <c r="P306" s="4" t="n"/>
      <c r="Q306" s="797" t="inlineStr">
        <is>
          <t xml:space="preserve">CAUSAS DE PERDIDA DE BIOLÓGICO </t>
        </is>
      </c>
      <c r="R306" s="969" t="n"/>
      <c r="S306" s="969" t="n"/>
      <c r="T306" s="969" t="n"/>
      <c r="U306" s="969" t="n"/>
      <c r="V306" s="969" t="n"/>
      <c r="W306" s="969" t="n"/>
      <c r="X306" s="969" t="n"/>
      <c r="Y306" s="969" t="n"/>
      <c r="Z306" s="969" t="n"/>
      <c r="AA306" s="969" t="n"/>
      <c r="AB306" s="970" t="n"/>
      <c r="AC306" s="199" t="n"/>
      <c r="AE306" s="859" t="inlineStr">
        <is>
          <t>PORCENTAJE DE PERDIDA</t>
        </is>
      </c>
    </row>
    <row r="307" ht="21.75" customHeight="1">
      <c r="A307" s="993" t="n"/>
      <c r="B307" s="972" t="n"/>
      <c r="C307" s="973" t="n"/>
      <c r="D307" s="973" t="n"/>
      <c r="E307" s="1102" t="inlineStr">
        <is>
          <t>DOSIS APLICADAS
COLOMBIANOS</t>
        </is>
      </c>
      <c r="F307" s="1102" t="inlineStr">
        <is>
          <t>DOSIS APLICADAS EXTRANJEROS</t>
        </is>
      </c>
      <c r="G307" s="1102" t="inlineStr">
        <is>
          <t>DESPACHOS</t>
        </is>
      </c>
      <c r="H307" s="1102" t="inlineStr">
        <is>
          <t>TRASLADOS ENTRADAS</t>
        </is>
      </c>
      <c r="I307" s="758" t="inlineStr">
        <is>
          <t>DESPACHOS</t>
        </is>
      </c>
      <c r="J307" s="758" t="inlineStr">
        <is>
          <t>TRASLADOS SALIDAS</t>
        </is>
      </c>
      <c r="K307" s="861" t="inlineStr">
        <is>
          <t>DOSIS PERDIDAS</t>
        </is>
      </c>
      <c r="L307" s="862" t="inlineStr">
        <is>
          <t>SALDO QUE INICIA EL MES SIGUIENTE</t>
        </is>
      </c>
      <c r="M307" s="1101" t="n"/>
      <c r="N307" s="1101" t="n"/>
      <c r="O307" s="1101" t="n"/>
      <c r="P307" s="4" t="n"/>
      <c r="Q307" s="794" t="inlineStr">
        <is>
          <t xml:space="preserve"> POR FRASCO ABIERTO  </t>
        </is>
      </c>
      <c r="R307" s="967" t="n"/>
      <c r="S307" s="788" t="inlineStr">
        <is>
          <t>INTERRUPCION DE CADENA DE FRIO</t>
        </is>
      </c>
      <c r="T307" s="792" t="inlineStr">
        <is>
          <t>APLICACIÓN FUERA DE LA EDAD</t>
        </is>
      </c>
      <c r="U307" s="792" t="inlineStr">
        <is>
          <t>CONTAMINACION DEL BIOLÓGICO/DISPOSITIVO MÉDICO</t>
        </is>
      </c>
      <c r="V307" s="788" t="inlineStr">
        <is>
          <t>FRASCO/VIAL  ROTO</t>
        </is>
      </c>
      <c r="W307" s="788" t="inlineStr">
        <is>
          <t>ERRORES EN LA MANIPULACION</t>
        </is>
      </c>
      <c r="X307" s="788" t="inlineStr">
        <is>
          <t>VENCIMIENTO DEL BIOLÓGICO/DISPOSITIVO MÉDICO</t>
        </is>
      </c>
      <c r="Y307" s="788" t="inlineStr">
        <is>
          <t>FARMACOVIGILANCIA/ TECNOVIGILANCIA</t>
        </is>
      </c>
      <c r="Z307" s="788" t="inlineStr">
        <is>
          <t>VOMITO FRANCO</t>
        </is>
      </c>
      <c r="AA307" s="788" t="inlineStr">
        <is>
          <t>SINIESTRO O ROBO</t>
        </is>
      </c>
      <c r="AB307" s="788" t="inlineStr">
        <is>
          <t>RECONSTITUCION BIOLÓGICO</t>
        </is>
      </c>
      <c r="AC307" s="887" t="inlineStr">
        <is>
          <t xml:space="preserve">TOTAL DOSIS PERDIDAS        </t>
        </is>
      </c>
      <c r="AE307" s="973" t="n"/>
    </row>
    <row r="308" ht="14.25" customHeight="1">
      <c r="A308" s="993" t="n"/>
      <c r="B308" s="972" t="n"/>
      <c r="C308" s="973" t="n"/>
      <c r="D308" s="973" t="n"/>
      <c r="E308" s="973" t="n"/>
      <c r="F308" s="973" t="n"/>
      <c r="G308" s="973" t="n"/>
      <c r="H308" s="973" t="n"/>
      <c r="I308" s="973" t="n"/>
      <c r="J308" s="973" t="n"/>
      <c r="K308" s="973" t="n"/>
      <c r="L308" s="973" t="n"/>
      <c r="M308" s="1101" t="n"/>
      <c r="N308" s="1101" t="n"/>
      <c r="O308" s="1101" t="n"/>
      <c r="P308" s="4" t="n"/>
      <c r="Q308" s="790" t="inlineStr">
        <is>
          <t>INSTITUCIONAL</t>
        </is>
      </c>
      <c r="R308" s="792" t="inlineStr">
        <is>
          <t>EXTRAMURAL</t>
        </is>
      </c>
      <c r="S308" s="973" t="n"/>
      <c r="T308" s="973" t="n"/>
      <c r="U308" s="973" t="n"/>
      <c r="V308" s="973" t="n"/>
      <c r="W308" s="973" t="n"/>
      <c r="X308" s="973" t="n"/>
      <c r="Y308" s="973" t="n"/>
      <c r="Z308" s="973" t="n"/>
      <c r="AA308" s="973" t="n"/>
      <c r="AB308" s="973" t="n"/>
      <c r="AC308" s="974" t="n"/>
      <c r="AE308" s="973" t="n"/>
    </row>
    <row r="309" ht="23.25" customHeight="1" thickBot="1">
      <c r="A309" s="1004" t="n"/>
      <c r="B309" s="1005" t="n"/>
      <c r="C309" s="999" t="n"/>
      <c r="D309" s="999" t="n"/>
      <c r="E309" s="999" t="n"/>
      <c r="F309" s="999" t="n"/>
      <c r="G309" s="999" t="n"/>
      <c r="H309" s="999" t="n"/>
      <c r="I309" s="973" t="n"/>
      <c r="J309" s="973" t="n"/>
      <c r="K309" s="975" t="n"/>
      <c r="L309" s="975" t="n"/>
      <c r="M309" s="1101" t="n"/>
      <c r="N309" s="1101" t="n"/>
      <c r="O309" s="1101" t="n"/>
      <c r="P309" s="4" t="n"/>
      <c r="Q309" s="976" t="n"/>
      <c r="R309" s="975" t="n"/>
      <c r="S309" s="975" t="n"/>
      <c r="T309" s="975" t="n"/>
      <c r="U309" s="975" t="n"/>
      <c r="V309" s="975" t="n"/>
      <c r="W309" s="975" t="n"/>
      <c r="X309" s="975" t="n"/>
      <c r="Y309" s="975" t="n"/>
      <c r="Z309" s="975" t="n"/>
      <c r="AA309" s="975" t="n"/>
      <c r="AB309" s="975" t="n"/>
      <c r="AC309" s="974" t="n"/>
      <c r="AE309" s="975" t="n"/>
    </row>
    <row r="310" ht="14.4" customHeight="1" thickBot="1">
      <c r="A310" s="891" t="inlineStr">
        <is>
          <t>BCG (vacuna)</t>
        </is>
      </c>
      <c r="B310" s="1103" t="n"/>
      <c r="C310" s="1104">
        <f>ENERO!#REF!</f>
        <v/>
      </c>
      <c r="D310" s="1105" t="n"/>
      <c r="E310" s="1105" t="n"/>
      <c r="F310" s="1105" t="n"/>
      <c r="G310" s="1105" t="n"/>
      <c r="H310" s="1106" t="n"/>
      <c r="I310" s="1107" t="n"/>
      <c r="J310" s="145" t="n"/>
      <c r="K310" s="1108">
        <f>+AC310</f>
        <v/>
      </c>
      <c r="L310" s="1109">
        <f>+(C310+D310+G310+H310)-(E310+F310+I310+J310+K310)</f>
        <v/>
      </c>
      <c r="M310" s="1101" t="n"/>
      <c r="N310" s="1101" t="n"/>
      <c r="O310" s="1101" t="n"/>
      <c r="P310" s="4" t="n"/>
      <c r="Q310" s="990" t="n"/>
      <c r="R310" s="991" t="n"/>
      <c r="S310" s="991" t="n"/>
      <c r="T310" s="991" t="n"/>
      <c r="U310" s="991" t="n"/>
      <c r="V310" s="991" t="n"/>
      <c r="W310" s="991" t="n"/>
      <c r="X310" s="991" t="n"/>
      <c r="Y310" s="991" t="n"/>
      <c r="Z310" s="991" t="n"/>
      <c r="AA310" s="991" t="n"/>
      <c r="AB310" s="991" t="n"/>
      <c r="AC310" s="1051">
        <f>SUM(Q310:AB310)</f>
        <v/>
      </c>
      <c r="AE310" s="1110">
        <f>+(AC310)/(E310+F310+AC310)</f>
        <v/>
      </c>
      <c r="AF310" s="1111" t="n"/>
      <c r="AH310" s="2">
        <f>+IF(AC310&lt;&gt;K310,1,0)</f>
        <v/>
      </c>
    </row>
    <row r="311" ht="14.4" customHeight="1" thickBot="1">
      <c r="A311" s="883" t="inlineStr">
        <is>
          <t>Hepatitis B pediatrica</t>
        </is>
      </c>
      <c r="B311" s="967" t="n"/>
      <c r="C311" s="1104">
        <f>ENERO!M423</f>
        <v/>
      </c>
      <c r="D311" s="1105" t="n"/>
      <c r="E311" s="1105" t="n"/>
      <c r="F311" s="1105" t="n"/>
      <c r="G311" s="1105" t="n"/>
      <c r="H311" s="1106" t="n"/>
      <c r="I311" s="1107" t="n"/>
      <c r="J311" s="145" t="n"/>
      <c r="K311" s="1108">
        <f>+AC311</f>
        <v/>
      </c>
      <c r="L311" s="1109">
        <f>+(C311+D311+G311+H311)-(E311+F311+I311+J311+K311)</f>
        <v/>
      </c>
      <c r="M311" s="1101" t="n"/>
      <c r="N311" s="1101" t="n"/>
      <c r="O311" s="1101" t="n"/>
      <c r="P311" s="4" t="n"/>
      <c r="Q311" s="1070" t="n"/>
      <c r="R311" s="1071" t="n"/>
      <c r="S311" s="1071" t="n"/>
      <c r="T311" s="1071" t="n"/>
      <c r="U311" s="1071" t="n"/>
      <c r="V311" s="1071" t="n"/>
      <c r="W311" s="1071" t="n"/>
      <c r="X311" s="1071" t="n"/>
      <c r="Y311" s="1071" t="n"/>
      <c r="Z311" s="1071" t="n"/>
      <c r="AA311" s="1071" t="n"/>
      <c r="AB311" s="1071" t="n"/>
      <c r="AC311" s="1051">
        <f>SUM(Q311:AB311)</f>
        <v/>
      </c>
      <c r="AE311" s="1110">
        <f>(AC311)/(E311+F311+AC311)</f>
        <v/>
      </c>
      <c r="AH311" s="2">
        <f>+IF(AC311&lt;&gt;K311,1,0)</f>
        <v/>
      </c>
    </row>
    <row r="312" ht="14.4" customHeight="1" thickBot="1">
      <c r="A312" s="885" t="inlineStr">
        <is>
          <t>Hepatitis B Adultos</t>
        </is>
      </c>
      <c r="B312" s="968" t="n"/>
      <c r="C312" s="1104">
        <f>ENERO!M429</f>
        <v/>
      </c>
      <c r="D312" s="1105" t="n"/>
      <c r="E312" s="1105" t="n"/>
      <c r="F312" s="1105" t="n"/>
      <c r="G312" s="1105" t="n"/>
      <c r="H312" s="1106" t="n"/>
      <c r="I312" s="1107" t="n"/>
      <c r="J312" s="145" t="n"/>
      <c r="K312" s="1108">
        <f>+AC312</f>
        <v/>
      </c>
      <c r="L312" s="1109">
        <f>+(C312+D312+G312+H312)-(E312+F312+I312+J312+K312)</f>
        <v/>
      </c>
      <c r="M312" s="1101" t="n"/>
      <c r="N312" s="1101" t="n"/>
      <c r="O312" s="1101" t="n"/>
      <c r="P312" s="4" t="n"/>
      <c r="Q312" s="1070" t="n"/>
      <c r="R312" s="1071" t="n"/>
      <c r="S312" s="1071" t="n"/>
      <c r="T312" s="1071" t="n"/>
      <c r="U312" s="1071" t="n"/>
      <c r="V312" s="1071" t="n"/>
      <c r="W312" s="1071" t="n"/>
      <c r="X312" s="1071" t="n"/>
      <c r="Y312" s="1071" t="n"/>
      <c r="Z312" s="1071" t="n"/>
      <c r="AA312" s="1071" t="n"/>
      <c r="AB312" s="1071" t="n"/>
      <c r="AC312" s="1051">
        <f>SUM(Q312:AB312)</f>
        <v/>
      </c>
      <c r="AE312" s="1110">
        <f>(AC312)/(E312+F312+AC312)</f>
        <v/>
      </c>
      <c r="AF312" s="1111" t="n"/>
      <c r="AH312" s="2">
        <f>+IF(AC312&lt;&gt;K312,1,0)</f>
        <v/>
      </c>
    </row>
    <row r="313" ht="14.4" customHeight="1" thickBot="1">
      <c r="A313" s="883" t="inlineStr">
        <is>
          <t>Polio Inactivada -VIP</t>
        </is>
      </c>
      <c r="B313" s="967" t="n"/>
      <c r="C313" s="1104">
        <f>ENERO!M435</f>
        <v/>
      </c>
      <c r="D313" s="1105" t="n"/>
      <c r="E313" s="1105" t="n"/>
      <c r="F313" s="1105" t="n"/>
      <c r="G313" s="1105" t="n"/>
      <c r="H313" s="1106" t="n"/>
      <c r="I313" s="1107" t="n"/>
      <c r="J313" s="145" t="n"/>
      <c r="K313" s="1108">
        <f>+AC313</f>
        <v/>
      </c>
      <c r="L313" s="1109">
        <f>+(C313+D313+G313+H313)-(E313+F313+I313+J313+K313)</f>
        <v/>
      </c>
      <c r="M313" s="1101" t="n"/>
      <c r="N313" s="1101" t="n"/>
      <c r="O313" s="1101" t="n"/>
      <c r="P313" s="4" t="n"/>
      <c r="Q313" s="1070" t="n"/>
      <c r="R313" s="1071" t="n"/>
      <c r="S313" s="1071" t="n"/>
      <c r="T313" s="1071" t="n"/>
      <c r="U313" s="1071" t="n"/>
      <c r="V313" s="1071" t="n"/>
      <c r="W313" s="1071" t="n"/>
      <c r="X313" s="1071" t="n"/>
      <c r="Y313" s="1071" t="n"/>
      <c r="Z313" s="1071" t="n"/>
      <c r="AA313" s="1071" t="n"/>
      <c r="AB313" s="1071" t="n"/>
      <c r="AC313" s="1051">
        <f>SUM(Q313:AB313)</f>
        <v/>
      </c>
      <c r="AE313" s="1110">
        <f>(AC313)/(E313+F313+AC313)</f>
        <v/>
      </c>
      <c r="AH313" s="2">
        <f>+IF(AC313&lt;&gt;K313,1,0)</f>
        <v/>
      </c>
    </row>
    <row r="314" ht="14.4" customHeight="1" thickBot="1">
      <c r="A314" s="883" t="inlineStr">
        <is>
          <t>Polio oral</t>
        </is>
      </c>
      <c r="B314" s="967" t="n"/>
      <c r="C314" s="1104">
        <f>ENERO!#REF!</f>
        <v/>
      </c>
      <c r="D314" s="1105" t="n"/>
      <c r="E314" s="1105" t="n"/>
      <c r="F314" s="1105" t="n"/>
      <c r="G314" s="1105" t="n"/>
      <c r="H314" s="1106" t="n"/>
      <c r="I314" s="1107" t="n"/>
      <c r="J314" s="145" t="n"/>
      <c r="K314" s="1108">
        <f>+AC314</f>
        <v/>
      </c>
      <c r="L314" s="1109">
        <f>+(C314+D314+G314+H314)-(E314+F314+I314+J314+K314)</f>
        <v/>
      </c>
      <c r="M314" s="1101" t="n"/>
      <c r="N314" s="1101" t="n"/>
      <c r="O314" s="1101" t="n"/>
      <c r="P314" s="4" t="n"/>
      <c r="Q314" s="1070" t="n"/>
      <c r="R314" s="1071" t="n"/>
      <c r="S314" s="1071" t="n"/>
      <c r="T314" s="1071" t="n"/>
      <c r="U314" s="1071" t="n"/>
      <c r="V314" s="1071" t="n"/>
      <c r="W314" s="1071" t="n"/>
      <c r="X314" s="1071" t="n"/>
      <c r="Y314" s="1071" t="n"/>
      <c r="Z314" s="1071" t="n"/>
      <c r="AA314" s="1071" t="n"/>
      <c r="AB314" s="1071" t="n"/>
      <c r="AC314" s="1051">
        <f>SUM(Q314:AB314)</f>
        <v/>
      </c>
      <c r="AE314" s="1110">
        <f>+(AC314*1)/(E314+F314+AC314)</f>
        <v/>
      </c>
      <c r="AH314" s="2">
        <f>+IF(AC314&lt;&gt;K314,1,0)</f>
        <v/>
      </c>
    </row>
    <row r="315" ht="14.4" customHeight="1" thickBot="1">
      <c r="A315" s="883" t="inlineStr">
        <is>
          <t>Pentavalente</t>
        </is>
      </c>
      <c r="B315" s="967" t="n"/>
      <c r="C315" s="1112">
        <f>ENERO!M441</f>
        <v/>
      </c>
      <c r="D315" s="1107" t="n"/>
      <c r="E315" s="1107" t="n"/>
      <c r="F315" s="1107" t="n"/>
      <c r="G315" s="1107" t="n"/>
      <c r="H315" s="1107" t="n"/>
      <c r="I315" s="1107" t="n"/>
      <c r="J315" s="1107" t="n"/>
      <c r="K315" s="1108">
        <f>+AC315</f>
        <v/>
      </c>
      <c r="L315" s="1109">
        <f>+(C315+D315+G315+H315)-(E315+F315+I315+J315+K315)</f>
        <v/>
      </c>
      <c r="M315" s="1101" t="n"/>
      <c r="N315" s="1101" t="n"/>
      <c r="O315" s="1101" t="n"/>
      <c r="P315" s="4" t="n"/>
      <c r="Q315" s="1070" t="n"/>
      <c r="R315" s="1071" t="n"/>
      <c r="S315" s="1071" t="n"/>
      <c r="T315" s="1071" t="n"/>
      <c r="U315" s="1071" t="n"/>
      <c r="V315" s="1071" t="n"/>
      <c r="W315" s="1071" t="n"/>
      <c r="X315" s="1071" t="n"/>
      <c r="Y315" s="1071" t="n"/>
      <c r="Z315" s="1071" t="n"/>
      <c r="AA315" s="1071" t="n"/>
      <c r="AB315" s="1071" t="n"/>
      <c r="AC315" s="1051">
        <f>SUM(Q315:AB315)</f>
        <v/>
      </c>
      <c r="AE315" s="1110">
        <f>(AC315)/(E315+F315+AC315)</f>
        <v/>
      </c>
      <c r="AH315" s="2">
        <f>+IF(AC315&lt;&gt;K315,1,0)</f>
        <v/>
      </c>
    </row>
    <row r="316" ht="14.4" customHeight="1" thickBot="1">
      <c r="A316" s="883" t="inlineStr">
        <is>
          <t>Hexavalente</t>
        </is>
      </c>
      <c r="B316" s="967" t="n"/>
      <c r="C316" s="1112">
        <f>ENERO!M447</f>
        <v/>
      </c>
      <c r="D316" s="1107" t="n"/>
      <c r="E316" s="1107" t="n"/>
      <c r="F316" s="1107" t="n"/>
      <c r="G316" s="1107" t="n"/>
      <c r="H316" s="1107" t="n"/>
      <c r="I316" s="1107" t="n"/>
      <c r="J316" s="1107" t="n"/>
      <c r="K316" s="1108">
        <f>+AC316</f>
        <v/>
      </c>
      <c r="L316" s="1109">
        <f>+(C316+D316+G316+H316)-(E316+F316+I316+J316+K316)</f>
        <v/>
      </c>
      <c r="M316" s="1101" t="n"/>
      <c r="N316" s="1101" t="n"/>
      <c r="O316" s="1101" t="n"/>
      <c r="P316" s="4" t="n"/>
      <c r="Q316" s="1070" t="n"/>
      <c r="R316" s="1071" t="n"/>
      <c r="S316" s="1071" t="n"/>
      <c r="T316" s="1071" t="n"/>
      <c r="U316" s="1071" t="n"/>
      <c r="V316" s="1071" t="n"/>
      <c r="W316" s="1071" t="n"/>
      <c r="X316" s="1071" t="n"/>
      <c r="Y316" s="1071" t="n"/>
      <c r="Z316" s="1071" t="n"/>
      <c r="AA316" s="1071" t="n"/>
      <c r="AB316" s="1071" t="n"/>
      <c r="AC316" s="1051">
        <f>SUM(Q316:AB316)</f>
        <v/>
      </c>
      <c r="AE316" s="1110">
        <f>(AC316)/(E317+F317+AC316)</f>
        <v/>
      </c>
      <c r="AH316" s="2">
        <f>+IF(AC316&lt;&gt;K317,1,0)</f>
        <v/>
      </c>
    </row>
    <row r="317" ht="14.4" customHeight="1" thickBot="1">
      <c r="A317" s="883" t="inlineStr">
        <is>
          <t>DPT</t>
        </is>
      </c>
      <c r="B317" s="967" t="n"/>
      <c r="C317" s="1112">
        <f>ENERO!M459</f>
        <v/>
      </c>
      <c r="D317" s="1107" t="n"/>
      <c r="E317" s="1107" t="n"/>
      <c r="F317" s="1107" t="n"/>
      <c r="G317" s="1107" t="n"/>
      <c r="H317" s="1107" t="n"/>
      <c r="I317" s="1107" t="n"/>
      <c r="J317" s="1107" t="n"/>
      <c r="K317" s="1108">
        <f>+AC317</f>
        <v/>
      </c>
      <c r="L317" s="1109">
        <f>+(C317+D317+G317+H317)-(E317+F317+I317+J317+K317)</f>
        <v/>
      </c>
      <c r="M317" s="1101" t="n"/>
      <c r="N317" s="1101" t="n"/>
      <c r="O317" s="1101" t="n"/>
      <c r="P317" s="4" t="n"/>
      <c r="Q317" s="1070" t="n"/>
      <c r="R317" s="1071" t="n"/>
      <c r="S317" s="1071" t="n"/>
      <c r="T317" s="1071" t="n"/>
      <c r="U317" s="1071" t="n"/>
      <c r="V317" s="1071" t="n"/>
      <c r="W317" s="1071" t="n"/>
      <c r="X317" s="1071" t="n"/>
      <c r="Y317" s="1071" t="n"/>
      <c r="Z317" s="1071" t="n"/>
      <c r="AA317" s="1071" t="n"/>
      <c r="AB317" s="1071" t="n"/>
      <c r="AC317" s="1051">
        <f>SUM(Q317:AB317)</f>
        <v/>
      </c>
      <c r="AE317" s="1110">
        <f>(AC317)/(E318+F318+AC317)</f>
        <v/>
      </c>
      <c r="AH317" s="2">
        <f>+IF(AC317&lt;&gt;K318,1,0)</f>
        <v/>
      </c>
    </row>
    <row r="318" ht="14.4" customHeight="1" thickBot="1">
      <c r="A318" s="1113" t="inlineStr">
        <is>
          <t>DTaP pediatrica</t>
        </is>
      </c>
      <c r="B318" s="1114" t="n"/>
      <c r="C318" s="1104">
        <f>ENERO!M465</f>
        <v/>
      </c>
      <c r="D318" s="1105" t="n"/>
      <c r="E318" s="1105" t="n"/>
      <c r="F318" s="1105" t="n"/>
      <c r="G318" s="1105" t="n"/>
      <c r="H318" s="1106" t="n"/>
      <c r="I318" s="1107" t="n"/>
      <c r="J318" s="145" t="n"/>
      <c r="K318" s="1108">
        <f>+AC318</f>
        <v/>
      </c>
      <c r="L318" s="1109">
        <f>+(C318+D318+G318+H318)-(E318+F318+I318+J318+K318)</f>
        <v/>
      </c>
      <c r="M318" s="1101" t="n"/>
      <c r="N318" s="1101" t="n"/>
      <c r="O318" s="1101" t="n"/>
      <c r="P318" s="4" t="n"/>
      <c r="Q318" s="1070" t="n"/>
      <c r="R318" s="1071" t="n"/>
      <c r="S318" s="1071" t="n"/>
      <c r="T318" s="1071" t="n"/>
      <c r="U318" s="1071" t="n"/>
      <c r="V318" s="1071" t="n"/>
      <c r="W318" s="1071" t="n"/>
      <c r="X318" s="1071" t="n"/>
      <c r="Y318" s="1071" t="n"/>
      <c r="Z318" s="1071" t="n"/>
      <c r="AA318" s="1071" t="n"/>
      <c r="AB318" s="1071" t="n"/>
      <c r="AC318" s="1051">
        <f>SUM(Q318:AB318)</f>
        <v/>
      </c>
      <c r="AE318" s="1110">
        <f>(AC318)/(E319+F319+AC318)</f>
        <v/>
      </c>
      <c r="AH318" s="2">
        <f>+IF(AC318&lt;&gt;K319,1,0)</f>
        <v/>
      </c>
    </row>
    <row r="319" ht="14.4" customHeight="1" thickBot="1">
      <c r="A319" s="1113" t="inlineStr">
        <is>
          <t>TD Pediatrica</t>
        </is>
      </c>
      <c r="B319" s="1114" t="n"/>
      <c r="C319" s="1104">
        <f>ENERO!#REF!</f>
        <v/>
      </c>
      <c r="D319" s="1105" t="n"/>
      <c r="E319" s="1105" t="n"/>
      <c r="F319" s="1105" t="n"/>
      <c r="G319" s="1105" t="n"/>
      <c r="H319" s="1106" t="n"/>
      <c r="I319" s="1107" t="n"/>
      <c r="J319" s="145" t="n"/>
      <c r="K319" s="1108">
        <f>+AC319</f>
        <v/>
      </c>
      <c r="L319" s="1109">
        <f>+(C319+D319+G319+H319)-(E319+F319+I319+J319+K319)</f>
        <v/>
      </c>
      <c r="M319" s="1101" t="n"/>
      <c r="N319" s="1101" t="n"/>
      <c r="O319" s="1101" t="n"/>
      <c r="P319" s="4" t="n"/>
      <c r="Q319" s="1070" t="n"/>
      <c r="R319" s="1071" t="n"/>
      <c r="S319" s="1071" t="n"/>
      <c r="T319" s="1071" t="n"/>
      <c r="U319" s="1071" t="n"/>
      <c r="V319" s="1071" t="n"/>
      <c r="W319" s="1071" t="n"/>
      <c r="X319" s="1071" t="n"/>
      <c r="Y319" s="1071" t="n"/>
      <c r="Z319" s="1071" t="n"/>
      <c r="AA319" s="1071" t="n"/>
      <c r="AB319" s="1071" t="n"/>
      <c r="AC319" s="1051">
        <f>SUM(Q319:AB319)</f>
        <v/>
      </c>
      <c r="AE319" s="1110">
        <f>(AC319)/(E320+F320+AC319)</f>
        <v/>
      </c>
      <c r="AH319" s="2">
        <f>+IF(AC319&lt;&gt;K320,1,0)</f>
        <v/>
      </c>
    </row>
    <row r="320" ht="14.4" customHeight="1" thickBot="1">
      <c r="A320" s="1113" t="inlineStr">
        <is>
          <t>Rotavirus</t>
        </is>
      </c>
      <c r="B320" s="1114" t="n"/>
      <c r="C320" s="1104">
        <f>ENERO!M471</f>
        <v/>
      </c>
      <c r="D320" s="1105" t="n"/>
      <c r="E320" s="1105" t="n"/>
      <c r="F320" s="1105" t="n"/>
      <c r="G320" s="1105" t="n"/>
      <c r="H320" s="1106" t="n"/>
      <c r="I320" s="1107" t="n"/>
      <c r="J320" s="145" t="n"/>
      <c r="K320" s="1108">
        <f>+AC320</f>
        <v/>
      </c>
      <c r="L320" s="1109">
        <f>+(C320+D320+G320+H320)-(E320+F320+I320+J320+K320)</f>
        <v/>
      </c>
      <c r="M320" s="1101" t="n"/>
      <c r="N320" s="1101" t="n"/>
      <c r="O320" s="1101" t="n"/>
      <c r="P320" s="4" t="n"/>
      <c r="Q320" s="1070" t="n"/>
      <c r="R320" s="1071" t="n"/>
      <c r="S320" s="1071" t="n"/>
      <c r="T320" s="1071" t="n"/>
      <c r="U320" s="1071" t="n"/>
      <c r="V320" s="1071" t="n"/>
      <c r="W320" s="1071" t="n"/>
      <c r="X320" s="1071" t="n"/>
      <c r="Y320" s="1071" t="n"/>
      <c r="Z320" s="1071" t="n"/>
      <c r="AA320" s="1071" t="n"/>
      <c r="AB320" s="1071" t="n"/>
      <c r="AC320" s="1051">
        <f>SUM(Q320:AB320)</f>
        <v/>
      </c>
      <c r="AE320" s="1110">
        <f>(AC320)/(E321+F321+AC320)</f>
        <v/>
      </c>
      <c r="AH320" s="2">
        <f>+IF(AC320&lt;&gt;K321,1,0)</f>
        <v/>
      </c>
    </row>
    <row r="321" ht="14.4" customHeight="1" thickBot="1">
      <c r="A321" s="1113" t="inlineStr">
        <is>
          <t>Neumococo Decavalente</t>
        </is>
      </c>
      <c r="B321" s="1114" t="n"/>
      <c r="C321" s="1104">
        <f>ENERO!#REF!</f>
        <v/>
      </c>
      <c r="D321" s="1105" t="n"/>
      <c r="E321" s="1105" t="n"/>
      <c r="F321" s="1105" t="n"/>
      <c r="G321" s="1105" t="n"/>
      <c r="H321" s="1106" t="n"/>
      <c r="I321" s="1107" t="n"/>
      <c r="J321" s="145" t="n"/>
      <c r="K321" s="1108">
        <f>+AC321</f>
        <v/>
      </c>
      <c r="L321" s="1109">
        <f>+(C321+D321+G321+H321)-(E321+F321+I321+J321+K321)</f>
        <v/>
      </c>
      <c r="M321" s="1101" t="n"/>
      <c r="N321" s="1101" t="n"/>
      <c r="O321" s="1101" t="n"/>
      <c r="P321" s="4" t="n"/>
      <c r="Q321" s="1070" t="n"/>
      <c r="R321" s="1071" t="n"/>
      <c r="S321" s="1071" t="n"/>
      <c r="T321" s="1071" t="n"/>
      <c r="U321" s="1071" t="n"/>
      <c r="V321" s="1071" t="n"/>
      <c r="W321" s="1071" t="n"/>
      <c r="X321" s="1071" t="n"/>
      <c r="Y321" s="1071" t="n"/>
      <c r="Z321" s="1071" t="n"/>
      <c r="AA321" s="1071" t="n"/>
      <c r="AB321" s="1071" t="n"/>
      <c r="AC321" s="1051">
        <f>SUM(Q321:AB321)</f>
        <v/>
      </c>
      <c r="AE321" s="1110">
        <f>(AC321)/(E322+F322+AC321)</f>
        <v/>
      </c>
      <c r="AH321" s="2">
        <f>+IF(AC321&lt;&gt;K322,1,0)</f>
        <v/>
      </c>
    </row>
    <row r="322" ht="14.4" customHeight="1" thickBot="1">
      <c r="A322" s="1113" t="inlineStr">
        <is>
          <t>Neumococo Trecevalente</t>
        </is>
      </c>
      <c r="B322" s="1114" t="n"/>
      <c r="C322" s="1104">
        <f>ENERO!M477</f>
        <v/>
      </c>
      <c r="D322" s="1105" t="n"/>
      <c r="E322" s="1105" t="n"/>
      <c r="F322" s="1105" t="n"/>
      <c r="G322" s="1105" t="n"/>
      <c r="H322" s="1106" t="n"/>
      <c r="I322" s="1107" t="n"/>
      <c r="J322" s="145" t="n"/>
      <c r="K322" s="1108">
        <f>+AC322</f>
        <v/>
      </c>
      <c r="L322" s="1109">
        <f>+(C322+D322+G322+H322)-(E322+F322+I322+J322+K322)</f>
        <v/>
      </c>
      <c r="M322" s="1101" t="n"/>
      <c r="N322" s="1101" t="n"/>
      <c r="O322" s="1101" t="n"/>
      <c r="P322" s="4" t="n"/>
      <c r="Q322" s="1070" t="n"/>
      <c r="R322" s="1071" t="n"/>
      <c r="S322" s="1071" t="n"/>
      <c r="T322" s="1071" t="n"/>
      <c r="U322" s="1071" t="n"/>
      <c r="V322" s="1071" t="n"/>
      <c r="W322" s="1071" t="n"/>
      <c r="X322" s="1071" t="n"/>
      <c r="Y322" s="1071" t="n"/>
      <c r="Z322" s="1071" t="n"/>
      <c r="AA322" s="1071" t="n"/>
      <c r="AB322" s="1071" t="n"/>
      <c r="AC322" s="1051">
        <f>SUM(Q322:AB322)</f>
        <v/>
      </c>
      <c r="AE322" s="1110">
        <f>(AC322)/(E323+F323+AC322)</f>
        <v/>
      </c>
      <c r="AH322" s="2">
        <f>+IF(AC322&lt;&gt;K323,1,0)</f>
        <v/>
      </c>
    </row>
    <row r="323" ht="14.4" customHeight="1" thickBot="1">
      <c r="A323" s="1113" t="inlineStr">
        <is>
          <t>Triple Viral (vacuna)</t>
        </is>
      </c>
      <c r="B323" s="1114" t="n"/>
      <c r="C323" s="1104">
        <f>ENERO!M483</f>
        <v/>
      </c>
      <c r="D323" s="1105" t="n"/>
      <c r="E323" s="1105" t="n"/>
      <c r="F323" s="1105" t="n"/>
      <c r="G323" s="1105" t="n"/>
      <c r="H323" s="1106" t="n"/>
      <c r="I323" s="1107" t="n"/>
      <c r="J323" s="145" t="n"/>
      <c r="K323" s="1108">
        <f>+AC323</f>
        <v/>
      </c>
      <c r="L323" s="1109">
        <f>+(C323+D323+G323+H323)-(E323+F323+I323+J323+K323)</f>
        <v/>
      </c>
      <c r="M323" s="1101" t="n"/>
      <c r="N323" s="1101" t="n"/>
      <c r="O323" s="1101" t="n"/>
      <c r="P323" s="4" t="n"/>
      <c r="Q323" s="1070" t="n"/>
      <c r="R323" s="1071" t="n"/>
      <c r="S323" s="1071" t="n"/>
      <c r="T323" s="1071" t="n"/>
      <c r="U323" s="1071" t="n"/>
      <c r="V323" s="1071" t="n"/>
      <c r="W323" s="1071" t="n"/>
      <c r="X323" s="1071" t="n"/>
      <c r="Y323" s="1071" t="n"/>
      <c r="Z323" s="1071" t="n"/>
      <c r="AA323" s="1071" t="n"/>
      <c r="AB323" s="1071" t="n"/>
      <c r="AC323" s="1051">
        <f>SUM(Q323:AB323)</f>
        <v/>
      </c>
      <c r="AE323" s="1110">
        <f>(AC323)/(E324+F324+AC323)</f>
        <v/>
      </c>
      <c r="AH323" s="2">
        <f>+IF(AC323&lt;&gt;K324,1,0)</f>
        <v/>
      </c>
    </row>
    <row r="324" ht="14.4" customHeight="1" thickBot="1">
      <c r="A324" s="1113" t="inlineStr">
        <is>
          <t>Sarampión Rubéola (vacuna)</t>
        </is>
      </c>
      <c r="B324" s="1114" t="n"/>
      <c r="C324" s="1104">
        <f>ENERO!M489</f>
        <v/>
      </c>
      <c r="D324" s="1105" t="n"/>
      <c r="E324" s="1105" t="n"/>
      <c r="F324" s="1105" t="n"/>
      <c r="G324" s="1105" t="n"/>
      <c r="H324" s="1106" t="n"/>
      <c r="I324" s="1107" t="n"/>
      <c r="J324" s="145" t="n"/>
      <c r="K324" s="1108">
        <f>+AC324</f>
        <v/>
      </c>
      <c r="L324" s="1109">
        <f>+(C324+D324+G324+H324)-(E324+F324+I324+J324+K324)</f>
        <v/>
      </c>
      <c r="M324" s="1101" t="n"/>
      <c r="N324" s="1101" t="n"/>
      <c r="O324" s="1101" t="n"/>
      <c r="P324" s="4" t="n"/>
      <c r="Q324" s="1070" t="n"/>
      <c r="R324" s="1071" t="n"/>
      <c r="S324" s="1071" t="n"/>
      <c r="T324" s="1071" t="n"/>
      <c r="U324" s="1071" t="n"/>
      <c r="V324" s="1071" t="n"/>
      <c r="W324" s="1071" t="n"/>
      <c r="X324" s="1071" t="n"/>
      <c r="Y324" s="1071" t="n"/>
      <c r="Z324" s="1071" t="n"/>
      <c r="AA324" s="1071" t="n"/>
      <c r="AB324" s="1071" t="n"/>
      <c r="AC324" s="1051">
        <f>SUM(Q324:AB324)</f>
        <v/>
      </c>
      <c r="AE324" s="1110">
        <f>+(AC324*1)/(E325+F325+AC324)</f>
        <v/>
      </c>
      <c r="AH324" s="2">
        <f>+IF(AC324&lt;&gt;K325,1,0)</f>
        <v/>
      </c>
    </row>
    <row r="325" ht="14.4" customHeight="1" thickBot="1">
      <c r="A325" s="1113" t="inlineStr">
        <is>
          <t>Fiebre amarilla (vacuna)</t>
        </is>
      </c>
      <c r="B325" s="1114" t="n"/>
      <c r="C325" s="1104">
        <f>ENERO!M507</f>
        <v/>
      </c>
      <c r="D325" s="1105" t="n"/>
      <c r="E325" s="1105" t="n"/>
      <c r="F325" s="1105" t="n"/>
      <c r="G325" s="1105" t="n"/>
      <c r="H325" s="1106" t="n"/>
      <c r="I325" s="1107" t="n"/>
      <c r="J325" s="145" t="n"/>
      <c r="K325" s="1108">
        <f>+AC325</f>
        <v/>
      </c>
      <c r="L325" s="1109">
        <f>+(C325+D325+G325+H325)-(E325+F325+I325+J325+K325)</f>
        <v/>
      </c>
      <c r="M325" s="1101" t="n"/>
      <c r="N325" s="1101" t="n"/>
      <c r="O325" s="1101" t="n"/>
      <c r="P325" s="4" t="n"/>
      <c r="Q325" s="1070" t="n"/>
      <c r="R325" s="1071" t="n"/>
      <c r="S325" s="1071" t="n"/>
      <c r="T325" s="1071" t="n"/>
      <c r="U325" s="1071" t="n"/>
      <c r="V325" s="1071" t="n"/>
      <c r="W325" s="1071" t="n"/>
      <c r="X325" s="1071" t="n"/>
      <c r="Y325" s="1071" t="n"/>
      <c r="Z325" s="1071" t="n"/>
      <c r="AA325" s="1071" t="n"/>
      <c r="AB325" s="1071" t="n"/>
      <c r="AC325" s="1051">
        <f>SUM(Q325:AB325)</f>
        <v/>
      </c>
      <c r="AE325" s="1110">
        <f>(AC325)/(E326+F326+AC325)</f>
        <v/>
      </c>
      <c r="AH325" s="2">
        <f>+IF(AC325&lt;&gt;K326,1,0)</f>
        <v/>
      </c>
    </row>
    <row r="326" ht="14.4" customHeight="1" thickBot="1">
      <c r="A326" s="1113" t="inlineStr">
        <is>
          <t>Hepatitis A pediátrica (vacuna)</t>
        </is>
      </c>
      <c r="B326" s="1114" t="n"/>
      <c r="C326" s="1104">
        <f>ENERO!M519</f>
        <v/>
      </c>
      <c r="D326" s="1105" t="n"/>
      <c r="E326" s="1105" t="n"/>
      <c r="F326" s="1105" t="n"/>
      <c r="G326" s="1105" t="n"/>
      <c r="H326" s="1106" t="n"/>
      <c r="I326" s="1107" t="n"/>
      <c r="J326" s="145" t="n"/>
      <c r="K326" s="1108">
        <f>+AC326</f>
        <v/>
      </c>
      <c r="L326" s="1109">
        <f>+(C326+D326+G326+H326)-(E326+F326+I326+J326+K326)</f>
        <v/>
      </c>
      <c r="M326" s="1101" t="n"/>
      <c r="N326" s="1101" t="n"/>
      <c r="O326" s="1101" t="n"/>
      <c r="P326" s="4" t="n"/>
      <c r="Q326" s="1070" t="n"/>
      <c r="R326" s="1071" t="n"/>
      <c r="S326" s="1071" t="n"/>
      <c r="T326" s="1071" t="n"/>
      <c r="U326" s="1071" t="n"/>
      <c r="V326" s="1071" t="n"/>
      <c r="W326" s="1071" t="n"/>
      <c r="X326" s="1071" t="n"/>
      <c r="Y326" s="1071" t="n"/>
      <c r="Z326" s="1071" t="n"/>
      <c r="AA326" s="1071" t="n"/>
      <c r="AB326" s="1071" t="n"/>
      <c r="AC326" s="1051">
        <f>SUM(Q326:AB326)</f>
        <v/>
      </c>
      <c r="AE326" s="1110">
        <f>(AC326)/(E327+F327+AC326)</f>
        <v/>
      </c>
      <c r="AH326" s="2">
        <f>+IF(AC326&lt;&gt;K327,1,0)</f>
        <v/>
      </c>
    </row>
    <row r="327" ht="14.4" customHeight="1" thickBot="1">
      <c r="A327" s="1113" t="inlineStr">
        <is>
          <t>Varicela (vacuna)</t>
        </is>
      </c>
      <c r="B327" s="1114" t="n"/>
      <c r="C327" s="1104">
        <f>ENERO!M525</f>
        <v/>
      </c>
      <c r="D327" s="1105" t="n"/>
      <c r="E327" s="1105" t="n"/>
      <c r="F327" s="1105" t="n"/>
      <c r="G327" s="1105" t="n"/>
      <c r="H327" s="1106" t="n"/>
      <c r="I327" s="1107" t="n"/>
      <c r="J327" s="145" t="n"/>
      <c r="K327" s="1108">
        <f>+AC327</f>
        <v/>
      </c>
      <c r="L327" s="1109">
        <f>+(C327+D327+G327+H327)-(E327+F327+I327+J327+K327)</f>
        <v/>
      </c>
      <c r="M327" s="1101" t="n"/>
      <c r="N327" s="1101" t="n"/>
      <c r="O327" s="1101" t="n"/>
      <c r="P327" s="4" t="n"/>
      <c r="Q327" s="1070" t="n"/>
      <c r="R327" s="1071" t="n"/>
      <c r="S327" s="1071" t="n"/>
      <c r="T327" s="1071" t="n"/>
      <c r="U327" s="1071" t="n"/>
      <c r="V327" s="1071" t="n"/>
      <c r="W327" s="1071" t="n"/>
      <c r="X327" s="1071" t="n"/>
      <c r="Y327" s="1071" t="n"/>
      <c r="Z327" s="1071" t="n"/>
      <c r="AA327" s="1071" t="n"/>
      <c r="AB327" s="1071" t="n"/>
      <c r="AC327" s="1051">
        <f>SUM(Q327:AB327)</f>
        <v/>
      </c>
      <c r="AE327" s="1110">
        <f>+(AC327*1)/(E328+F328+AC327)</f>
        <v/>
      </c>
      <c r="AH327" s="2">
        <f>+IF(AC327&lt;&gt;K328,1,0)</f>
        <v/>
      </c>
    </row>
    <row r="328" ht="14.4" customHeight="1" thickBot="1">
      <c r="A328" s="1113" t="inlineStr">
        <is>
          <t>Td Adultos</t>
        </is>
      </c>
      <c r="B328" s="1114" t="n"/>
      <c r="C328" s="1104">
        <f>ENERO!M537</f>
        <v/>
      </c>
      <c r="D328" s="1105" t="n"/>
      <c r="E328" s="1105" t="n"/>
      <c r="F328" s="1105" t="n"/>
      <c r="G328" s="1105" t="n"/>
      <c r="H328" s="1106" t="n"/>
      <c r="I328" s="1107" t="n"/>
      <c r="J328" s="145" t="n"/>
      <c r="K328" s="1108">
        <f>+AC328</f>
        <v/>
      </c>
      <c r="L328" s="1109">
        <f>+(C328+D328+G328+H328)-(E328+F328+I328+J328+K328)</f>
        <v/>
      </c>
      <c r="M328" s="1101" t="n"/>
      <c r="N328" s="1101" t="n"/>
      <c r="O328" s="1101" t="n"/>
      <c r="P328" s="4" t="n"/>
      <c r="Q328" s="1070" t="n"/>
      <c r="R328" s="1071" t="n"/>
      <c r="S328" s="1071" t="n"/>
      <c r="T328" s="1071" t="n"/>
      <c r="U328" s="1071" t="n"/>
      <c r="V328" s="1071" t="n"/>
      <c r="W328" s="1071" t="n"/>
      <c r="X328" s="1071" t="n"/>
      <c r="Y328" s="1071" t="n"/>
      <c r="Z328" s="1071" t="n"/>
      <c r="AA328" s="1071" t="n"/>
      <c r="AB328" s="1071" t="n"/>
      <c r="AC328" s="1051">
        <f>SUM(Q328:AB328)</f>
        <v/>
      </c>
      <c r="AE328" s="1110">
        <f>(AC328)/(E329+F329+AC328)</f>
        <v/>
      </c>
      <c r="AH328" s="2">
        <f>+IF(AC328&lt;&gt;K329,1,0)</f>
        <v/>
      </c>
    </row>
    <row r="329" ht="14.4" customHeight="1" thickBot="1">
      <c r="A329" s="1113" t="inlineStr">
        <is>
          <t>DTaP Adolescentes / Adultos</t>
        </is>
      </c>
      <c r="B329" s="1114" t="n"/>
      <c r="C329" s="1104">
        <f>ENERO!M543</f>
        <v/>
      </c>
      <c r="D329" s="1105" t="n"/>
      <c r="E329" s="1105" t="n"/>
      <c r="F329" s="1105" t="n"/>
      <c r="G329" s="1105" t="n"/>
      <c r="H329" s="1106" t="n"/>
      <c r="I329" s="1107" t="n"/>
      <c r="J329" s="145" t="n"/>
      <c r="K329" s="1108">
        <f>+AC329</f>
        <v/>
      </c>
      <c r="L329" s="1109">
        <f>+(C329+D329+G329+H329)-(E329+F329+I329+J329+K329)</f>
        <v/>
      </c>
      <c r="M329" s="1101" t="n"/>
      <c r="N329" s="1101" t="n"/>
      <c r="O329" s="1101" t="n"/>
      <c r="P329" s="4" t="n"/>
      <c r="Q329" s="1070" t="n"/>
      <c r="R329" s="1071" t="n"/>
      <c r="S329" s="1071" t="n"/>
      <c r="T329" s="1071" t="n"/>
      <c r="U329" s="1071" t="n"/>
      <c r="V329" s="1071" t="n"/>
      <c r="W329" s="1071" t="n"/>
      <c r="X329" s="1071" t="n"/>
      <c r="Y329" s="1071" t="n"/>
      <c r="Z329" s="1071" t="n"/>
      <c r="AA329" s="1071" t="n"/>
      <c r="AB329" s="1071" t="n"/>
      <c r="AC329" s="1051">
        <f>SUM(Q329:AB329)</f>
        <v/>
      </c>
      <c r="AE329" s="1110">
        <f>(AC329)/(E330+F330+AC329)</f>
        <v/>
      </c>
      <c r="AH329" s="2">
        <f>+IF(AC329&lt;&gt;K330,1,0)</f>
        <v/>
      </c>
    </row>
    <row r="330" ht="14.4" customHeight="1" thickBot="1">
      <c r="A330" s="1113" t="inlineStr">
        <is>
          <t>Influenza pediatrica</t>
        </is>
      </c>
      <c r="B330" s="1114" t="n"/>
      <c r="C330" s="1104">
        <f>ENERO!M549</f>
        <v/>
      </c>
      <c r="D330" s="1105" t="n"/>
      <c r="E330" s="1105" t="n"/>
      <c r="F330" s="1105" t="n"/>
      <c r="G330" s="1105" t="n"/>
      <c r="H330" s="1106" t="n"/>
      <c r="I330" s="1107" t="n"/>
      <c r="J330" s="145" t="n"/>
      <c r="K330" s="1108">
        <f>+AC330</f>
        <v/>
      </c>
      <c r="L330" s="1109">
        <f>+(C330+D330+G330+H330)-(E330+F330+I330+J330+K330)</f>
        <v/>
      </c>
      <c r="M330" s="1101" t="n"/>
      <c r="N330" s="1101" t="n"/>
      <c r="O330" s="1101" t="n"/>
      <c r="P330" s="4" t="n"/>
      <c r="Q330" s="1070" t="n"/>
      <c r="R330" s="1071" t="n"/>
      <c r="S330" s="1071" t="n"/>
      <c r="T330" s="1071" t="n"/>
      <c r="U330" s="1071" t="n"/>
      <c r="V330" s="1071" t="n"/>
      <c r="W330" s="1071" t="n"/>
      <c r="X330" s="1071" t="n"/>
      <c r="Y330" s="1071" t="n"/>
      <c r="Z330" s="1071" t="n"/>
      <c r="AA330" s="1071" t="n"/>
      <c r="AB330" s="1071" t="n"/>
      <c r="AC330" s="1051">
        <f>SUM(Q330:AB330)</f>
        <v/>
      </c>
      <c r="AE330" s="1110">
        <f>(AC330)/(E331+F331+AC330)</f>
        <v/>
      </c>
      <c r="AH330" s="2">
        <f>+IF(AC330&lt;&gt;K331,1,0)</f>
        <v/>
      </c>
    </row>
    <row r="331" ht="14.4" customHeight="1" thickBot="1">
      <c r="A331" s="1113" t="inlineStr">
        <is>
          <t>Influenza Adultos</t>
        </is>
      </c>
      <c r="B331" s="1114" t="n"/>
      <c r="C331" s="1104">
        <f>ENERO!M555</f>
        <v/>
      </c>
      <c r="D331" s="1105" t="n"/>
      <c r="E331" s="1105" t="n"/>
      <c r="F331" s="1105" t="n"/>
      <c r="G331" s="1105" t="n"/>
      <c r="H331" s="1106" t="n"/>
      <c r="I331" s="1107" t="n"/>
      <c r="J331" s="145" t="n"/>
      <c r="K331" s="1108">
        <f>+AC331</f>
        <v/>
      </c>
      <c r="L331" s="1109">
        <f>+(C331+D331+G331+H331)-(E331+F331+I331+J331+K331)</f>
        <v/>
      </c>
      <c r="M331" s="1101" t="n"/>
      <c r="N331" s="1101" t="n"/>
      <c r="O331" s="1101" t="n"/>
      <c r="P331" s="4" t="n"/>
      <c r="Q331" s="1070" t="n"/>
      <c r="R331" s="1071" t="n"/>
      <c r="S331" s="1071" t="n"/>
      <c r="T331" s="1071" t="n"/>
      <c r="U331" s="1071" t="n"/>
      <c r="V331" s="1071" t="n"/>
      <c r="W331" s="1071" t="n"/>
      <c r="X331" s="1071" t="n"/>
      <c r="Y331" s="1071" t="n"/>
      <c r="Z331" s="1071" t="n"/>
      <c r="AA331" s="1071" t="n"/>
      <c r="AB331" s="1071" t="n"/>
      <c r="AC331" s="1051">
        <f>SUM(Q331:AB331)</f>
        <v/>
      </c>
      <c r="AE331" s="1110">
        <f>(AC331)/(E332+F332+AC331)</f>
        <v/>
      </c>
      <c r="AH331" s="2">
        <f>+IF(AC331&lt;&gt;K332,1,0)</f>
        <v/>
      </c>
    </row>
    <row r="332" ht="14.4" customHeight="1" thickBot="1">
      <c r="A332" s="1113" t="inlineStr">
        <is>
          <t>VPH</t>
        </is>
      </c>
      <c r="B332" s="1114" t="n"/>
      <c r="C332" s="1104">
        <f>ENERO!M567</f>
        <v/>
      </c>
      <c r="D332" s="1105" t="n"/>
      <c r="E332" s="1105" t="n"/>
      <c r="F332" s="1105" t="n"/>
      <c r="G332" s="1105" t="n"/>
      <c r="H332" s="1106" t="n"/>
      <c r="I332" s="1107" t="n"/>
      <c r="J332" s="145" t="n"/>
      <c r="K332" s="1108">
        <f>+AC332</f>
        <v/>
      </c>
      <c r="L332" s="1109">
        <f>+(C332+D332+G332+H332)-(E332+F332+I332+J332+K332)</f>
        <v/>
      </c>
      <c r="M332" s="1101" t="n"/>
      <c r="N332" s="1101" t="n"/>
      <c r="O332" s="1101" t="n"/>
      <c r="P332" s="4" t="n"/>
      <c r="Q332" s="1070" t="n"/>
      <c r="R332" s="1071" t="n"/>
      <c r="S332" s="1071" t="n"/>
      <c r="T332" s="1071" t="n"/>
      <c r="U332" s="1071" t="n"/>
      <c r="V332" s="1071" t="n"/>
      <c r="W332" s="1071" t="n"/>
      <c r="X332" s="1071" t="n"/>
      <c r="Y332" s="1071" t="n"/>
      <c r="Z332" s="1071" t="n"/>
      <c r="AA332" s="1071" t="n"/>
      <c r="AB332" s="1071" t="n"/>
      <c r="AC332" s="1051">
        <f>SUM(Q332:AB332)</f>
        <v/>
      </c>
      <c r="AE332" s="1110">
        <f>(AC332)/(E333+F333+AC332)</f>
        <v/>
      </c>
      <c r="AH332" s="2">
        <f>+IF(AC332&lt;&gt;K333,1,0)</f>
        <v/>
      </c>
    </row>
    <row r="333" ht="15.75" customHeight="1" thickBot="1">
      <c r="A333" s="1113" t="inlineStr">
        <is>
          <t>Antirrabica humana</t>
        </is>
      </c>
      <c r="B333" s="1114" t="n"/>
      <c r="C333" s="1104">
        <f>ENERO!M573</f>
        <v/>
      </c>
      <c r="D333" s="1105" t="n"/>
      <c r="E333" s="1105" t="n"/>
      <c r="F333" s="1105" t="n"/>
      <c r="G333" s="1105" t="n"/>
      <c r="H333" s="1106" t="n"/>
      <c r="I333" s="1107" t="n"/>
      <c r="J333" s="145" t="n"/>
      <c r="K333" s="1108">
        <f>+AC333</f>
        <v/>
      </c>
      <c r="L333" s="1109">
        <f>+(C333+D333+G333+H333)-(E333+F333+I333+J333+K333)</f>
        <v/>
      </c>
      <c r="M333" s="1101" t="n"/>
      <c r="N333" s="1101" t="n"/>
      <c r="O333" s="1101" t="n"/>
      <c r="P333" s="4" t="n"/>
      <c r="Q333" s="1070" t="n"/>
      <c r="R333" s="1071" t="n"/>
      <c r="S333" s="1071" t="n"/>
      <c r="T333" s="1071" t="n"/>
      <c r="U333" s="1071" t="n"/>
      <c r="V333" s="1071" t="n"/>
      <c r="W333" s="1071" t="n"/>
      <c r="X333" s="1071" t="n"/>
      <c r="Y333" s="1071" t="n"/>
      <c r="Z333" s="1071" t="n"/>
      <c r="AA333" s="1071" t="n"/>
      <c r="AB333" s="1071" t="n"/>
      <c r="AC333" s="1051">
        <f>SUM(Q333:AB333)</f>
        <v/>
      </c>
      <c r="AE333" s="1110">
        <f>(AC333)/(E334+F334+AC333)</f>
        <v/>
      </c>
      <c r="AH333" s="2">
        <f>+IF(AC333&lt;&gt;K334,1,0)</f>
        <v/>
      </c>
    </row>
    <row r="334" ht="16.5" customHeight="1" thickBot="1">
      <c r="A334" s="1113" t="inlineStr">
        <is>
          <t>Inmunoglobulina antirrabica humana (suero)</t>
        </is>
      </c>
      <c r="B334" s="1114" t="n"/>
      <c r="C334" s="1104">
        <f>ENERO!M579</f>
        <v/>
      </c>
      <c r="D334" s="1105" t="n"/>
      <c r="E334" s="1105" t="n"/>
      <c r="F334" s="1105" t="n"/>
      <c r="G334" s="1105" t="n"/>
      <c r="H334" s="1106" t="n"/>
      <c r="I334" s="1107" t="n"/>
      <c r="J334" s="145" t="n"/>
      <c r="K334" s="1108">
        <f>+AC334</f>
        <v/>
      </c>
      <c r="L334" s="1109">
        <f>+(C334+D334+G334+H334)-(E334+F334+I334+J334+K334)</f>
        <v/>
      </c>
      <c r="M334" s="1101" t="n"/>
      <c r="N334" s="1101" t="n"/>
      <c r="O334" s="1101" t="n"/>
      <c r="P334" s="4" t="n"/>
      <c r="Q334" s="1070" t="n"/>
      <c r="R334" s="1071" t="n"/>
      <c r="S334" s="1071" t="n"/>
      <c r="T334" s="1071" t="n"/>
      <c r="U334" s="1071" t="n"/>
      <c r="V334" s="1071" t="n"/>
      <c r="W334" s="1071" t="n"/>
      <c r="X334" s="1071" t="n"/>
      <c r="Y334" s="1071" t="n"/>
      <c r="Z334" s="1071" t="n"/>
      <c r="AA334" s="1071" t="n"/>
      <c r="AB334" s="1071" t="n"/>
      <c r="AC334" s="1051">
        <f>SUM(Q334:AB334)</f>
        <v/>
      </c>
      <c r="AE334" s="1110">
        <f>(AC334)/(E335+F335+AC334)</f>
        <v/>
      </c>
      <c r="AH334" s="2">
        <f>+IF(AC334&lt;&gt;K335,1,0)</f>
        <v/>
      </c>
    </row>
    <row r="335" ht="14.4" customHeight="1" thickBot="1">
      <c r="A335" s="1113" t="inlineStr">
        <is>
          <t>Inmunoglobulina antihepatitis B</t>
        </is>
      </c>
      <c r="B335" s="1114" t="n"/>
      <c r="C335" s="1104">
        <f>ENERO!M585</f>
        <v/>
      </c>
      <c r="D335" s="1105" t="n"/>
      <c r="E335" s="1105" t="n"/>
      <c r="F335" s="1105" t="n"/>
      <c r="G335" s="1105" t="n"/>
      <c r="H335" s="1106" t="n"/>
      <c r="I335" s="1107" t="n"/>
      <c r="J335" s="145" t="n"/>
      <c r="K335" s="1108">
        <f>+AC335</f>
        <v/>
      </c>
      <c r="L335" s="1109">
        <f>+(C335+D335+G335+H335)-(E335+F335+I335+J335+K335)</f>
        <v/>
      </c>
      <c r="M335" s="1101" t="n"/>
      <c r="N335" s="1101" t="n"/>
      <c r="O335" s="1101" t="n"/>
      <c r="P335" s="4" t="n"/>
      <c r="Q335" s="1070" t="n"/>
      <c r="R335" s="1071" t="n"/>
      <c r="S335" s="1071" t="n"/>
      <c r="T335" s="1071" t="n"/>
      <c r="U335" s="1071" t="n"/>
      <c r="V335" s="1071" t="n"/>
      <c r="W335" s="1071" t="n"/>
      <c r="X335" s="1071" t="n"/>
      <c r="Y335" s="1071" t="n"/>
      <c r="Z335" s="1071" t="n"/>
      <c r="AA335" s="1071" t="n"/>
      <c r="AB335" s="1071" t="n"/>
      <c r="AC335" s="1051">
        <f>SUM(Q335:AB335)</f>
        <v/>
      </c>
      <c r="AE335" s="1110">
        <f>(AC335)/(E336+F336+AC335)</f>
        <v/>
      </c>
      <c r="AH335" s="2">
        <f>+IF(AC335&lt;&gt;K336,1,0)</f>
        <v/>
      </c>
    </row>
    <row r="336" ht="14.4" customHeight="1" thickBot="1">
      <c r="A336" s="1113" t="inlineStr">
        <is>
          <t xml:space="preserve">Inmunoglobulina antitetanica </t>
        </is>
      </c>
      <c r="B336" s="1114" t="n"/>
      <c r="C336" s="1104">
        <f>ENERO!M591</f>
        <v/>
      </c>
      <c r="D336" s="1105" t="n"/>
      <c r="E336" s="1105" t="n"/>
      <c r="F336" s="1105" t="n"/>
      <c r="G336" s="1105" t="n"/>
      <c r="H336" s="1106" t="n"/>
      <c r="I336" s="1107" t="n"/>
      <c r="J336" s="145" t="n"/>
      <c r="K336" s="1108">
        <f>+AC336</f>
        <v/>
      </c>
      <c r="L336" s="1109">
        <f>+(C336+D336+G336+H336)-(E336+F336+I336+J336+K336)</f>
        <v/>
      </c>
      <c r="M336" s="1101" t="n"/>
      <c r="N336" s="1101" t="n"/>
      <c r="O336" s="1101" t="n"/>
      <c r="P336" s="4" t="n"/>
      <c r="Q336" s="1070" t="n"/>
      <c r="R336" s="1071" t="n"/>
      <c r="S336" s="1071" t="n"/>
      <c r="T336" s="1071" t="n"/>
      <c r="U336" s="1071" t="n"/>
      <c r="V336" s="1071" t="n"/>
      <c r="W336" s="1071" t="n"/>
      <c r="X336" s="1071" t="n"/>
      <c r="Y336" s="1071" t="n"/>
      <c r="Z336" s="1071" t="n"/>
      <c r="AA336" s="1071" t="n"/>
      <c r="AB336" s="1071" t="n"/>
      <c r="AC336" s="1051">
        <f>SUM(Q336:AB336)</f>
        <v/>
      </c>
      <c r="AE336" s="1110">
        <f>(AC336)/(E337+F337+AC336)</f>
        <v/>
      </c>
      <c r="AH336" s="2">
        <f>+IF(AC336&lt;&gt;K337,1,0)</f>
        <v/>
      </c>
    </row>
    <row r="337" ht="14.4" customHeight="1" thickBot="1">
      <c r="A337" s="1113" t="inlineStr">
        <is>
          <t>Antitoxina difterica</t>
        </is>
      </c>
      <c r="B337" s="1114" t="n"/>
      <c r="C337" s="1104">
        <f>ENERO!M621</f>
        <v/>
      </c>
      <c r="D337" s="1105" t="n"/>
      <c r="E337" s="1105" t="n"/>
      <c r="F337" s="1105" t="n"/>
      <c r="G337" s="1105" t="n"/>
      <c r="H337" s="1106" t="n"/>
      <c r="I337" s="1107" t="n"/>
      <c r="J337" s="145" t="n"/>
      <c r="K337" s="1108">
        <f>+AC337</f>
        <v/>
      </c>
      <c r="L337" s="1109">
        <f>+(C337+D337+G337+H337)-(E337+F337+I337+J337+K337)</f>
        <v/>
      </c>
      <c r="M337" s="1101" t="n"/>
      <c r="N337" s="1101" t="n"/>
      <c r="O337" s="1101" t="n"/>
      <c r="P337" s="4" t="n"/>
      <c r="Q337" s="1070" t="n"/>
      <c r="R337" s="1071" t="n"/>
      <c r="S337" s="1071" t="n"/>
      <c r="T337" s="1071" t="n"/>
      <c r="U337" s="1071" t="n"/>
      <c r="V337" s="1071" t="n"/>
      <c r="W337" s="1071" t="n"/>
      <c r="X337" s="1071" t="n"/>
      <c r="Y337" s="1071" t="n"/>
      <c r="Z337" s="1071" t="n"/>
      <c r="AA337" s="1071" t="n"/>
      <c r="AB337" s="1071" t="n"/>
      <c r="AC337" s="1051">
        <f>SUM(Q337:AB337)</f>
        <v/>
      </c>
      <c r="AE337" s="1110">
        <f>(AC337)/(E338+F338+AC337)</f>
        <v/>
      </c>
      <c r="AH337" s="2">
        <f>+IF(AC337&lt;&gt;K338,1,0)</f>
        <v/>
      </c>
    </row>
    <row r="338">
      <c r="A338" s="1113" t="inlineStr">
        <is>
          <t>Meningococo</t>
        </is>
      </c>
      <c r="B338" s="1114" t="n"/>
      <c r="C338" s="1104">
        <f>ENERO!M627</f>
        <v/>
      </c>
      <c r="D338" s="1105" t="n"/>
      <c r="E338" s="1105" t="n"/>
      <c r="F338" s="1105" t="n"/>
      <c r="G338" s="1105" t="n"/>
      <c r="H338" s="1106" t="n"/>
      <c r="I338" s="1107" t="n"/>
      <c r="J338" s="145" t="n"/>
      <c r="K338" s="1108">
        <f>+AC338</f>
        <v/>
      </c>
      <c r="L338" s="1109">
        <f>+(C338+D338+G338+H338)-(E338+F338+I338+J338+K338)</f>
        <v/>
      </c>
      <c r="M338" s="1101" t="n"/>
      <c r="N338" s="1101" t="n"/>
      <c r="O338" s="1101" t="n"/>
      <c r="P338" s="4" t="n"/>
      <c r="Q338" s="1070" t="n"/>
      <c r="R338" s="1071" t="n"/>
      <c r="S338" s="1071" t="n"/>
      <c r="T338" s="1071" t="n"/>
      <c r="U338" s="1071" t="n"/>
      <c r="V338" s="1071" t="n"/>
      <c r="W338" s="1071" t="n"/>
      <c r="X338" s="1071" t="n"/>
      <c r="Y338" s="1071" t="n"/>
      <c r="Z338" s="1071" t="n"/>
      <c r="AA338" s="1071" t="n"/>
      <c r="AB338" s="1071" t="n"/>
      <c r="AC338" s="1051">
        <f>SUM(Q338:AB338)</f>
        <v/>
      </c>
      <c r="AE338" s="1110">
        <f>(AC338)/(#REF!+#REF!+AC338)</f>
        <v/>
      </c>
      <c r="AH338" s="2">
        <f>+IF(AC338&lt;&gt;#REF!,1,0)</f>
        <v/>
      </c>
    </row>
    <row r="339" ht="14.4" customHeight="1" thickBot="1">
      <c r="A339" s="901" t="inlineStr">
        <is>
          <t>DILUYENTES</t>
        </is>
      </c>
      <c r="B339" s="1005" t="n"/>
      <c r="C339" s="1115" t="n"/>
      <c r="D339" s="1116" t="n"/>
      <c r="E339" s="1116" t="n"/>
      <c r="F339" s="1116" t="n"/>
      <c r="G339" s="1116" t="n"/>
      <c r="H339" s="1116" t="n"/>
      <c r="I339" s="1117" t="n"/>
      <c r="J339" s="1117" t="n"/>
      <c r="K339" s="1118" t="n"/>
      <c r="L339" s="1117" t="n"/>
      <c r="M339" s="1101" t="n"/>
      <c r="N339" s="1101" t="n"/>
      <c r="O339" s="1101" t="n"/>
      <c r="P339" s="4" t="n"/>
      <c r="Q339" s="1119" t="n"/>
      <c r="R339" s="1120" t="n"/>
      <c r="S339" s="1120" t="n"/>
      <c r="T339" s="1120" t="n"/>
      <c r="U339" s="1120" t="n"/>
      <c r="V339" s="1120" t="n"/>
      <c r="W339" s="1120" t="n"/>
      <c r="X339" s="1120" t="n"/>
      <c r="Y339" s="1120" t="n"/>
      <c r="Z339" s="1120" t="n"/>
      <c r="AA339" s="1120" t="n"/>
      <c r="AB339" s="1120" t="n"/>
      <c r="AC339" s="196" t="n"/>
    </row>
    <row r="340" ht="14.4" customHeight="1" thickBot="1">
      <c r="A340" s="891" t="inlineStr">
        <is>
          <t>BCG (diluyente)</t>
        </is>
      </c>
      <c r="B340" s="1103" t="n"/>
      <c r="C340" s="1121">
        <f>ENERO!M634</f>
        <v/>
      </c>
      <c r="D340" s="1122" t="n"/>
      <c r="E340" s="1122" t="n"/>
      <c r="F340" s="1122" t="n"/>
      <c r="G340" s="1122" t="n"/>
      <c r="H340" s="1123" t="n"/>
      <c r="I340" s="1107" t="n"/>
      <c r="J340" s="145" t="n"/>
      <c r="K340" s="1108">
        <f>+AC340</f>
        <v/>
      </c>
      <c r="L340" s="1109">
        <f>+(C340+D340+G340+H340)-(E340+F340+I340+J340+K340)</f>
        <v/>
      </c>
      <c r="M340" s="1101" t="n"/>
      <c r="N340" s="1101" t="n"/>
      <c r="O340" s="1101" t="n"/>
      <c r="P340" s="4" t="n"/>
      <c r="Q340" s="990" t="n"/>
      <c r="R340" s="991" t="n"/>
      <c r="S340" s="991" t="n"/>
      <c r="T340" s="991" t="n"/>
      <c r="U340" s="991" t="n"/>
      <c r="V340" s="991" t="n"/>
      <c r="W340" s="991" t="n"/>
      <c r="X340" s="991" t="n"/>
      <c r="Y340" s="991" t="n"/>
      <c r="Z340" s="991" t="n"/>
      <c r="AA340" s="991" t="n"/>
      <c r="AB340" s="991" t="n"/>
      <c r="AC340" s="1051">
        <f>SUM(Q340:AB340)</f>
        <v/>
      </c>
      <c r="AH340" s="2">
        <f>+IF(AC340&lt;&gt;K340,1,0)</f>
        <v/>
      </c>
    </row>
    <row r="341" ht="14.4" customHeight="1" thickBot="1">
      <c r="A341" s="883" t="inlineStr">
        <is>
          <t>Triple viral - SRP (diluyente)</t>
        </is>
      </c>
      <c r="B341" s="967" t="n"/>
      <c r="C341" s="1124">
        <f>ENERO!M640</f>
        <v/>
      </c>
      <c r="D341" s="1107" t="n"/>
      <c r="E341" s="1107" t="n"/>
      <c r="F341" s="1107" t="n"/>
      <c r="G341" s="1107" t="n"/>
      <c r="H341" s="1125" t="n"/>
      <c r="I341" s="1107" t="n"/>
      <c r="J341" s="145" t="n"/>
      <c r="K341" s="1108">
        <f>+AC341</f>
        <v/>
      </c>
      <c r="L341" s="1109">
        <f>+(C341+D341+G341+H341)-(E341+F341+I341+J341+K341)</f>
        <v/>
      </c>
      <c r="M341" s="1101" t="n"/>
      <c r="N341" s="1101" t="n"/>
      <c r="O341" s="1101" t="n"/>
      <c r="P341" s="4" t="n"/>
      <c r="Q341" s="1070" t="n"/>
      <c r="R341" s="1071" t="n"/>
      <c r="S341" s="1071" t="n"/>
      <c r="T341" s="1071" t="n"/>
      <c r="U341" s="1071" t="n"/>
      <c r="V341" s="1071" t="n"/>
      <c r="W341" s="1071" t="n"/>
      <c r="X341" s="1071" t="n"/>
      <c r="Y341" s="1071" t="n"/>
      <c r="Z341" s="1071" t="n"/>
      <c r="AA341" s="1071" t="n"/>
      <c r="AB341" s="1071" t="n"/>
      <c r="AC341" s="1051">
        <f>SUM(Q341:AB341)</f>
        <v/>
      </c>
      <c r="AH341" s="2">
        <f>+IF(AC341&lt;&gt;K341,1,0)</f>
        <v/>
      </c>
    </row>
    <row r="342" ht="15" customHeight="1" thickBot="1">
      <c r="A342" s="883" t="inlineStr">
        <is>
          <t>Sarampión - Rubeola - SR (diluyente)</t>
        </is>
      </c>
      <c r="B342" s="967" t="n"/>
      <c r="C342" s="1124">
        <f>ENERO!M652</f>
        <v/>
      </c>
      <c r="D342" s="1107" t="n"/>
      <c r="E342" s="1107" t="n"/>
      <c r="F342" s="1107" t="n"/>
      <c r="G342" s="1107" t="n"/>
      <c r="H342" s="1125" t="n"/>
      <c r="I342" s="1107" t="n"/>
      <c r="J342" s="145" t="n"/>
      <c r="K342" s="1108">
        <f>+AC342</f>
        <v/>
      </c>
      <c r="L342" s="1109">
        <f>+(C342+D342+G342+H342)-(E342+F342+I342+J342+K342)</f>
        <v/>
      </c>
      <c r="M342" s="1101" t="n"/>
      <c r="N342" s="1101" t="n"/>
      <c r="O342" s="1101" t="n"/>
      <c r="P342" s="4" t="n"/>
      <c r="Q342" s="1070" t="n"/>
      <c r="R342" s="1071" t="n"/>
      <c r="S342" s="1071" t="n"/>
      <c r="T342" s="1071" t="n"/>
      <c r="U342" s="1071" t="n"/>
      <c r="V342" s="1071" t="n"/>
      <c r="W342" s="1071" t="n"/>
      <c r="X342" s="1071" t="n"/>
      <c r="Y342" s="1071" t="n"/>
      <c r="Z342" s="1071" t="n"/>
      <c r="AA342" s="1071" t="n"/>
      <c r="AB342" s="1071" t="n"/>
      <c r="AC342" s="1051">
        <f>SUM(Q342:AB342)</f>
        <v/>
      </c>
      <c r="AH342" s="2">
        <f>+IF(AC342&lt;&gt;K342,1,0)</f>
        <v/>
      </c>
    </row>
    <row r="343" ht="119.4" customHeight="1" thickBot="1">
      <c r="A343" s="883" t="inlineStr">
        <is>
          <t>Fiebre amarilla (diluyente)</t>
        </is>
      </c>
      <c r="B343" s="967" t="n"/>
      <c r="C343" s="1124">
        <f>ENERO!M663</f>
        <v/>
      </c>
      <c r="D343" s="1107" t="n"/>
      <c r="E343" s="1107" t="n"/>
      <c r="F343" s="1107" t="n"/>
      <c r="G343" s="1107" t="n"/>
      <c r="H343" s="1125" t="n"/>
      <c r="I343" s="1107" t="n"/>
      <c r="J343" s="145" t="n"/>
      <c r="K343" s="1108">
        <f>+AC343</f>
        <v/>
      </c>
      <c r="L343" s="1109">
        <f>+(C343+D343+G343+H343)-(E343+F343+I343+J343+K343)</f>
        <v/>
      </c>
      <c r="M343" s="1101" t="n"/>
      <c r="N343" s="1101" t="n"/>
      <c r="O343" s="1101" t="n"/>
      <c r="P343" s="4" t="n"/>
      <c r="Q343" s="1070" t="n"/>
      <c r="R343" s="1071" t="n"/>
      <c r="S343" s="1071" t="n"/>
      <c r="T343" s="1071" t="n"/>
      <c r="U343" s="1071" t="n"/>
      <c r="V343" s="1071" t="n"/>
      <c r="W343" s="1071" t="n"/>
      <c r="X343" s="1071" t="n"/>
      <c r="Y343" s="1071" t="n"/>
      <c r="Z343" s="1071" t="n"/>
      <c r="AA343" s="1071" t="n"/>
      <c r="AB343" s="1071" t="n"/>
      <c r="AC343" s="1051">
        <f>SUM(Q343:AB343)</f>
        <v/>
      </c>
      <c r="AH343" s="2">
        <f>+IF(AC343&lt;&gt;K343,1,0)</f>
        <v/>
      </c>
    </row>
    <row r="344" ht="119.4" customHeight="1" thickBot="1">
      <c r="A344" s="883" t="inlineStr">
        <is>
          <t>Varicela (diluyente)</t>
        </is>
      </c>
      <c r="B344" s="967" t="n"/>
      <c r="C344" s="1124">
        <f>ENERO!M669</f>
        <v/>
      </c>
      <c r="D344" s="1107" t="n"/>
      <c r="E344" s="1107" t="n"/>
      <c r="F344" s="1107" t="n"/>
      <c r="G344" s="1107" t="n"/>
      <c r="H344" s="1125" t="n"/>
      <c r="I344" s="1107" t="n"/>
      <c r="J344" s="145" t="n"/>
      <c r="K344" s="1108">
        <f>+AC344</f>
        <v/>
      </c>
      <c r="L344" s="1109">
        <f>+(C344+D344+G344+H344)-(E344+F344+I344+J344+K344)</f>
        <v/>
      </c>
      <c r="M344" s="1101" t="n"/>
      <c r="N344" s="1101" t="n"/>
      <c r="O344" s="1101" t="n"/>
      <c r="P344" s="4" t="n"/>
      <c r="Q344" s="1070" t="n"/>
      <c r="R344" s="1071" t="n"/>
      <c r="S344" s="1071" t="n"/>
      <c r="T344" s="1071" t="n"/>
      <c r="U344" s="1071" t="n"/>
      <c r="V344" s="1071" t="n"/>
      <c r="W344" s="1071" t="n"/>
      <c r="X344" s="1071" t="n"/>
      <c r="Y344" s="1071" t="n"/>
      <c r="Z344" s="1071" t="n"/>
      <c r="AA344" s="1071" t="n"/>
      <c r="AB344" s="1071" t="n"/>
      <c r="AC344" s="1051">
        <f>SUM(Q344:AB344)</f>
        <v/>
      </c>
      <c r="AH344" s="2">
        <f>+IF(AC344&lt;&gt;K344,1,0)</f>
        <v/>
      </c>
    </row>
    <row r="345" ht="119.4" customHeight="1" thickBot="1">
      <c r="A345" s="883" t="inlineStr">
        <is>
          <t>Vacuna Antirrabica Humana (diluyente)</t>
        </is>
      </c>
      <c r="B345" s="967" t="n"/>
      <c r="C345" s="1124">
        <f>ENERO!M675</f>
        <v/>
      </c>
      <c r="D345" s="1107" t="n"/>
      <c r="E345" s="1107" t="n"/>
      <c r="F345" s="1107" t="n"/>
      <c r="G345" s="1107" t="n"/>
      <c r="H345" s="1125" t="n"/>
      <c r="I345" s="1107" t="n"/>
      <c r="J345" s="145" t="n"/>
      <c r="K345" s="1108">
        <f>+AC345</f>
        <v/>
      </c>
      <c r="L345" s="1109">
        <f>+(C345+D345+G345+H345)-(E345+F345+I345+J345+K345)</f>
        <v/>
      </c>
      <c r="M345" s="1101" t="n"/>
      <c r="N345" s="1101" t="n"/>
      <c r="O345" s="1101" t="n"/>
      <c r="P345" s="4" t="n"/>
      <c r="Q345" s="1070" t="n"/>
      <c r="R345" s="1071" t="n"/>
      <c r="S345" s="1071" t="n"/>
      <c r="T345" s="1071" t="n"/>
      <c r="U345" s="1071" t="n"/>
      <c r="V345" s="1071" t="n"/>
      <c r="W345" s="1071" t="n"/>
      <c r="X345" s="1071" t="n"/>
      <c r="Y345" s="1071" t="n"/>
      <c r="Z345" s="1071" t="n"/>
      <c r="AA345" s="1071" t="n"/>
      <c r="AB345" s="1071" t="n"/>
      <c r="AC345" s="1051">
        <f>SUM(Q345:AB345)</f>
        <v/>
      </c>
      <c r="AH345" s="2">
        <f>+IF(AC345&lt;&gt;K345,1,0)</f>
        <v/>
      </c>
    </row>
    <row r="346" ht="14.4" customHeight="1" thickBot="1">
      <c r="A346" s="895" t="inlineStr">
        <is>
          <t>Meningococo (solvente)</t>
        </is>
      </c>
      <c r="B346" s="1076" t="n"/>
      <c r="C346" s="1126">
        <f>ENERO!#REF!</f>
        <v/>
      </c>
      <c r="D346" s="1127" t="n"/>
      <c r="E346" s="1127" t="n"/>
      <c r="F346" s="1127" t="n"/>
      <c r="G346" s="1127" t="n"/>
      <c r="H346" s="1128" t="n"/>
      <c r="I346" s="1107" t="n"/>
      <c r="J346" s="145" t="n"/>
      <c r="K346" s="1108">
        <f>+AC346</f>
        <v/>
      </c>
      <c r="L346" s="1109">
        <f>+(C346+D346+G346+H346)-(E346+F346+I346+J346+K346)</f>
        <v/>
      </c>
      <c r="M346" s="1101" t="n"/>
      <c r="N346" s="1101" t="n"/>
      <c r="O346" s="1101" t="n"/>
      <c r="P346" s="4" t="n"/>
      <c r="Q346" s="1082" t="n"/>
      <c r="R346" s="1071" t="n"/>
      <c r="S346" s="1071" t="n"/>
      <c r="T346" s="1071" t="n"/>
      <c r="U346" s="1071" t="n"/>
      <c r="V346" s="1071" t="n"/>
      <c r="W346" s="1071" t="n"/>
      <c r="X346" s="1071" t="n"/>
      <c r="Y346" s="1071" t="n"/>
      <c r="Z346" s="1071" t="n"/>
      <c r="AA346" s="1071" t="n"/>
      <c r="AB346" s="1071" t="n"/>
      <c r="AC346" s="1051">
        <f>SUM(Q346:AB346)</f>
        <v/>
      </c>
      <c r="AH346" s="2">
        <f>+IF(AC346&lt;&gt;K346,1,0)</f>
        <v/>
      </c>
    </row>
    <row r="347" ht="14.4" customHeight="1" thickBot="1">
      <c r="A347" s="897" t="inlineStr">
        <is>
          <t>JERINGAS</t>
        </is>
      </c>
      <c r="B347" s="980" t="n"/>
      <c r="C347" s="1129" t="n"/>
      <c r="D347" s="1130" t="n"/>
      <c r="E347" s="1130" t="n"/>
      <c r="F347" s="1130" t="n"/>
      <c r="G347" s="1130" t="n"/>
      <c r="H347" s="1130" t="n"/>
      <c r="I347" s="1131" t="n"/>
      <c r="J347" s="1131" t="n"/>
      <c r="K347" s="1132" t="n"/>
      <c r="L347" s="1131" t="n"/>
      <c r="M347" s="1101" t="n"/>
      <c r="N347" s="1101" t="n"/>
      <c r="O347" s="1101" t="n"/>
      <c r="P347" s="4" t="n"/>
      <c r="Q347" s="1119" t="n"/>
      <c r="R347" s="1120" t="n"/>
      <c r="S347" s="1120" t="n"/>
      <c r="T347" s="1120" t="n"/>
      <c r="U347" s="1120" t="n"/>
      <c r="V347" s="1120" t="n"/>
      <c r="W347" s="1120" t="n"/>
      <c r="X347" s="1120" t="n"/>
      <c r="Y347" s="1120" t="n"/>
      <c r="Z347" s="1120" t="n"/>
      <c r="AA347" s="1120" t="n"/>
      <c r="AB347" s="1120" t="n"/>
      <c r="AC347" s="196" t="n"/>
    </row>
    <row r="348" ht="15" customHeight="1" thickBot="1">
      <c r="A348" s="899" t="inlineStr">
        <is>
          <t>Jeringa Desechable 22G1 1/2" AD</t>
        </is>
      </c>
      <c r="B348" s="970" t="n"/>
      <c r="C348" s="1121">
        <f>ENERO!M707</f>
        <v/>
      </c>
      <c r="D348" s="1122" t="n"/>
      <c r="E348" s="1122" t="n"/>
      <c r="F348" s="1122" t="n"/>
      <c r="G348" s="1122" t="n"/>
      <c r="H348" s="1123" t="n"/>
      <c r="I348" s="1107" t="n"/>
      <c r="J348" s="145" t="n"/>
      <c r="K348" s="1108">
        <f>+AC348</f>
        <v/>
      </c>
      <c r="L348" s="1109">
        <f>+(C348+D348+G348+H348)-(E348+F348+I348+J348+K348)</f>
        <v/>
      </c>
      <c r="M348" s="1101" t="n"/>
      <c r="N348" s="1101" t="n"/>
      <c r="O348" s="1101" t="n"/>
      <c r="P348" s="4" t="n"/>
      <c r="Q348" s="990" t="n"/>
      <c r="R348" s="990" t="n"/>
      <c r="S348" s="990" t="n"/>
      <c r="T348" s="990" t="n"/>
      <c r="U348" s="990" t="n"/>
      <c r="V348" s="990" t="n"/>
      <c r="W348" s="990" t="n"/>
      <c r="X348" s="990" t="n"/>
      <c r="Y348" s="990" t="n"/>
      <c r="Z348" s="990" t="n"/>
      <c r="AA348" s="990" t="n"/>
      <c r="AB348" s="990" t="n"/>
      <c r="AC348" s="1051">
        <f>SUM(Q348:AB348)</f>
        <v/>
      </c>
      <c r="AH348" s="2">
        <f>+IF(AC348&lt;&gt;K348,1,0)</f>
        <v/>
      </c>
    </row>
    <row r="349" ht="15" customHeight="1" thickBot="1">
      <c r="A349" s="883" t="inlineStr">
        <is>
          <t>Jeringa Desechable 22G1 1/2" Convencional</t>
        </is>
      </c>
      <c r="B349" s="967" t="n"/>
      <c r="C349" s="1124">
        <f>ENERO!M714</f>
        <v/>
      </c>
      <c r="D349" s="1107" t="n"/>
      <c r="E349" s="1107" t="n"/>
      <c r="F349" s="1107" t="n"/>
      <c r="G349" s="1107" t="n"/>
      <c r="H349" s="1125" t="n"/>
      <c r="I349" s="1107" t="n"/>
      <c r="J349" s="145" t="n"/>
      <c r="K349" s="1108">
        <f>+AC349</f>
        <v/>
      </c>
      <c r="L349" s="1109">
        <f>+(C349+D349+G349+H349)-(E349+F349+I349+J349+K349)</f>
        <v/>
      </c>
      <c r="M349" s="1101" t="n"/>
      <c r="N349" s="1101" t="n"/>
      <c r="O349" s="1101" t="n"/>
      <c r="P349" s="4" t="n"/>
      <c r="Q349" s="1070" t="n"/>
      <c r="R349" s="1071" t="n"/>
      <c r="S349" s="1071" t="n"/>
      <c r="T349" s="1071" t="n"/>
      <c r="U349" s="1071" t="n"/>
      <c r="V349" s="1071" t="n"/>
      <c r="W349" s="1071" t="n"/>
      <c r="X349" s="1071" t="n"/>
      <c r="Y349" s="1071" t="n"/>
      <c r="Z349" s="1071" t="n"/>
      <c r="AA349" s="1071" t="n"/>
      <c r="AB349" s="1071" t="n"/>
      <c r="AC349" s="1051">
        <f>SUM(Q349:AB349)</f>
        <v/>
      </c>
      <c r="AH349" s="2">
        <f>+IF(AC349&lt;&gt;K349,1,0)</f>
        <v/>
      </c>
    </row>
    <row r="350" ht="14.4" customHeight="1" thickBot="1">
      <c r="A350" s="883" t="inlineStr">
        <is>
          <t>Jeringa Desechable 23G1" AD</t>
        </is>
      </c>
      <c r="B350" s="967" t="n"/>
      <c r="C350" s="1124">
        <f>ENERO!M728</f>
        <v/>
      </c>
      <c r="D350" s="1107" t="n"/>
      <c r="E350" s="1107" t="n"/>
      <c r="F350" s="1107" t="n"/>
      <c r="G350" s="1107" t="n"/>
      <c r="H350" s="1125" t="n"/>
      <c r="I350" s="1107" t="n"/>
      <c r="J350" s="145" t="n"/>
      <c r="K350" s="1108">
        <f>+AC350</f>
        <v/>
      </c>
      <c r="L350" s="1109">
        <f>+(C350+D350+G350+H350)-(E350+F350+I350+J350+K350)</f>
        <v/>
      </c>
      <c r="M350" s="1101" t="n"/>
      <c r="N350" s="1101" t="n"/>
      <c r="O350" s="1101" t="n"/>
      <c r="P350" s="4" t="n"/>
      <c r="Q350" s="1070" t="n"/>
      <c r="R350" s="1071" t="n"/>
      <c r="S350" s="1071" t="n"/>
      <c r="T350" s="1071" t="n"/>
      <c r="U350" s="1071" t="n"/>
      <c r="V350" s="1071" t="n"/>
      <c r="W350" s="1071" t="n"/>
      <c r="X350" s="1071" t="n"/>
      <c r="Y350" s="1071" t="n"/>
      <c r="Z350" s="1071" t="n"/>
      <c r="AA350" s="1071" t="n"/>
      <c r="AB350" s="1071" t="n"/>
      <c r="AC350" s="1051">
        <f>SUM(Q350:AB350)</f>
        <v/>
      </c>
      <c r="AH350" s="2">
        <f>+IF(AC350&lt;&gt;K350,1,0)</f>
        <v/>
      </c>
    </row>
    <row r="351" ht="15" customHeight="1" thickBot="1">
      <c r="A351" s="883" t="inlineStr">
        <is>
          <t>Jeringa Desechable 23G1" Convencional</t>
        </is>
      </c>
      <c r="B351" s="967" t="n"/>
      <c r="C351" s="1124">
        <f>ENERO!M735</f>
        <v/>
      </c>
      <c r="D351" s="1107" t="n"/>
      <c r="E351" s="1107" t="n"/>
      <c r="F351" s="1107" t="n"/>
      <c r="G351" s="1107" t="n"/>
      <c r="H351" s="1125" t="n"/>
      <c r="I351" s="1107" t="n"/>
      <c r="J351" s="145" t="n"/>
      <c r="K351" s="1108">
        <f>+AC351</f>
        <v/>
      </c>
      <c r="L351" s="1109">
        <f>+(C351+D351+G351+H351)-(E351+F351+I351+J351+K351)</f>
        <v/>
      </c>
      <c r="M351" s="1101" t="n"/>
      <c r="N351" s="1101" t="n"/>
      <c r="O351" s="1101" t="n"/>
      <c r="P351" s="4" t="n"/>
      <c r="Q351" s="1070" t="n"/>
      <c r="R351" s="1071" t="n"/>
      <c r="S351" s="1071" t="n"/>
      <c r="T351" s="1071" t="n"/>
      <c r="U351" s="1071" t="n"/>
      <c r="V351" s="1071" t="n"/>
      <c r="W351" s="1071" t="n"/>
      <c r="X351" s="1071" t="n"/>
      <c r="Y351" s="1071" t="n"/>
      <c r="Z351" s="1071" t="n"/>
      <c r="AA351" s="1071" t="n"/>
      <c r="AB351" s="1071" t="n"/>
      <c r="AC351" s="1051">
        <f>SUM(Q351:AB351)</f>
        <v/>
      </c>
      <c r="AH351" s="2">
        <f>+IF(AC351&lt;&gt;K351,1,0)</f>
        <v/>
      </c>
    </row>
    <row r="352" ht="14.4" customHeight="1" thickBot="1">
      <c r="A352" s="883" t="inlineStr">
        <is>
          <t>Jeringa Desechable 25G5/8" AD</t>
        </is>
      </c>
      <c r="B352" s="967" t="n"/>
      <c r="C352" s="1124">
        <f>ENERO!M742</f>
        <v/>
      </c>
      <c r="D352" s="1107" t="n"/>
      <c r="E352" s="1107" t="n"/>
      <c r="F352" s="1107" t="n"/>
      <c r="G352" s="1107" t="n"/>
      <c r="H352" s="1125" t="n"/>
      <c r="I352" s="1107" t="n"/>
      <c r="J352" s="145" t="n"/>
      <c r="K352" s="1108">
        <f>+AC352</f>
        <v/>
      </c>
      <c r="L352" s="1109">
        <f>+(C352+D352+G352+H352)-(E352+F352+I352+J352+K352)</f>
        <v/>
      </c>
      <c r="M352" s="1101" t="n"/>
      <c r="N352" s="1101" t="n"/>
      <c r="O352" s="1101" t="n"/>
      <c r="P352" s="4" t="n"/>
      <c r="Q352" s="1070" t="n"/>
      <c r="R352" s="1071" t="n"/>
      <c r="S352" s="1071" t="n"/>
      <c r="T352" s="1071" t="n"/>
      <c r="U352" s="1071" t="n"/>
      <c r="V352" s="1071" t="n"/>
      <c r="W352" s="1071" t="n"/>
      <c r="X352" s="1071" t="n"/>
      <c r="Y352" s="1071" t="n"/>
      <c r="Z352" s="1071" t="n"/>
      <c r="AA352" s="1071" t="n"/>
      <c r="AB352" s="1071" t="n"/>
      <c r="AC352" s="1051">
        <f>SUM(Q352:AB352)</f>
        <v/>
      </c>
      <c r="AH352" s="2">
        <f>+IF(AC352&lt;&gt;K352,1,0)</f>
        <v/>
      </c>
    </row>
    <row r="353" ht="15" customHeight="1" thickBot="1">
      <c r="A353" s="883" t="inlineStr">
        <is>
          <t>Jeringa Desechable 25G5/8" Convencional</t>
        </is>
      </c>
      <c r="B353" s="967" t="n"/>
      <c r="C353" s="1124">
        <f>ENERO!M749</f>
        <v/>
      </c>
      <c r="D353" s="1107" t="n"/>
      <c r="E353" s="1107" t="n"/>
      <c r="F353" s="1107" t="n"/>
      <c r="G353" s="1107" t="n"/>
      <c r="H353" s="1125" t="n"/>
      <c r="I353" s="1107" t="n"/>
      <c r="J353" s="145" t="n"/>
      <c r="K353" s="1108">
        <f>+AC353</f>
        <v/>
      </c>
      <c r="L353" s="1109">
        <f>+(C353+D353+G353+H353)-(E353+F353+I353+J353+K353)</f>
        <v/>
      </c>
      <c r="M353" s="1101" t="n"/>
      <c r="N353" s="1101" t="n"/>
      <c r="O353" s="1101" t="n"/>
      <c r="P353" s="4" t="n"/>
      <c r="Q353" s="1070" t="n"/>
      <c r="R353" s="1071" t="n"/>
      <c r="S353" s="1071" t="n"/>
      <c r="T353" s="1071" t="n"/>
      <c r="U353" s="1071" t="n"/>
      <c r="V353" s="1071" t="n"/>
      <c r="W353" s="1071" t="n"/>
      <c r="X353" s="1071" t="n"/>
      <c r="Y353" s="1071" t="n"/>
      <c r="Z353" s="1071" t="n"/>
      <c r="AA353" s="1071" t="n"/>
      <c r="AB353" s="1071" t="n"/>
      <c r="AC353" s="1051">
        <f>SUM(Q353:AB353)</f>
        <v/>
      </c>
      <c r="AH353" s="2">
        <f>+IF(AC353&lt;&gt;K353,1,0)</f>
        <v/>
      </c>
    </row>
    <row r="354" ht="14.4" customHeight="1" thickBot="1">
      <c r="A354" s="883" t="inlineStr">
        <is>
          <t>Jeringa Desechable 26G 3/8" AD</t>
        </is>
      </c>
      <c r="B354" s="967" t="n"/>
      <c r="C354" s="1124">
        <f>ENERO!M756</f>
        <v/>
      </c>
      <c r="D354" s="1107" t="n"/>
      <c r="E354" s="1107" t="n"/>
      <c r="F354" s="1107" t="n"/>
      <c r="G354" s="1107" t="n"/>
      <c r="H354" s="1125" t="n"/>
      <c r="I354" s="1107" t="n"/>
      <c r="J354" s="145" t="n"/>
      <c r="K354" s="1108">
        <f>+AC354</f>
        <v/>
      </c>
      <c r="L354" s="1109">
        <f>+(C354+D354+G354+H354)-(E354+F354+I354+J354+K354)</f>
        <v/>
      </c>
      <c r="M354" s="1101" t="n"/>
      <c r="N354" s="1101" t="n"/>
      <c r="O354" s="1101" t="n"/>
      <c r="P354" s="4" t="n"/>
      <c r="Q354" s="1070" t="n"/>
      <c r="R354" s="1071" t="n"/>
      <c r="S354" s="1071" t="n"/>
      <c r="T354" s="1071" t="n"/>
      <c r="U354" s="1071" t="n"/>
      <c r="V354" s="1071" t="n"/>
      <c r="W354" s="1071" t="n"/>
      <c r="X354" s="1071" t="n"/>
      <c r="Y354" s="1071" t="n"/>
      <c r="Z354" s="1071" t="n"/>
      <c r="AA354" s="1071" t="n"/>
      <c r="AB354" s="1071" t="n"/>
      <c r="AC354" s="1051">
        <f>SUM(Q354:AB354)</f>
        <v/>
      </c>
      <c r="AH354" s="2">
        <f>+IF(AC354&lt;&gt;K354,1,0)</f>
        <v/>
      </c>
    </row>
    <row r="355" ht="14.4" customHeight="1" thickBot="1">
      <c r="A355" s="883" t="inlineStr">
        <is>
          <t>Jeringa Desechable 26G 3/8" Convencional</t>
        </is>
      </c>
      <c r="B355" s="967" t="n"/>
      <c r="C355" s="1124">
        <f>ENERO!#REF!</f>
        <v/>
      </c>
      <c r="D355" s="1107" t="n"/>
      <c r="E355" s="1107" t="n"/>
      <c r="F355" s="1107" t="n"/>
      <c r="G355" s="1107" t="n"/>
      <c r="H355" s="1125" t="n"/>
      <c r="I355" s="1107" t="n"/>
      <c r="J355" s="145" t="n"/>
      <c r="K355" s="1108">
        <f>+AC355</f>
        <v/>
      </c>
      <c r="L355" s="1109">
        <f>+(C355+D355+G355+H355)-(E355+F355+I355+J355+K355)</f>
        <v/>
      </c>
      <c r="M355" s="1101" t="n"/>
      <c r="N355" s="1101" t="n"/>
      <c r="O355" s="1101" t="n"/>
      <c r="P355" s="4" t="n"/>
      <c r="Q355" s="1070" t="n"/>
      <c r="R355" s="1071" t="n"/>
      <c r="S355" s="1071" t="n"/>
      <c r="T355" s="1071" t="n"/>
      <c r="U355" s="1071" t="n"/>
      <c r="V355" s="1071" t="n"/>
      <c r="W355" s="1071" t="n"/>
      <c r="X355" s="1071" t="n"/>
      <c r="Y355" s="1071" t="n"/>
      <c r="Z355" s="1071" t="n"/>
      <c r="AA355" s="1071" t="n"/>
      <c r="AB355" s="1071" t="n"/>
      <c r="AC355" s="1051">
        <f>SUM(Q355:AB355)</f>
        <v/>
      </c>
      <c r="AH355" s="2">
        <f>+IF(AC355&lt;&gt;K355,1,0)</f>
        <v/>
      </c>
    </row>
    <row r="356" ht="14.4" customHeight="1" thickBot="1">
      <c r="A356" s="883" t="inlineStr">
        <is>
          <t xml:space="preserve">Jeringa Desechable 27G 3/8" </t>
        </is>
      </c>
      <c r="B356" s="967" t="n"/>
      <c r="C356" s="1124">
        <f>ENERO!#REF!</f>
        <v/>
      </c>
      <c r="D356" s="1107" t="n"/>
      <c r="E356" s="1107" t="n"/>
      <c r="F356" s="1107" t="n"/>
      <c r="G356" s="1107" t="n"/>
      <c r="H356" s="1125" t="n"/>
      <c r="I356" s="1107" t="n"/>
      <c r="J356" s="145" t="n"/>
      <c r="K356" s="1108">
        <f>+AC356</f>
        <v/>
      </c>
      <c r="L356" s="1109">
        <f>+(C356+D356+G356+H356)-(E356+F356+I356+J356+K356)</f>
        <v/>
      </c>
      <c r="M356" s="1101" t="n"/>
      <c r="N356" s="1101" t="n"/>
      <c r="O356" s="1101" t="n"/>
      <c r="P356" s="4" t="n"/>
      <c r="Q356" s="1070" t="n"/>
      <c r="R356" s="1071" t="n"/>
      <c r="S356" s="1071" t="n"/>
      <c r="T356" s="1071" t="n"/>
      <c r="U356" s="1071" t="n"/>
      <c r="V356" s="1071" t="n"/>
      <c r="W356" s="1071" t="n"/>
      <c r="X356" s="1071" t="n"/>
      <c r="Y356" s="1071" t="n"/>
      <c r="Z356" s="1071" t="n"/>
      <c r="AA356" s="1071" t="n"/>
      <c r="AB356" s="1071" t="n"/>
      <c r="AC356" s="1051">
        <f>SUM(Q356:AB356)</f>
        <v/>
      </c>
      <c r="AH356" s="2">
        <f>+IF(AC356&lt;&gt;K356,1,0)</f>
        <v/>
      </c>
    </row>
    <row r="357" ht="14.4" customHeight="1" thickBot="1">
      <c r="A357" s="928" t="inlineStr">
        <is>
          <t>Gotero</t>
        </is>
      </c>
      <c r="B357" s="967" t="n"/>
      <c r="C357" s="1124">
        <f>ENERO!#REF!</f>
        <v/>
      </c>
      <c r="D357" s="1107" t="n"/>
      <c r="E357" s="1107" t="n"/>
      <c r="F357" s="1107" t="n"/>
      <c r="G357" s="1107" t="n"/>
      <c r="H357" s="1125" t="n"/>
      <c r="I357" s="1107" t="n"/>
      <c r="J357" s="145" t="n"/>
      <c r="K357" s="1108">
        <f>+AC357</f>
        <v/>
      </c>
      <c r="L357" s="1109">
        <f>+(C357+D357+G357+H357)-(E357+F357+I357+J357+K357)</f>
        <v/>
      </c>
      <c r="M357" s="1101" t="n"/>
      <c r="N357" s="1101" t="n"/>
      <c r="O357" s="1101" t="n"/>
      <c r="P357" s="4" t="n"/>
      <c r="Q357" s="1070" t="n"/>
      <c r="R357" s="1071" t="n"/>
      <c r="S357" s="1071" t="n"/>
      <c r="T357" s="1071" t="n"/>
      <c r="U357" s="1071" t="n"/>
      <c r="V357" s="1071" t="n"/>
      <c r="W357" s="1071" t="n"/>
      <c r="X357" s="1071" t="n"/>
      <c r="Y357" s="1071" t="n"/>
      <c r="Z357" s="1071" t="n"/>
      <c r="AA357" s="1071" t="n"/>
      <c r="AB357" s="1071" t="n"/>
      <c r="AC357" s="1051">
        <f>SUM(Q357:AB357)</f>
        <v/>
      </c>
      <c r="AH357" s="2">
        <f>+IF(AC357&lt;&gt;K357,1,0)</f>
        <v/>
      </c>
    </row>
    <row r="358" ht="15" customHeight="1" thickBot="1">
      <c r="A358" s="849" t="inlineStr">
        <is>
          <t>CARNE DE VACUNACIÓN INFANTIL</t>
        </is>
      </c>
      <c r="B358" s="967" t="n"/>
      <c r="C358" s="1124">
        <f>ENERO!M777</f>
        <v/>
      </c>
      <c r="D358" s="1107" t="n"/>
      <c r="E358" s="1107" t="n"/>
      <c r="F358" s="1107" t="n"/>
      <c r="G358" s="1107" t="n"/>
      <c r="H358" s="1125" t="n"/>
      <c r="I358" s="1107" t="n"/>
      <c r="J358" s="145" t="n"/>
      <c r="K358" s="1108">
        <f>+AC358</f>
        <v/>
      </c>
      <c r="L358" s="1109">
        <f>+(C358+D358+G358+H358)-(E358+F358+I358+J358+K358)</f>
        <v/>
      </c>
      <c r="M358" s="1101" t="n"/>
      <c r="N358" s="1101" t="n"/>
      <c r="O358" s="1101" t="n"/>
      <c r="P358" s="4" t="n"/>
      <c r="Q358" s="1070" t="n"/>
      <c r="R358" s="1071" t="n"/>
      <c r="S358" s="1071" t="n"/>
      <c r="T358" s="1071" t="n"/>
      <c r="U358" s="1071" t="n"/>
      <c r="V358" s="1071" t="n"/>
      <c r="W358" s="1071" t="n"/>
      <c r="X358" s="1071" t="n"/>
      <c r="Y358" s="1071" t="n"/>
      <c r="Z358" s="1071" t="n"/>
      <c r="AA358" s="1071" t="n"/>
      <c r="AB358" s="1071" t="n"/>
      <c r="AC358" s="1051">
        <f>SUM(Q358:AB358)</f>
        <v/>
      </c>
      <c r="AH358" s="2">
        <f>+IF(AC358&lt;&gt;K358,1,0)</f>
        <v/>
      </c>
    </row>
    <row r="359" ht="15" customHeight="1" thickBot="1">
      <c r="A359" s="849" t="inlineStr">
        <is>
          <t>CARNE/CERTIFICADO DE VACUNACIÓN DE ADULTOS</t>
        </is>
      </c>
      <c r="B359" s="967" t="n"/>
      <c r="C359" s="1124">
        <f>ENERO!M778</f>
        <v/>
      </c>
      <c r="D359" s="1107" t="n"/>
      <c r="E359" s="1107" t="n"/>
      <c r="F359" s="1107" t="n"/>
      <c r="G359" s="1107" t="n"/>
      <c r="H359" s="1125" t="n"/>
      <c r="I359" s="1107" t="n"/>
      <c r="J359" s="145" t="n"/>
      <c r="K359" s="1108">
        <f>+AC359</f>
        <v/>
      </c>
      <c r="L359" s="1109">
        <f>+(C359+D359+G359+H359)-(E359+F359+I359+J359+K359)</f>
        <v/>
      </c>
      <c r="M359" s="1101" t="n"/>
      <c r="N359" s="1101" t="n"/>
      <c r="O359" s="1101" t="n"/>
      <c r="P359" s="4" t="n"/>
      <c r="Q359" s="1070" t="n"/>
      <c r="R359" s="1071" t="n"/>
      <c r="S359" s="1071" t="n"/>
      <c r="T359" s="1071" t="n"/>
      <c r="U359" s="1071" t="n"/>
      <c r="V359" s="1071" t="n"/>
      <c r="W359" s="1071" t="n"/>
      <c r="X359" s="1071" t="n"/>
      <c r="Y359" s="1071" t="n"/>
      <c r="Z359" s="1071" t="n"/>
      <c r="AA359" s="1071" t="n"/>
      <c r="AB359" s="1071" t="n"/>
      <c r="AC359" s="1051">
        <f>SUM(Q359:AB359)</f>
        <v/>
      </c>
      <c r="AH359" s="2">
        <f>+IF(AC359&lt;&gt;K359,1,0)</f>
        <v/>
      </c>
    </row>
    <row r="360" ht="15" customHeight="1" thickBot="1">
      <c r="A360" s="849" t="inlineStr">
        <is>
          <t>CARNE/CERTIFICADO INTERNACIONAL DE VACUNACIÓN</t>
        </is>
      </c>
      <c r="B360" s="967" t="n"/>
      <c r="C360" s="1124">
        <f>ENERO!M780</f>
        <v/>
      </c>
      <c r="D360" s="1107" t="n"/>
      <c r="E360" s="1107" t="n"/>
      <c r="F360" s="1107" t="n"/>
      <c r="G360" s="1107" t="n"/>
      <c r="H360" s="1125" t="n"/>
      <c r="I360" s="1107" t="n"/>
      <c r="J360" s="145" t="n"/>
      <c r="K360" s="1108">
        <f>+AC360</f>
        <v/>
      </c>
      <c r="L360" s="1109">
        <f>+(C360+D360+G360+H360)-(E360+F360+I360+J360+K360)</f>
        <v/>
      </c>
      <c r="M360" s="1101" t="n"/>
      <c r="N360" s="1101" t="n"/>
      <c r="O360" s="1101" t="n"/>
      <c r="P360" s="4" t="n"/>
      <c r="Q360" s="1070" t="n"/>
      <c r="R360" s="1071" t="n"/>
      <c r="S360" s="1071" t="n"/>
      <c r="T360" s="1071" t="n"/>
      <c r="U360" s="1071" t="n"/>
      <c r="V360" s="1071" t="n"/>
      <c r="W360" s="1071" t="n"/>
      <c r="X360" s="1071" t="n"/>
      <c r="Y360" s="1071" t="n"/>
      <c r="Z360" s="1071" t="n"/>
      <c r="AA360" s="1071" t="n"/>
      <c r="AB360" s="1071" t="n"/>
      <c r="AC360" s="1051">
        <f>SUM(Q360:AB360)</f>
        <v/>
      </c>
      <c r="AH360" s="2">
        <f>+IF(AC360&lt;&gt;K360,1,0)</f>
        <v/>
      </c>
    </row>
    <row r="361" ht="15" customHeight="1" thickBot="1">
      <c r="A361" s="849" t="inlineStr">
        <is>
          <t>TARJETAS UNIFICADAS DE VACUNACION -TUV ADULTOS</t>
        </is>
      </c>
      <c r="B361" s="967" t="n"/>
      <c r="C361" s="1124">
        <f>ENERO!M781</f>
        <v/>
      </c>
      <c r="D361" s="1107" t="n"/>
      <c r="E361" s="1107" t="n"/>
      <c r="F361" s="1107" t="n"/>
      <c r="G361" s="1107" t="n"/>
      <c r="H361" s="1125" t="n"/>
      <c r="I361" s="1107" t="n"/>
      <c r="J361" s="145" t="n"/>
      <c r="K361" s="1108">
        <f>+AC361</f>
        <v/>
      </c>
      <c r="L361" s="1109">
        <f>+(C361+D361+G361+H361)-(E361+F361+I361+J361+K361)</f>
        <v/>
      </c>
      <c r="M361" s="1101" t="n"/>
      <c r="N361" s="1101" t="n"/>
      <c r="O361" s="1101" t="n"/>
      <c r="P361" s="4" t="n"/>
      <c r="Q361" s="1070" t="n"/>
      <c r="R361" s="1071" t="n"/>
      <c r="S361" s="1071" t="n"/>
      <c r="T361" s="1071" t="n"/>
      <c r="U361" s="1071" t="n"/>
      <c r="V361" s="1071" t="n"/>
      <c r="W361" s="1071" t="n"/>
      <c r="X361" s="1071" t="n"/>
      <c r="Y361" s="1071" t="n"/>
      <c r="Z361" s="1071" t="n"/>
      <c r="AA361" s="1071" t="n"/>
      <c r="AB361" s="1071" t="n"/>
      <c r="AC361" s="1051">
        <f>SUM(Q361:AB361)</f>
        <v/>
      </c>
      <c r="AH361" s="2">
        <f>+IF(AC361&lt;&gt;K361,1,0)</f>
        <v/>
      </c>
    </row>
    <row r="362" ht="15.75" customHeight="1" thickBot="1">
      <c r="A362" s="863" t="inlineStr">
        <is>
          <t>TARJETAS UNIFICADAS DE VACUNACION -TUV NIÑOS</t>
        </is>
      </c>
      <c r="B362" s="1076" t="n"/>
      <c r="C362" s="1124">
        <f>ENERO!M783</f>
        <v/>
      </c>
      <c r="D362" s="1107" t="n"/>
      <c r="E362" s="1107" t="n"/>
      <c r="F362" s="1107" t="n"/>
      <c r="G362" s="1107" t="n"/>
      <c r="H362" s="1125" t="n"/>
      <c r="I362" s="1107" t="n"/>
      <c r="J362" s="145" t="n"/>
      <c r="K362" s="1108">
        <f>+AC362</f>
        <v/>
      </c>
      <c r="L362" s="1109">
        <f>+(C362+D362+G362+H362)-(E362+F362+I362+J362+K362)</f>
        <v/>
      </c>
      <c r="M362" s="1101" t="n"/>
      <c r="N362" s="1101" t="n"/>
      <c r="O362" s="1101" t="n"/>
      <c r="P362" s="4" t="n"/>
      <c r="Q362" s="1070" t="n"/>
      <c r="R362" s="1071" t="n"/>
      <c r="S362" s="1071" t="n"/>
      <c r="T362" s="1071" t="n"/>
      <c r="U362" s="1071" t="n"/>
      <c r="V362" s="1071" t="n"/>
      <c r="W362" s="1071" t="n"/>
      <c r="X362" s="1071" t="n"/>
      <c r="Y362" s="1071" t="n"/>
      <c r="Z362" s="1071" t="n"/>
      <c r="AA362" s="1071" t="n"/>
      <c r="AB362" s="1071" t="n"/>
      <c r="AC362" s="1051">
        <f>SUM(Q362:AB362)</f>
        <v/>
      </c>
      <c r="AH362" s="2">
        <f>+IF(AC362&lt;&gt;K362,1,0)</f>
        <v/>
      </c>
    </row>
    <row r="363">
      <c r="L363" s="165" t="n"/>
      <c r="M363" s="1101" t="n"/>
      <c r="N363" s="1101" t="n"/>
      <c r="O363" s="1101" t="n"/>
      <c r="AA363" s="5" t="n"/>
      <c r="AB363" s="2" t="n"/>
    </row>
    <row r="364">
      <c r="L364" s="165" t="n"/>
      <c r="M364" s="1101" t="n"/>
      <c r="N364" s="1101" t="n"/>
      <c r="O364" s="1101" t="n"/>
      <c r="AA364" s="5" t="n"/>
      <c r="AB364" s="2" t="n"/>
    </row>
    <row r="365" ht="21.6" customHeight="1" thickBot="1">
      <c r="A365" s="77" t="inlineStr">
        <is>
          <t>CONSOLIDADO ENTIDAD TERRITORIAL - CELDAS AUTOMATICAS PROTEGIDAS CONTRA ESCRITURA</t>
        </is>
      </c>
      <c r="B365" s="77" t="n"/>
      <c r="C365" s="77" t="n"/>
      <c r="D365" s="77" t="n"/>
      <c r="E365" s="77" t="n"/>
      <c r="F365" s="77" t="n"/>
      <c r="G365" s="77" t="n"/>
      <c r="H365" s="77" t="n"/>
      <c r="I365" s="77" t="n"/>
      <c r="J365" s="77" t="n"/>
      <c r="K365" s="77" t="n"/>
      <c r="L365" s="166" t="n"/>
      <c r="M365" s="1101" t="n"/>
      <c r="N365" s="1101" t="n"/>
      <c r="O365" s="1101" t="n"/>
      <c r="P365" s="77" t="n"/>
      <c r="Q365" s="77" t="n"/>
      <c r="R365" s="77" t="n"/>
      <c r="S365" s="77" t="n"/>
      <c r="T365" s="77" t="n"/>
      <c r="U365" s="77" t="n"/>
      <c r="V365" s="77" t="n"/>
      <c r="W365" s="77" t="n"/>
      <c r="X365" s="77" t="n"/>
      <c r="Y365" s="77" t="n"/>
      <c r="Z365" s="77" t="n"/>
      <c r="AA365" s="77" t="n"/>
      <c r="AB365" s="2" t="n"/>
    </row>
    <row r="366" ht="22.5" customHeight="1" thickBot="1">
      <c r="A366" s="1133" t="inlineStr">
        <is>
          <t>INSUMOS</t>
        </is>
      </c>
      <c r="B366" s="980" t="n"/>
      <c r="C366" s="1134" t="inlineStr">
        <is>
          <t>SALDO MES ANTERIOR</t>
        </is>
      </c>
      <c r="D366" s="1134" t="inlineStr">
        <is>
          <t>ENTRADAS</t>
        </is>
      </c>
      <c r="E366" s="1135" t="inlineStr">
        <is>
          <t>D. APLICADAS</t>
        </is>
      </c>
      <c r="F366" s="1136" t="n"/>
      <c r="G366" s="1137" t="inlineStr">
        <is>
          <t>ENTRADAS</t>
        </is>
      </c>
      <c r="H366" s="1138" t="n"/>
      <c r="I366" s="907" t="inlineStr">
        <is>
          <t>SALIDAS</t>
        </is>
      </c>
      <c r="J366" s="1094" t="n"/>
      <c r="K366" s="1050" t="n"/>
      <c r="L366" s="908" t="inlineStr">
        <is>
          <t>SALDO QUE INICIA EL MES SIGUIENTE</t>
        </is>
      </c>
      <c r="M366" s="1101" t="n"/>
      <c r="N366" s="1101" t="n"/>
      <c r="O366" s="1101" t="n"/>
      <c r="P366" s="4" t="n"/>
      <c r="Q366" s="1139" t="inlineStr">
        <is>
          <t xml:space="preserve">CAUSAS DE PERDIDA DE BIOLÓGICO </t>
        </is>
      </c>
      <c r="R366" s="978" t="n"/>
      <c r="S366" s="978" t="n"/>
      <c r="T366" s="978" t="n"/>
      <c r="U366" s="978" t="n"/>
      <c r="V366" s="978" t="n"/>
      <c r="W366" s="978" t="n"/>
      <c r="X366" s="978" t="n"/>
      <c r="Y366" s="978" t="n"/>
      <c r="Z366" s="978" t="n"/>
      <c r="AA366" s="978" t="n"/>
      <c r="AB366" s="1138" t="n"/>
      <c r="AC366" s="201" t="inlineStr">
        <is>
          <t xml:space="preserve">TOTAL DOSIS PERDIDAS        </t>
        </is>
      </c>
      <c r="AE366" s="859" t="inlineStr">
        <is>
          <t>PORCENTAJE DE PERDIDA</t>
        </is>
      </c>
    </row>
    <row r="367" ht="21.75" customHeight="1">
      <c r="A367" s="993" t="n"/>
      <c r="B367" s="972" t="n"/>
      <c r="C367" s="973" t="n"/>
      <c r="D367" s="973" t="n"/>
      <c r="E367" s="1140" t="inlineStr">
        <is>
          <t>DOSIS APLICADAS
COLOMBIANOS</t>
        </is>
      </c>
      <c r="F367" s="1140" t="inlineStr">
        <is>
          <t>DOSIS APLICADAS EXTRANJEROS</t>
        </is>
      </c>
      <c r="G367" s="916" t="inlineStr">
        <is>
          <t>DESPACHOS</t>
        </is>
      </c>
      <c r="H367" s="916" t="inlineStr">
        <is>
          <t>TRASLADOS ENTRADAS</t>
        </is>
      </c>
      <c r="I367" s="914" t="inlineStr">
        <is>
          <t>DESPACHOS</t>
        </is>
      </c>
      <c r="J367" s="1141" t="inlineStr">
        <is>
          <t>TRASLADOS SALIDAS</t>
        </is>
      </c>
      <c r="K367" s="1142" t="inlineStr">
        <is>
          <t>DOSIS PERDIDAS</t>
        </is>
      </c>
      <c r="L367" s="1143" t="n"/>
      <c r="M367" s="1101" t="n"/>
      <c r="N367" s="1101" t="n"/>
      <c r="O367" s="1101" t="n"/>
      <c r="P367" s="4" t="n"/>
      <c r="Q367" s="1144" t="inlineStr">
        <is>
          <t xml:space="preserve"> POR FRASCO ABIERTO  </t>
        </is>
      </c>
      <c r="R367" s="1103" t="n"/>
      <c r="S367" s="788" t="inlineStr">
        <is>
          <t>INTERRUPCION DE CADENA DE FRIO</t>
        </is>
      </c>
      <c r="T367" s="792" t="inlineStr">
        <is>
          <t>APLICACIÓN FUERA DE LA EDAD</t>
        </is>
      </c>
      <c r="U367" s="792" t="inlineStr">
        <is>
          <t>CONTAMINACION DEL BIOLÓGICO/DISPOSITIVO MÉDICO</t>
        </is>
      </c>
      <c r="V367" s="788" t="inlineStr">
        <is>
          <t>FRASCO/VIAL  ROTO</t>
        </is>
      </c>
      <c r="W367" s="788" t="inlineStr">
        <is>
          <t>ERRORES EN LA MANIPULACION</t>
        </is>
      </c>
      <c r="X367" s="788" t="inlineStr">
        <is>
          <t>VENCIMIENTO DEL BIOLÓGICO/DISPOSITIVO MÉDICO</t>
        </is>
      </c>
      <c r="Y367" s="788" t="inlineStr">
        <is>
          <t>FARMACOVIGILANCIA/ TECNOVIGILANCIA</t>
        </is>
      </c>
      <c r="Z367" s="788" t="inlineStr">
        <is>
          <t>VOMITO FRANCO</t>
        </is>
      </c>
      <c r="AA367" s="788" t="inlineStr">
        <is>
          <t>SINIESTRO O ROBO</t>
        </is>
      </c>
      <c r="AB367" s="788" t="inlineStr">
        <is>
          <t>RECONSTITUCION BIOLÓGICO</t>
        </is>
      </c>
      <c r="AC367" s="888" t="n"/>
      <c r="AE367" s="973" t="n"/>
    </row>
    <row r="368" ht="14.25" customHeight="1">
      <c r="A368" s="993" t="n"/>
      <c r="B368" s="972" t="n"/>
      <c r="C368" s="973" t="n"/>
      <c r="D368" s="973" t="n"/>
      <c r="E368" s="973" t="n"/>
      <c r="F368" s="973" t="n"/>
      <c r="G368" s="973" t="n"/>
      <c r="H368" s="973" t="n"/>
      <c r="I368" s="973" t="n"/>
      <c r="J368" s="971" t="n"/>
      <c r="K368" s="973" t="n"/>
      <c r="L368" s="1143" t="n"/>
      <c r="M368" s="1101" t="n"/>
      <c r="N368" s="1101" t="n"/>
      <c r="O368" s="1101" t="n"/>
      <c r="P368" s="4" t="n"/>
      <c r="Q368" s="889" t="inlineStr">
        <is>
          <t>INSTITUCIONAL</t>
        </is>
      </c>
      <c r="R368" s="890" t="inlineStr">
        <is>
          <t>EXTRAMURAL</t>
        </is>
      </c>
      <c r="S368" s="973" t="n"/>
      <c r="T368" s="973" t="n"/>
      <c r="U368" s="973" t="n"/>
      <c r="V368" s="973" t="n"/>
      <c r="W368" s="973" t="n"/>
      <c r="X368" s="973" t="n"/>
      <c r="Y368" s="973" t="n"/>
      <c r="Z368" s="973" t="n"/>
      <c r="AA368" s="973" t="n"/>
      <c r="AB368" s="973" t="n"/>
      <c r="AC368" s="888" t="n"/>
      <c r="AE368" s="973" t="n"/>
    </row>
    <row r="369" ht="27.75" customHeight="1" thickBot="1">
      <c r="A369" s="1004" t="n"/>
      <c r="B369" s="1005" t="n"/>
      <c r="C369" s="999" t="n"/>
      <c r="D369" s="999" t="n"/>
      <c r="E369" s="999" t="n"/>
      <c r="F369" s="999" t="n"/>
      <c r="G369" s="999" t="n"/>
      <c r="H369" s="999" t="n"/>
      <c r="I369" s="973" t="n"/>
      <c r="J369" s="1145" t="n"/>
      <c r="K369" s="975" t="n"/>
      <c r="L369" s="1146" t="n"/>
      <c r="M369" s="1101" t="n"/>
      <c r="N369" s="1101" t="n"/>
      <c r="O369" s="1101" t="n"/>
      <c r="P369" s="4" t="n"/>
      <c r="Q369" s="1147" t="n"/>
      <c r="R369" s="973" t="n"/>
      <c r="S369" s="975" t="n"/>
      <c r="T369" s="975" t="n"/>
      <c r="U369" s="975" t="n"/>
      <c r="V369" s="975" t="n"/>
      <c r="W369" s="975" t="n"/>
      <c r="X369" s="975" t="n"/>
      <c r="Y369" s="975" t="n"/>
      <c r="Z369" s="975" t="n"/>
      <c r="AA369" s="975" t="n"/>
      <c r="AB369" s="975" t="n"/>
      <c r="AC369" s="888" t="n"/>
      <c r="AE369" s="975" t="n"/>
    </row>
    <row r="370" ht="14.4" customHeight="1" thickBot="1">
      <c r="A370" s="899" t="inlineStr">
        <is>
          <t>BCG (vacuna)</t>
        </is>
      </c>
      <c r="B370" s="970" t="n"/>
      <c r="C370" s="1148">
        <f>C14+C310</f>
        <v/>
      </c>
      <c r="D370" s="1148">
        <f>+D14</f>
        <v/>
      </c>
      <c r="E370" s="1148">
        <f>+E310</f>
        <v/>
      </c>
      <c r="F370" s="1148">
        <f>+F310</f>
        <v/>
      </c>
      <c r="G370" s="1148">
        <f>+G310</f>
        <v/>
      </c>
      <c r="H370" s="1148">
        <f>+H310</f>
        <v/>
      </c>
      <c r="I370" s="1112">
        <f>+I310</f>
        <v/>
      </c>
      <c r="J370" s="1148">
        <f>+I310</f>
        <v/>
      </c>
      <c r="K370" s="1149">
        <f>+K310+I14</f>
        <v/>
      </c>
      <c r="L370" s="1150">
        <f>+L310+J14</f>
        <v/>
      </c>
      <c r="M370" s="1101" t="n"/>
      <c r="N370" s="1101" t="n"/>
      <c r="O370" s="1101" t="n"/>
      <c r="P370" s="4" t="n"/>
      <c r="Q370" s="1151">
        <f>+Q310+Q14</f>
        <v/>
      </c>
      <c r="R370" s="1148">
        <f>+R310+R14</f>
        <v/>
      </c>
      <c r="S370" s="1148">
        <f>+S310+S14</f>
        <v/>
      </c>
      <c r="T370" s="1148">
        <f>+T310+T14</f>
        <v/>
      </c>
      <c r="U370" s="1148">
        <f>+U310+U14</f>
        <v/>
      </c>
      <c r="V370" s="1148">
        <f>+V310+V14</f>
        <v/>
      </c>
      <c r="W370" s="1148">
        <f>+W310+W14</f>
        <v/>
      </c>
      <c r="X370" s="1148">
        <f>+X310+X14</f>
        <v/>
      </c>
      <c r="Y370" s="1148">
        <f>+Y310+Y14</f>
        <v/>
      </c>
      <c r="Z370" s="1148">
        <f>+Z310+Z14</f>
        <v/>
      </c>
      <c r="AA370" s="1148">
        <f>+AA310+AA14</f>
        <v/>
      </c>
      <c r="AB370" s="1148">
        <f>+AB310+AB14</f>
        <v/>
      </c>
      <c r="AC370" s="1051">
        <f>SUM(Q370:AB370)</f>
        <v/>
      </c>
      <c r="AE370" s="1110">
        <f>+(AC370)/(E370+F370+AC370)</f>
        <v/>
      </c>
      <c r="AH370" s="2">
        <f>+IF(AC370&lt;&gt;K370,1,0)</f>
        <v/>
      </c>
    </row>
    <row r="371" ht="14.4" customHeight="1" thickBot="1">
      <c r="A371" s="883" t="inlineStr">
        <is>
          <t>Hepatitis B pediatrica</t>
        </is>
      </c>
      <c r="B371" s="967" t="n"/>
      <c r="C371" s="1112">
        <f>+C311+C20</f>
        <v/>
      </c>
      <c r="D371" s="1112">
        <f>D20</f>
        <v/>
      </c>
      <c r="E371" s="1112">
        <f>+E311</f>
        <v/>
      </c>
      <c r="F371" s="1112">
        <f>+F311</f>
        <v/>
      </c>
      <c r="G371" s="1112">
        <f>+G311</f>
        <v/>
      </c>
      <c r="H371" s="1112">
        <f>+H311</f>
        <v/>
      </c>
      <c r="I371" s="1112">
        <f>+I311</f>
        <v/>
      </c>
      <c r="J371" s="1112">
        <f>+I311</f>
        <v/>
      </c>
      <c r="K371" s="1152">
        <f>+K311+I20</f>
        <v/>
      </c>
      <c r="L371" s="1153">
        <f>+L311+J20</f>
        <v/>
      </c>
      <c r="M371" s="1101" t="n"/>
      <c r="N371" s="1101" t="n"/>
      <c r="O371" s="1101" t="n"/>
      <c r="P371" s="4" t="n"/>
      <c r="Q371" s="1154">
        <f>+Q311+Q20</f>
        <v/>
      </c>
      <c r="R371" s="1112">
        <f>+R311+R20</f>
        <v/>
      </c>
      <c r="S371" s="1112">
        <f>+S311+S20</f>
        <v/>
      </c>
      <c r="T371" s="1112">
        <f>+T311+T20</f>
        <v/>
      </c>
      <c r="U371" s="1112">
        <f>+U311+U20</f>
        <v/>
      </c>
      <c r="V371" s="1112">
        <f>+V311+V20</f>
        <v/>
      </c>
      <c r="W371" s="1112">
        <f>+W311+W20</f>
        <v/>
      </c>
      <c r="X371" s="1112">
        <f>+X311+X20</f>
        <v/>
      </c>
      <c r="Y371" s="1112">
        <f>+Y311+Y20</f>
        <v/>
      </c>
      <c r="Z371" s="1112">
        <f>+Z311+Z20</f>
        <v/>
      </c>
      <c r="AA371" s="1112">
        <f>+AA311+AA20</f>
        <v/>
      </c>
      <c r="AB371" s="1112">
        <f>+AB311+AB20</f>
        <v/>
      </c>
      <c r="AC371" s="1051">
        <f>SUM(Q371:AB371)</f>
        <v/>
      </c>
      <c r="AE371" s="1110">
        <f>(AC371)/(E371+F371+AC371)</f>
        <v/>
      </c>
      <c r="AH371" s="2">
        <f>+IF(AC371&lt;&gt;K371,1,0)</f>
        <v/>
      </c>
    </row>
    <row r="372" ht="14.4" customHeight="1" thickBot="1">
      <c r="A372" s="883" t="inlineStr">
        <is>
          <t>Hepatitis B Adultos</t>
        </is>
      </c>
      <c r="B372" s="967" t="n"/>
      <c r="C372" s="1112">
        <f>+C312+C26</f>
        <v/>
      </c>
      <c r="D372" s="1112">
        <f>+D26</f>
        <v/>
      </c>
      <c r="E372" s="1112">
        <f>+E312</f>
        <v/>
      </c>
      <c r="F372" s="1112">
        <f>+F312</f>
        <v/>
      </c>
      <c r="G372" s="1112">
        <f>+G312</f>
        <v/>
      </c>
      <c r="H372" s="1112">
        <f>+H312</f>
        <v/>
      </c>
      <c r="I372" s="1112">
        <f>+I312</f>
        <v/>
      </c>
      <c r="J372" s="1112">
        <f>+I312</f>
        <v/>
      </c>
      <c r="K372" s="1152">
        <f>+K312+I26</f>
        <v/>
      </c>
      <c r="L372" s="1153">
        <f>+L312+J26</f>
        <v/>
      </c>
      <c r="M372" s="1101" t="n"/>
      <c r="N372" s="1101" t="n"/>
      <c r="O372" s="1101" t="n"/>
      <c r="P372" s="4" t="n"/>
      <c r="Q372" s="1154">
        <f>+Q312+Q26</f>
        <v/>
      </c>
      <c r="R372" s="1112">
        <f>+R312+R26</f>
        <v/>
      </c>
      <c r="S372" s="1112">
        <f>+S312+S26</f>
        <v/>
      </c>
      <c r="T372" s="1112">
        <f>+T312+T26</f>
        <v/>
      </c>
      <c r="U372" s="1112">
        <f>+U312+U26</f>
        <v/>
      </c>
      <c r="V372" s="1112">
        <f>+V312+V26</f>
        <v/>
      </c>
      <c r="W372" s="1112">
        <f>+W312+W26</f>
        <v/>
      </c>
      <c r="X372" s="1112">
        <f>+X312+X26</f>
        <v/>
      </c>
      <c r="Y372" s="1112">
        <f>+Y312+Y26</f>
        <v/>
      </c>
      <c r="Z372" s="1112">
        <f>+Z312+Z26</f>
        <v/>
      </c>
      <c r="AA372" s="1112">
        <f>+AA312+AA26</f>
        <v/>
      </c>
      <c r="AB372" s="1112">
        <f>+AB312+AB26</f>
        <v/>
      </c>
      <c r="AC372" s="1051">
        <f>SUM(Q372:AB372)</f>
        <v/>
      </c>
      <c r="AE372" s="1110">
        <f>(AC372)/(E372+F372+AC372)</f>
        <v/>
      </c>
      <c r="AH372" s="2">
        <f>+IF(AC372&lt;&gt;K372,1,0)</f>
        <v/>
      </c>
    </row>
    <row r="373" ht="14.4" customHeight="1" thickBot="1">
      <c r="A373" s="883" t="inlineStr">
        <is>
          <t>Polio Inactivada -VIP</t>
        </is>
      </c>
      <c r="B373" s="967" t="n"/>
      <c r="C373" s="1112">
        <f>+C313+C32</f>
        <v/>
      </c>
      <c r="D373" s="1112">
        <f>D32</f>
        <v/>
      </c>
      <c r="E373" s="1112">
        <f>+E313</f>
        <v/>
      </c>
      <c r="F373" s="1112">
        <f>+F313</f>
        <v/>
      </c>
      <c r="G373" s="1112">
        <f>+G313</f>
        <v/>
      </c>
      <c r="H373" s="1112">
        <f>+H313</f>
        <v/>
      </c>
      <c r="I373" s="1112">
        <f>+I313</f>
        <v/>
      </c>
      <c r="J373" s="1112">
        <f>+I313</f>
        <v/>
      </c>
      <c r="K373" s="1152">
        <f>+K313+I32</f>
        <v/>
      </c>
      <c r="L373" s="1153">
        <f>+L313+J32</f>
        <v/>
      </c>
      <c r="M373" s="1101" t="n"/>
      <c r="N373" s="1101" t="n"/>
      <c r="O373" s="1101" t="n"/>
      <c r="P373" s="4" t="n"/>
      <c r="Q373" s="1154">
        <f>+Q313+Q32</f>
        <v/>
      </c>
      <c r="R373" s="1112">
        <f>+R313+R32</f>
        <v/>
      </c>
      <c r="S373" s="1112">
        <f>+S313+S32</f>
        <v/>
      </c>
      <c r="T373" s="1112">
        <f>+T313+T32</f>
        <v/>
      </c>
      <c r="U373" s="1112">
        <f>+U313+U32</f>
        <v/>
      </c>
      <c r="V373" s="1112">
        <f>+V313+V32</f>
        <v/>
      </c>
      <c r="W373" s="1112">
        <f>+W313+W32</f>
        <v/>
      </c>
      <c r="X373" s="1112">
        <f>+X313+X32</f>
        <v/>
      </c>
      <c r="Y373" s="1112">
        <f>+Y313+Y32</f>
        <v/>
      </c>
      <c r="Z373" s="1112">
        <f>+Z313+Z32</f>
        <v/>
      </c>
      <c r="AA373" s="1112">
        <f>+AA313+AA32</f>
        <v/>
      </c>
      <c r="AB373" s="1112">
        <f>+AB313+AB32</f>
        <v/>
      </c>
      <c r="AC373" s="1051">
        <f>SUM(Q373:AB373)</f>
        <v/>
      </c>
      <c r="AE373" s="1110">
        <f>(AC373)/(E373+F373+AC373)</f>
        <v/>
      </c>
      <c r="AH373" s="2">
        <f>+IF(AC373&lt;&gt;K373,1,0)</f>
        <v/>
      </c>
    </row>
    <row r="374" ht="14.4" customHeight="1" thickBot="1">
      <c r="A374" s="883" t="inlineStr">
        <is>
          <t>Polio oral</t>
        </is>
      </c>
      <c r="B374" s="967" t="n"/>
      <c r="C374" s="1112">
        <f>+C314+C38</f>
        <v/>
      </c>
      <c r="D374" s="1112">
        <f>D38</f>
        <v/>
      </c>
      <c r="E374" s="1112">
        <f>+E314</f>
        <v/>
      </c>
      <c r="F374" s="1112">
        <f>+F314</f>
        <v/>
      </c>
      <c r="G374" s="1112">
        <f>+G314</f>
        <v/>
      </c>
      <c r="H374" s="1112">
        <f>+H314</f>
        <v/>
      </c>
      <c r="I374" s="1112">
        <f>+I314</f>
        <v/>
      </c>
      <c r="J374" s="1112">
        <f>+I314</f>
        <v/>
      </c>
      <c r="K374" s="1152">
        <f>+K314+I38</f>
        <v/>
      </c>
      <c r="L374" s="1153">
        <f>+L314+J38</f>
        <v/>
      </c>
      <c r="M374" s="1101" t="n"/>
      <c r="N374" s="1101" t="n"/>
      <c r="O374" s="1101" t="n"/>
      <c r="P374" s="4" t="n"/>
      <c r="Q374" s="1154">
        <f>+Q314+Q38</f>
        <v/>
      </c>
      <c r="R374" s="1112">
        <f>+R314+R38</f>
        <v/>
      </c>
      <c r="S374" s="1112">
        <f>+S314+S38</f>
        <v/>
      </c>
      <c r="T374" s="1112">
        <f>+T314+T38</f>
        <v/>
      </c>
      <c r="U374" s="1112">
        <f>+U314+U38</f>
        <v/>
      </c>
      <c r="V374" s="1112">
        <f>+V314+V38</f>
        <v/>
      </c>
      <c r="W374" s="1112">
        <f>+W314+W38</f>
        <v/>
      </c>
      <c r="X374" s="1112">
        <f>+X314+X38</f>
        <v/>
      </c>
      <c r="Y374" s="1112">
        <f>+Y314+Y38</f>
        <v/>
      </c>
      <c r="Z374" s="1112">
        <f>+Z314+Z38</f>
        <v/>
      </c>
      <c r="AA374" s="1112">
        <f>+AA314+AA38</f>
        <v/>
      </c>
      <c r="AB374" s="1112">
        <f>+AB314+AB38</f>
        <v/>
      </c>
      <c r="AC374" s="1051">
        <f>SUM(Q374:AB374)</f>
        <v/>
      </c>
      <c r="AE374" s="1110">
        <f>+(AC374*1)/(E374+F374+AC374)</f>
        <v/>
      </c>
      <c r="AH374" s="2">
        <f>+IF(AC374&lt;&gt;K374,1,0)</f>
        <v/>
      </c>
    </row>
    <row r="375" ht="14.4" customHeight="1" thickBot="1">
      <c r="A375" s="883" t="inlineStr">
        <is>
          <t>Pentavalente</t>
        </is>
      </c>
      <c r="B375" s="967" t="n"/>
      <c r="C375" s="1112">
        <f>+C315+C44</f>
        <v/>
      </c>
      <c r="D375" s="1112">
        <f>D44</f>
        <v/>
      </c>
      <c r="E375" s="1112">
        <f>+E315</f>
        <v/>
      </c>
      <c r="F375" s="1112">
        <f>+F315</f>
        <v/>
      </c>
      <c r="G375" s="1112">
        <f>+G315</f>
        <v/>
      </c>
      <c r="H375" s="1112">
        <f>+H315</f>
        <v/>
      </c>
      <c r="I375" s="1112">
        <f>+I315</f>
        <v/>
      </c>
      <c r="J375" s="1112">
        <f>+I315</f>
        <v/>
      </c>
      <c r="K375" s="1152">
        <f>+K315+I44</f>
        <v/>
      </c>
      <c r="L375" s="1153">
        <f>+L315+J44</f>
        <v/>
      </c>
      <c r="M375" s="1101" t="n"/>
      <c r="N375" s="1101" t="n"/>
      <c r="O375" s="1101" t="n"/>
      <c r="P375" s="4" t="n"/>
      <c r="Q375" s="1154">
        <f>+Q315+Q44</f>
        <v/>
      </c>
      <c r="R375" s="1112">
        <f>+R315+R44</f>
        <v/>
      </c>
      <c r="S375" s="1112">
        <f>+S315+S44</f>
        <v/>
      </c>
      <c r="T375" s="1112">
        <f>+T315+T44</f>
        <v/>
      </c>
      <c r="U375" s="1112">
        <f>+U315+U44</f>
        <v/>
      </c>
      <c r="V375" s="1112">
        <f>+V315+V44</f>
        <v/>
      </c>
      <c r="W375" s="1112">
        <f>+W315+W44</f>
        <v/>
      </c>
      <c r="X375" s="1112">
        <f>+X315+X44</f>
        <v/>
      </c>
      <c r="Y375" s="1112">
        <f>+Y315+Y44</f>
        <v/>
      </c>
      <c r="Z375" s="1112">
        <f>+Z315+Z44</f>
        <v/>
      </c>
      <c r="AA375" s="1112">
        <f>+AA315+AA44</f>
        <v/>
      </c>
      <c r="AB375" s="1112">
        <f>+AB315+AB44</f>
        <v/>
      </c>
      <c r="AC375" s="1051">
        <f>SUM(Q375:AB375)</f>
        <v/>
      </c>
      <c r="AE375" s="1110">
        <f>(AC375)/(E375+F375+AC375)</f>
        <v/>
      </c>
      <c r="AH375" s="2">
        <f>+IF(AC375&lt;&gt;K375,1,0)</f>
        <v/>
      </c>
    </row>
    <row r="376" ht="14.4" customHeight="1" thickBot="1">
      <c r="A376" s="883" t="inlineStr">
        <is>
          <t>Hexavalente</t>
        </is>
      </c>
      <c r="B376" s="967" t="n"/>
      <c r="C376" s="1112">
        <f>+C316+C50</f>
        <v/>
      </c>
      <c r="D376" s="1112">
        <f>+D50</f>
        <v/>
      </c>
      <c r="E376" s="1112">
        <f>+E316+E50</f>
        <v/>
      </c>
      <c r="F376" s="1112">
        <f>+F316+F50</f>
        <v/>
      </c>
      <c r="G376" s="1112">
        <f>+G316+G50</f>
        <v/>
      </c>
      <c r="H376" s="1112">
        <f>+H316+H50</f>
        <v/>
      </c>
      <c r="I376" s="1112">
        <f>+I316+I50</f>
        <v/>
      </c>
      <c r="J376" s="1112">
        <f>+J316+J50</f>
        <v/>
      </c>
      <c r="K376" s="1152">
        <f>+K316+I50</f>
        <v/>
      </c>
      <c r="L376" s="1153">
        <f>+L316+J50</f>
        <v/>
      </c>
      <c r="M376" s="1101" t="n"/>
      <c r="N376" s="1101" t="n"/>
      <c r="O376" s="1101" t="n"/>
      <c r="P376" s="4" t="n"/>
      <c r="Q376" s="1112">
        <f>+Q316+Q50</f>
        <v/>
      </c>
      <c r="R376" s="1112">
        <f>+R316+R50</f>
        <v/>
      </c>
      <c r="S376" s="1112">
        <f>+S316+S50</f>
        <v/>
      </c>
      <c r="T376" s="1112">
        <f>+T316+T50</f>
        <v/>
      </c>
      <c r="U376" s="1112">
        <f>+U316+U50</f>
        <v/>
      </c>
      <c r="V376" s="1112">
        <f>+V316+V50</f>
        <v/>
      </c>
      <c r="W376" s="1112">
        <f>+W316+W50</f>
        <v/>
      </c>
      <c r="X376" s="1112">
        <f>+X316+X50</f>
        <v/>
      </c>
      <c r="Y376" s="1112">
        <f>+Y316+Y50</f>
        <v/>
      </c>
      <c r="Z376" s="1112">
        <f>+Z316+Z50</f>
        <v/>
      </c>
      <c r="AA376" s="1112">
        <f>+AA316+AA50</f>
        <v/>
      </c>
      <c r="AB376" s="1112">
        <f>+AB316+AB50</f>
        <v/>
      </c>
      <c r="AC376" s="1051">
        <f>SUM(Q376:AB376)</f>
        <v/>
      </c>
      <c r="AE376" s="1110">
        <f>(AC377)/(E377+F377+AC377)</f>
        <v/>
      </c>
      <c r="AH376" s="2">
        <f>+IF(AC377&lt;&gt;K377,1,0)</f>
        <v/>
      </c>
    </row>
    <row r="377" ht="14.4" customHeight="1" thickBot="1">
      <c r="A377" s="883" t="inlineStr">
        <is>
          <t>DPT</t>
        </is>
      </c>
      <c r="B377" s="967" t="n"/>
      <c r="C377" s="1112">
        <f>+C317+C56</f>
        <v/>
      </c>
      <c r="D377" s="1112">
        <f>D56</f>
        <v/>
      </c>
      <c r="E377" s="1112">
        <f>+E317</f>
        <v/>
      </c>
      <c r="F377" s="1112">
        <f>+F317</f>
        <v/>
      </c>
      <c r="G377" s="1112">
        <f>+G317</f>
        <v/>
      </c>
      <c r="H377" s="1112">
        <f>+H317</f>
        <v/>
      </c>
      <c r="I377" s="1112">
        <f>+I317</f>
        <v/>
      </c>
      <c r="J377" s="1112">
        <f>+I317</f>
        <v/>
      </c>
      <c r="K377" s="1152">
        <f>+K317+I56</f>
        <v/>
      </c>
      <c r="L377" s="1153">
        <f>+L317+J56</f>
        <v/>
      </c>
      <c r="M377" s="1101" t="n"/>
      <c r="N377" s="1101" t="n"/>
      <c r="O377" s="1101" t="n"/>
      <c r="P377" s="4" t="n"/>
      <c r="Q377" s="1154">
        <f>+Q316+Q56</f>
        <v/>
      </c>
      <c r="R377" s="1112">
        <f>+R316+R56</f>
        <v/>
      </c>
      <c r="S377" s="1112">
        <f>+S316+S56</f>
        <v/>
      </c>
      <c r="T377" s="1112">
        <f>+T316+T56</f>
        <v/>
      </c>
      <c r="U377" s="1112">
        <f>+U316+U56</f>
        <v/>
      </c>
      <c r="V377" s="1112">
        <f>+V316+V56</f>
        <v/>
      </c>
      <c r="W377" s="1112">
        <f>+W316+W56</f>
        <v/>
      </c>
      <c r="X377" s="1112">
        <f>+X316+X56</f>
        <v/>
      </c>
      <c r="Y377" s="1112">
        <f>+Y316+Y56</f>
        <v/>
      </c>
      <c r="Z377" s="1112">
        <f>+Z316+Z56</f>
        <v/>
      </c>
      <c r="AA377" s="1112">
        <f>+AA316+AA56</f>
        <v/>
      </c>
      <c r="AB377" s="1112">
        <f>+AB316+AB56</f>
        <v/>
      </c>
      <c r="AC377" s="1051">
        <f>SUM(Q377:AB377)</f>
        <v/>
      </c>
      <c r="AE377" s="1110">
        <f>(AC378)/(E378+F378+AC378)</f>
        <v/>
      </c>
      <c r="AH377" s="2">
        <f>+IF(AC378&lt;&gt;K378,1,0)</f>
        <v/>
      </c>
    </row>
    <row r="378" ht="14.4" customHeight="1" thickBot="1">
      <c r="A378" s="883" t="inlineStr">
        <is>
          <t>DTaP pediatrica</t>
        </is>
      </c>
      <c r="B378" s="967" t="n"/>
      <c r="C378" s="1112">
        <f>+C318+C62</f>
        <v/>
      </c>
      <c r="D378" s="1112">
        <f>D62</f>
        <v/>
      </c>
      <c r="E378" s="1112">
        <f>+E318</f>
        <v/>
      </c>
      <c r="F378" s="1112">
        <f>+F318</f>
        <v/>
      </c>
      <c r="G378" s="1112">
        <f>+G318</f>
        <v/>
      </c>
      <c r="H378" s="1112">
        <f>+H318</f>
        <v/>
      </c>
      <c r="I378" s="1112">
        <f>+I318</f>
        <v/>
      </c>
      <c r="J378" s="1112">
        <f>+I318</f>
        <v/>
      </c>
      <c r="K378" s="1152">
        <f>+K318+I62</f>
        <v/>
      </c>
      <c r="L378" s="1153">
        <f>+L318+J62</f>
        <v/>
      </c>
      <c r="M378" s="1101" t="n"/>
      <c r="N378" s="1101" t="n"/>
      <c r="O378" s="1101" t="n"/>
      <c r="P378" s="4" t="n"/>
      <c r="Q378" s="1154">
        <f>+Q317+Q62</f>
        <v/>
      </c>
      <c r="R378" s="1112">
        <f>+R317+R62</f>
        <v/>
      </c>
      <c r="S378" s="1112">
        <f>+S317+S62</f>
        <v/>
      </c>
      <c r="T378" s="1112">
        <f>+T317+T62</f>
        <v/>
      </c>
      <c r="U378" s="1112">
        <f>+U317+U62</f>
        <v/>
      </c>
      <c r="V378" s="1112">
        <f>+V317+V62</f>
        <v/>
      </c>
      <c r="W378" s="1112">
        <f>+W317+W62</f>
        <v/>
      </c>
      <c r="X378" s="1112">
        <f>+X317+X62</f>
        <v/>
      </c>
      <c r="Y378" s="1112">
        <f>+Y317+Y62</f>
        <v/>
      </c>
      <c r="Z378" s="1112">
        <f>+Z317+Z62</f>
        <v/>
      </c>
      <c r="AA378" s="1112">
        <f>+AA317+AA62</f>
        <v/>
      </c>
      <c r="AB378" s="1112">
        <f>+AB317+AB62</f>
        <v/>
      </c>
      <c r="AC378" s="1051">
        <f>SUM(Q378:AB378)</f>
        <v/>
      </c>
      <c r="AE378" s="1110">
        <f>(AC379)/(E379+F379+AC379)</f>
        <v/>
      </c>
      <c r="AH378" s="2">
        <f>+IF(AC379&lt;&gt;K379,1,0)</f>
        <v/>
      </c>
    </row>
    <row r="379" ht="14.4" customHeight="1" thickBot="1">
      <c r="A379" s="883" t="inlineStr">
        <is>
          <t>TD Pediatrica</t>
        </is>
      </c>
      <c r="B379" s="967" t="n"/>
      <c r="C379" s="1112">
        <f>+C319+C68</f>
        <v/>
      </c>
      <c r="D379" s="1112">
        <f>D68</f>
        <v/>
      </c>
      <c r="E379" s="1112">
        <f>+E319</f>
        <v/>
      </c>
      <c r="F379" s="1112">
        <f>+F319</f>
        <v/>
      </c>
      <c r="G379" s="1112">
        <f>+G319</f>
        <v/>
      </c>
      <c r="H379" s="1112">
        <f>+H319</f>
        <v/>
      </c>
      <c r="I379" s="1112">
        <f>+I319</f>
        <v/>
      </c>
      <c r="J379" s="1112">
        <f>+I319</f>
        <v/>
      </c>
      <c r="K379" s="1152">
        <f>+K319+I68</f>
        <v/>
      </c>
      <c r="L379" s="1153">
        <f>+L319+J68</f>
        <v/>
      </c>
      <c r="M379" s="1101" t="n"/>
      <c r="N379" s="1101" t="n"/>
      <c r="O379" s="1101" t="n"/>
      <c r="P379" s="4" t="n"/>
      <c r="Q379" s="1154">
        <f>+Q318+Q68</f>
        <v/>
      </c>
      <c r="R379" s="1112">
        <f>+R318+R68</f>
        <v/>
      </c>
      <c r="S379" s="1112">
        <f>+S318+S68</f>
        <v/>
      </c>
      <c r="T379" s="1112">
        <f>+T318+T68</f>
        <v/>
      </c>
      <c r="U379" s="1112">
        <f>+U318+U68</f>
        <v/>
      </c>
      <c r="V379" s="1112">
        <f>+V318+V68</f>
        <v/>
      </c>
      <c r="W379" s="1112">
        <f>+W318+W68</f>
        <v/>
      </c>
      <c r="X379" s="1112">
        <f>+X318+X68</f>
        <v/>
      </c>
      <c r="Y379" s="1112">
        <f>+Y318+Y68</f>
        <v/>
      </c>
      <c r="Z379" s="1112">
        <f>+Z318+Z68</f>
        <v/>
      </c>
      <c r="AA379" s="1112">
        <f>+AA318+AA68</f>
        <v/>
      </c>
      <c r="AB379" s="1112">
        <f>+AB318+AB68</f>
        <v/>
      </c>
      <c r="AC379" s="1051">
        <f>SUM(Q379:AB379)</f>
        <v/>
      </c>
      <c r="AE379" s="1110">
        <f>(AC380)/(E380+F380+AC380)</f>
        <v/>
      </c>
      <c r="AH379" s="2">
        <f>+IF(AC380&lt;&gt;K380,1,0)</f>
        <v/>
      </c>
    </row>
    <row r="380" ht="14.4" customHeight="1" thickBot="1">
      <c r="A380" s="883" t="inlineStr">
        <is>
          <t>Rotavirus</t>
        </is>
      </c>
      <c r="B380" s="967" t="n"/>
      <c r="C380" s="1112">
        <f>+C320+C74</f>
        <v/>
      </c>
      <c r="D380" s="1112">
        <f>D74</f>
        <v/>
      </c>
      <c r="E380" s="1112">
        <f>+E320</f>
        <v/>
      </c>
      <c r="F380" s="1112">
        <f>+F320</f>
        <v/>
      </c>
      <c r="G380" s="1112">
        <f>+G320</f>
        <v/>
      </c>
      <c r="H380" s="1112">
        <f>+H320</f>
        <v/>
      </c>
      <c r="I380" s="1112">
        <f>+I320</f>
        <v/>
      </c>
      <c r="J380" s="1112">
        <f>+I320</f>
        <v/>
      </c>
      <c r="K380" s="1152">
        <f>+K320+I74</f>
        <v/>
      </c>
      <c r="L380" s="1153">
        <f>+L320+J74</f>
        <v/>
      </c>
      <c r="M380" s="1101" t="n"/>
      <c r="N380" s="1101" t="n"/>
      <c r="O380" s="1101" t="n"/>
      <c r="P380" s="4" t="n"/>
      <c r="Q380" s="1154">
        <f>+Q319+Q74</f>
        <v/>
      </c>
      <c r="R380" s="1112">
        <f>+R319+R74</f>
        <v/>
      </c>
      <c r="S380" s="1112">
        <f>+S319+S74</f>
        <v/>
      </c>
      <c r="T380" s="1112">
        <f>+T319+T74</f>
        <v/>
      </c>
      <c r="U380" s="1112">
        <f>+U319+U74</f>
        <v/>
      </c>
      <c r="V380" s="1112">
        <f>+V319+V74</f>
        <v/>
      </c>
      <c r="W380" s="1112">
        <f>+W319+W74</f>
        <v/>
      </c>
      <c r="X380" s="1112">
        <f>+X319+X74</f>
        <v/>
      </c>
      <c r="Y380" s="1112">
        <f>+Y319+Y74</f>
        <v/>
      </c>
      <c r="Z380" s="1112">
        <f>+Z319+Z74</f>
        <v/>
      </c>
      <c r="AA380" s="1112">
        <f>+AA319+AA74</f>
        <v/>
      </c>
      <c r="AB380" s="1112">
        <f>+AB319+AB74</f>
        <v/>
      </c>
      <c r="AC380" s="1051">
        <f>SUM(Q380:AB380)</f>
        <v/>
      </c>
      <c r="AE380" s="1110">
        <f>(AC381)/(E381+F381+AC381)</f>
        <v/>
      </c>
      <c r="AH380" s="2">
        <f>+IF(AC381&lt;&gt;K381,1,0)</f>
        <v/>
      </c>
    </row>
    <row r="381" ht="14.4" customHeight="1" thickBot="1">
      <c r="A381" s="883" t="inlineStr">
        <is>
          <t>Neumococo Decavalente</t>
        </is>
      </c>
      <c r="B381" s="967" t="n"/>
      <c r="C381" s="1112">
        <f>+C321+C80</f>
        <v/>
      </c>
      <c r="D381" s="1112">
        <f>D85</f>
        <v/>
      </c>
      <c r="E381" s="1112">
        <f>+E321</f>
        <v/>
      </c>
      <c r="F381" s="1112">
        <f>+F321</f>
        <v/>
      </c>
      <c r="G381" s="1112">
        <f>+G321</f>
        <v/>
      </c>
      <c r="H381" s="1112">
        <f>+H321</f>
        <v/>
      </c>
      <c r="I381" s="1112">
        <f>+I321</f>
        <v/>
      </c>
      <c r="J381" s="1112">
        <f>+I321</f>
        <v/>
      </c>
      <c r="K381" s="1152">
        <f>+K321+I85</f>
        <v/>
      </c>
      <c r="L381" s="1153">
        <f>+L321+J80</f>
        <v/>
      </c>
      <c r="M381" s="1101" t="n"/>
      <c r="N381" s="1101" t="n"/>
      <c r="O381" s="1101" t="n"/>
      <c r="P381" s="4" t="n"/>
      <c r="Q381" s="1154">
        <f>+Q320+Q85</f>
        <v/>
      </c>
      <c r="R381" s="1112">
        <f>+R320+R85</f>
        <v/>
      </c>
      <c r="S381" s="1112">
        <f>+S320+S85</f>
        <v/>
      </c>
      <c r="T381" s="1112">
        <f>+T320+T85</f>
        <v/>
      </c>
      <c r="U381" s="1112">
        <f>+U320+U85</f>
        <v/>
      </c>
      <c r="V381" s="1112">
        <f>+V320+V85</f>
        <v/>
      </c>
      <c r="W381" s="1112">
        <f>+W320+W85</f>
        <v/>
      </c>
      <c r="X381" s="1112">
        <f>+X320+X85</f>
        <v/>
      </c>
      <c r="Y381" s="1112">
        <f>+Y320+Y85</f>
        <v/>
      </c>
      <c r="Z381" s="1112">
        <f>+Z320+Z85</f>
        <v/>
      </c>
      <c r="AA381" s="1112">
        <f>+AA320+AA85</f>
        <v/>
      </c>
      <c r="AB381" s="1112">
        <f>+AB320+AB85</f>
        <v/>
      </c>
      <c r="AC381" s="1051">
        <f>SUM(Q381:AB381)</f>
        <v/>
      </c>
      <c r="AE381" s="1110">
        <f>(AC382)/(E382+F382+AC382)</f>
        <v/>
      </c>
      <c r="AH381" s="2">
        <f>+IF(AC382&lt;&gt;K382,1,0)</f>
        <v/>
      </c>
    </row>
    <row r="382" ht="14.4" customHeight="1" thickBot="1">
      <c r="A382" s="883" t="inlineStr">
        <is>
          <t>Neumococo Trecevalente</t>
        </is>
      </c>
      <c r="B382" s="967" t="n"/>
      <c r="C382" s="1112">
        <f>+C322+C81</f>
        <v/>
      </c>
      <c r="D382" s="1112">
        <f>D86</f>
        <v/>
      </c>
      <c r="E382" s="1112">
        <f>+E322</f>
        <v/>
      </c>
      <c r="F382" s="1112">
        <f>+F322</f>
        <v/>
      </c>
      <c r="G382" s="1112">
        <f>+G322</f>
        <v/>
      </c>
      <c r="H382" s="1112">
        <f>+H322</f>
        <v/>
      </c>
      <c r="I382" s="1112">
        <f>+I322</f>
        <v/>
      </c>
      <c r="J382" s="1112">
        <f>+I322</f>
        <v/>
      </c>
      <c r="K382" s="1152">
        <f>+K322+I86</f>
        <v/>
      </c>
      <c r="L382" s="1153">
        <f>+L322+J86</f>
        <v/>
      </c>
      <c r="M382" s="1101" t="n"/>
      <c r="N382" s="1101" t="n"/>
      <c r="O382" s="1101" t="n"/>
      <c r="P382" s="4" t="n"/>
      <c r="Q382" s="1154">
        <f>+Q321+Q86</f>
        <v/>
      </c>
      <c r="R382" s="1112">
        <f>+R321+R86</f>
        <v/>
      </c>
      <c r="S382" s="1112">
        <f>+S321+S86</f>
        <v/>
      </c>
      <c r="T382" s="1112">
        <f>+T321+T86</f>
        <v/>
      </c>
      <c r="U382" s="1112">
        <f>+U321+U86</f>
        <v/>
      </c>
      <c r="V382" s="1112">
        <f>+V321+V86</f>
        <v/>
      </c>
      <c r="W382" s="1112">
        <f>+W321+W86</f>
        <v/>
      </c>
      <c r="X382" s="1112">
        <f>+X321+X86</f>
        <v/>
      </c>
      <c r="Y382" s="1112">
        <f>+Y321+Y86</f>
        <v/>
      </c>
      <c r="Z382" s="1112">
        <f>+Z321+Z86</f>
        <v/>
      </c>
      <c r="AA382" s="1112">
        <f>+AA321+AA86</f>
        <v/>
      </c>
      <c r="AB382" s="1112">
        <f>+AB321+AB86</f>
        <v/>
      </c>
      <c r="AC382" s="1051">
        <f>SUM(Q382:AB382)</f>
        <v/>
      </c>
      <c r="AE382" s="1110">
        <f>(AC383)/(E383+F383+AC383)</f>
        <v/>
      </c>
      <c r="AH382" s="2">
        <f>+IF(AC383&lt;&gt;K383,1,0)</f>
        <v/>
      </c>
    </row>
    <row r="383" ht="14.4" customHeight="1" thickBot="1">
      <c r="A383" s="883" t="inlineStr">
        <is>
          <t>Triple Viral (vacuna)</t>
        </is>
      </c>
      <c r="B383" s="967" t="n"/>
      <c r="C383" s="1112">
        <f>+C323+C92</f>
        <v/>
      </c>
      <c r="D383" s="1112">
        <f>D92</f>
        <v/>
      </c>
      <c r="E383" s="1112">
        <f>+E323</f>
        <v/>
      </c>
      <c r="F383" s="1112">
        <f>+F323</f>
        <v/>
      </c>
      <c r="G383" s="1112">
        <f>+G323</f>
        <v/>
      </c>
      <c r="H383" s="1112">
        <f>+H323</f>
        <v/>
      </c>
      <c r="I383" s="1112">
        <f>+I323</f>
        <v/>
      </c>
      <c r="J383" s="1112">
        <f>+I323</f>
        <v/>
      </c>
      <c r="K383" s="1152">
        <f>+K323+I92</f>
        <v/>
      </c>
      <c r="L383" s="1153">
        <f>+L323+J92</f>
        <v/>
      </c>
      <c r="M383" s="1101" t="n"/>
      <c r="N383" s="1101" t="n"/>
      <c r="O383" s="1101" t="n"/>
      <c r="P383" s="4" t="n"/>
      <c r="Q383" s="1154">
        <f>+Q322+Q92</f>
        <v/>
      </c>
      <c r="R383" s="1112">
        <f>+R322+R92</f>
        <v/>
      </c>
      <c r="S383" s="1112">
        <f>+S322+S92</f>
        <v/>
      </c>
      <c r="T383" s="1112">
        <f>+T322+T92</f>
        <v/>
      </c>
      <c r="U383" s="1112">
        <f>+U322+U92</f>
        <v/>
      </c>
      <c r="V383" s="1112">
        <f>+V322+V92</f>
        <v/>
      </c>
      <c r="W383" s="1112">
        <f>+W322+W92</f>
        <v/>
      </c>
      <c r="X383" s="1112">
        <f>+X322+X92</f>
        <v/>
      </c>
      <c r="Y383" s="1112">
        <f>+Y322+Y92</f>
        <v/>
      </c>
      <c r="Z383" s="1112">
        <f>+Z322+Z92</f>
        <v/>
      </c>
      <c r="AA383" s="1112">
        <f>+AA322+AA92</f>
        <v/>
      </c>
      <c r="AB383" s="1112">
        <f>+AB322+AB92</f>
        <v/>
      </c>
      <c r="AC383" s="1051">
        <f>SUM(Q383:AB383)</f>
        <v/>
      </c>
      <c r="AE383" s="1110">
        <f>(AC384)/(E384+F384+AC384)</f>
        <v/>
      </c>
      <c r="AH383" s="2">
        <f>+IF(AC384&lt;&gt;K384,1,0)</f>
        <v/>
      </c>
    </row>
    <row r="384" ht="14.4" customHeight="1" thickBot="1">
      <c r="A384" s="883" t="inlineStr">
        <is>
          <t>Sarampión Rubéola (vacuna)</t>
        </is>
      </c>
      <c r="B384" s="967" t="n"/>
      <c r="C384" s="1112">
        <f>+C324+C98</f>
        <v/>
      </c>
      <c r="D384" s="1112">
        <f>D98</f>
        <v/>
      </c>
      <c r="E384" s="1112">
        <f>+E324</f>
        <v/>
      </c>
      <c r="F384" s="1112">
        <f>+F324</f>
        <v/>
      </c>
      <c r="G384" s="1112">
        <f>+G324</f>
        <v/>
      </c>
      <c r="H384" s="1112">
        <f>+H324</f>
        <v/>
      </c>
      <c r="I384" s="1112">
        <f>+I324</f>
        <v/>
      </c>
      <c r="J384" s="1112">
        <f>+I324</f>
        <v/>
      </c>
      <c r="K384" s="1152">
        <f>+K324+I98</f>
        <v/>
      </c>
      <c r="L384" s="1153">
        <f>+L324+J98</f>
        <v/>
      </c>
      <c r="M384" s="1101" t="n"/>
      <c r="N384" s="1101" t="n"/>
      <c r="O384" s="1101" t="n"/>
      <c r="P384" s="4" t="n"/>
      <c r="Q384" s="1154">
        <f>+Q323+Q98</f>
        <v/>
      </c>
      <c r="R384" s="1112">
        <f>+R323+R98</f>
        <v/>
      </c>
      <c r="S384" s="1112">
        <f>+S323+S98</f>
        <v/>
      </c>
      <c r="T384" s="1112">
        <f>+T323+T98</f>
        <v/>
      </c>
      <c r="U384" s="1112">
        <f>+U323+U98</f>
        <v/>
      </c>
      <c r="V384" s="1112">
        <f>+V323+V98</f>
        <v/>
      </c>
      <c r="W384" s="1112">
        <f>+W323+W98</f>
        <v/>
      </c>
      <c r="X384" s="1112">
        <f>+X323+X98</f>
        <v/>
      </c>
      <c r="Y384" s="1112">
        <f>+Y323+Y98</f>
        <v/>
      </c>
      <c r="Z384" s="1112">
        <f>+Z323+Z98</f>
        <v/>
      </c>
      <c r="AA384" s="1112">
        <f>+AA323+AA98</f>
        <v/>
      </c>
      <c r="AB384" s="1112">
        <f>+AB323+AB98</f>
        <v/>
      </c>
      <c r="AC384" s="1051">
        <f>SUM(Q384:AB384)</f>
        <v/>
      </c>
      <c r="AE384" s="1110">
        <f>+(AC385*1)/(E385+F385+AC385)</f>
        <v/>
      </c>
      <c r="AH384" s="2">
        <f>+IF(AC385&lt;&gt;K385,1,0)</f>
        <v/>
      </c>
    </row>
    <row r="385" ht="14.4" customHeight="1" thickBot="1">
      <c r="A385" s="883" t="inlineStr">
        <is>
          <t>Fiebre amarilla (vacuna)</t>
        </is>
      </c>
      <c r="B385" s="967" t="n"/>
      <c r="C385" s="1112">
        <f>+C325+C104</f>
        <v/>
      </c>
      <c r="D385" s="1112">
        <f>D104</f>
        <v/>
      </c>
      <c r="E385" s="1112">
        <f>+E325</f>
        <v/>
      </c>
      <c r="F385" s="1112">
        <f>+F325</f>
        <v/>
      </c>
      <c r="G385" s="1112">
        <f>+G325</f>
        <v/>
      </c>
      <c r="H385" s="1112">
        <f>+H325</f>
        <v/>
      </c>
      <c r="I385" s="1112">
        <f>+I325</f>
        <v/>
      </c>
      <c r="J385" s="1112">
        <f>+I325</f>
        <v/>
      </c>
      <c r="K385" s="1152">
        <f>+K325+I104</f>
        <v/>
      </c>
      <c r="L385" s="1153">
        <f>+L325+J104</f>
        <v/>
      </c>
      <c r="M385" s="1101" t="n"/>
      <c r="N385" s="1101" t="n"/>
      <c r="O385" s="1101" t="n"/>
      <c r="P385" s="4" t="n"/>
      <c r="Q385" s="1154">
        <f>+Q324+Q104</f>
        <v/>
      </c>
      <c r="R385" s="1112">
        <f>+R324+R104</f>
        <v/>
      </c>
      <c r="S385" s="1112">
        <f>+S324+S104</f>
        <v/>
      </c>
      <c r="T385" s="1112">
        <f>+T324+T104</f>
        <v/>
      </c>
      <c r="U385" s="1112">
        <f>+U324+U104</f>
        <v/>
      </c>
      <c r="V385" s="1112">
        <f>+V324+V104</f>
        <v/>
      </c>
      <c r="W385" s="1112">
        <f>+W324+W104</f>
        <v/>
      </c>
      <c r="X385" s="1112">
        <f>+X324+X104</f>
        <v/>
      </c>
      <c r="Y385" s="1112">
        <f>+Y324+Y104</f>
        <v/>
      </c>
      <c r="Z385" s="1112">
        <f>+Z324+Z104</f>
        <v/>
      </c>
      <c r="AA385" s="1112">
        <f>+AA324+AA104</f>
        <v/>
      </c>
      <c r="AB385" s="1112">
        <f>+AB324+AB104</f>
        <v/>
      </c>
      <c r="AC385" s="1051">
        <f>SUM(Q385:AB385)</f>
        <v/>
      </c>
      <c r="AE385" s="1110">
        <f>(AC386)/(E386+F386+AC386)</f>
        <v/>
      </c>
      <c r="AH385" s="2">
        <f>+IF(AC386&lt;&gt;K386,1,0)</f>
        <v/>
      </c>
    </row>
    <row r="386" ht="14.4" customHeight="1" thickBot="1">
      <c r="A386" s="883" t="inlineStr">
        <is>
          <t>Hepatitis A pediátrica (vacuna)</t>
        </is>
      </c>
      <c r="B386" s="967" t="n"/>
      <c r="C386" s="1112">
        <f>+C326+C110</f>
        <v/>
      </c>
      <c r="D386" s="1112">
        <f>D110</f>
        <v/>
      </c>
      <c r="E386" s="1112">
        <f>+E326</f>
        <v/>
      </c>
      <c r="F386" s="1112">
        <f>+F326</f>
        <v/>
      </c>
      <c r="G386" s="1112">
        <f>+G326</f>
        <v/>
      </c>
      <c r="H386" s="1112">
        <f>+H326</f>
        <v/>
      </c>
      <c r="I386" s="1112">
        <f>+I326</f>
        <v/>
      </c>
      <c r="J386" s="1112">
        <f>+I326</f>
        <v/>
      </c>
      <c r="K386" s="1152">
        <f>+K326+I110</f>
        <v/>
      </c>
      <c r="L386" s="1153">
        <f>+L326+J110</f>
        <v/>
      </c>
      <c r="M386" s="1101" t="n"/>
      <c r="N386" s="1101" t="n"/>
      <c r="O386" s="1101" t="n"/>
      <c r="P386" s="4" t="n"/>
      <c r="Q386" s="1154">
        <f>+Q325+Q110</f>
        <v/>
      </c>
      <c r="R386" s="1112">
        <f>+R325+R110</f>
        <v/>
      </c>
      <c r="S386" s="1112">
        <f>+S325+S110</f>
        <v/>
      </c>
      <c r="T386" s="1112">
        <f>+T325+T110</f>
        <v/>
      </c>
      <c r="U386" s="1112">
        <f>+U325+U110</f>
        <v/>
      </c>
      <c r="V386" s="1112">
        <f>+V325+V110</f>
        <v/>
      </c>
      <c r="W386" s="1112">
        <f>+W325+W110</f>
        <v/>
      </c>
      <c r="X386" s="1112">
        <f>+X325+X110</f>
        <v/>
      </c>
      <c r="Y386" s="1112">
        <f>+Y325+Y110</f>
        <v/>
      </c>
      <c r="Z386" s="1112">
        <f>+Z325+Z110</f>
        <v/>
      </c>
      <c r="AA386" s="1112">
        <f>+AA325+AA110</f>
        <v/>
      </c>
      <c r="AB386" s="1112">
        <f>+AB325+AB110</f>
        <v/>
      </c>
      <c r="AC386" s="1051">
        <f>SUM(Q386:AB386)</f>
        <v/>
      </c>
      <c r="AE386" s="1110">
        <f>(AC387)/(E387+F387+AC387)</f>
        <v/>
      </c>
      <c r="AH386" s="2">
        <f>+IF(AC387&lt;&gt;K387,1,0)</f>
        <v/>
      </c>
    </row>
    <row r="387" ht="14.4" customHeight="1" thickBot="1">
      <c r="A387" s="883" t="inlineStr">
        <is>
          <t>Varicela (vacuna)</t>
        </is>
      </c>
      <c r="B387" s="967" t="n"/>
      <c r="C387" s="1112">
        <f>+C327+C116</f>
        <v/>
      </c>
      <c r="D387" s="1112">
        <f>D116</f>
        <v/>
      </c>
      <c r="E387" s="1112">
        <f>+E327</f>
        <v/>
      </c>
      <c r="F387" s="1112">
        <f>+F327</f>
        <v/>
      </c>
      <c r="G387" s="1112">
        <f>+G327</f>
        <v/>
      </c>
      <c r="H387" s="1112">
        <f>+H327</f>
        <v/>
      </c>
      <c r="I387" s="1112">
        <f>+I327</f>
        <v/>
      </c>
      <c r="J387" s="1112">
        <f>+I327</f>
        <v/>
      </c>
      <c r="K387" s="1152">
        <f>+K327+I116</f>
        <v/>
      </c>
      <c r="L387" s="1153">
        <f>+L327+J116</f>
        <v/>
      </c>
      <c r="M387" s="1101" t="n"/>
      <c r="N387" s="1101" t="n"/>
      <c r="O387" s="1101" t="n"/>
      <c r="P387" s="4" t="n"/>
      <c r="Q387" s="1154">
        <f>+Q326+Q116</f>
        <v/>
      </c>
      <c r="R387" s="1112">
        <f>+R326+R116</f>
        <v/>
      </c>
      <c r="S387" s="1112">
        <f>+S326+S116</f>
        <v/>
      </c>
      <c r="T387" s="1112">
        <f>+T326+T116</f>
        <v/>
      </c>
      <c r="U387" s="1112">
        <f>+U326+U116</f>
        <v/>
      </c>
      <c r="V387" s="1112">
        <f>+V326+V116</f>
        <v/>
      </c>
      <c r="W387" s="1112">
        <f>+W326+W116</f>
        <v/>
      </c>
      <c r="X387" s="1112">
        <f>+X326+X116</f>
        <v/>
      </c>
      <c r="Y387" s="1112">
        <f>+Y326+Y116</f>
        <v/>
      </c>
      <c r="Z387" s="1112">
        <f>+Z326+Z116</f>
        <v/>
      </c>
      <c r="AA387" s="1112">
        <f>+AA326+AA116</f>
        <v/>
      </c>
      <c r="AB387" s="1112">
        <f>+AB326+AB116</f>
        <v/>
      </c>
      <c r="AC387" s="1051">
        <f>SUM(Q387:AB387)</f>
        <v/>
      </c>
      <c r="AE387" s="1110">
        <f>+(AC388*1)/(E388+F388+AC388)</f>
        <v/>
      </c>
      <c r="AH387" s="2">
        <f>+IF(AC388&lt;&gt;K388,1,0)</f>
        <v/>
      </c>
    </row>
    <row r="388" ht="14.4" customHeight="1" thickBot="1">
      <c r="A388" s="883" t="inlineStr">
        <is>
          <t>Td Adultos</t>
        </is>
      </c>
      <c r="B388" s="967" t="n"/>
      <c r="C388" s="1112">
        <f>+C328+C122</f>
        <v/>
      </c>
      <c r="D388" s="1112">
        <f>D122</f>
        <v/>
      </c>
      <c r="E388" s="1112">
        <f>+E328</f>
        <v/>
      </c>
      <c r="F388" s="1112">
        <f>+F328</f>
        <v/>
      </c>
      <c r="G388" s="1112">
        <f>+G328</f>
        <v/>
      </c>
      <c r="H388" s="1112">
        <f>+H328</f>
        <v/>
      </c>
      <c r="I388" s="1112">
        <f>+I328</f>
        <v/>
      </c>
      <c r="J388" s="1112">
        <f>+I328</f>
        <v/>
      </c>
      <c r="K388" s="1152">
        <f>+K328+I122</f>
        <v/>
      </c>
      <c r="L388" s="1153">
        <f>+L328+J122</f>
        <v/>
      </c>
      <c r="M388" s="1101" t="n"/>
      <c r="N388" s="1101" t="n"/>
      <c r="O388" s="1101" t="n"/>
      <c r="P388" s="4" t="n"/>
      <c r="Q388" s="1154">
        <f>+Q327+Q122</f>
        <v/>
      </c>
      <c r="R388" s="1112">
        <f>+R327+R122</f>
        <v/>
      </c>
      <c r="S388" s="1112">
        <f>+S327+S122</f>
        <v/>
      </c>
      <c r="T388" s="1112">
        <f>+T327+T122</f>
        <v/>
      </c>
      <c r="U388" s="1112">
        <f>+U327+U122</f>
        <v/>
      </c>
      <c r="V388" s="1112">
        <f>+V327+V122</f>
        <v/>
      </c>
      <c r="W388" s="1112">
        <f>+W327+W122</f>
        <v/>
      </c>
      <c r="X388" s="1112">
        <f>+X327+X122</f>
        <v/>
      </c>
      <c r="Y388" s="1112">
        <f>+Y327+Y122</f>
        <v/>
      </c>
      <c r="Z388" s="1112">
        <f>+Z327+Z122</f>
        <v/>
      </c>
      <c r="AA388" s="1112">
        <f>+AA327+AA122</f>
        <v/>
      </c>
      <c r="AB388" s="1112">
        <f>+AB327+AB122</f>
        <v/>
      </c>
      <c r="AC388" s="1051">
        <f>SUM(Q388:AB388)</f>
        <v/>
      </c>
      <c r="AE388" s="1110">
        <f>(AC389)/(E389+F389+AC389)</f>
        <v/>
      </c>
      <c r="AH388" s="2">
        <f>+IF(AC389&lt;&gt;K389,1,0)</f>
        <v/>
      </c>
    </row>
    <row r="389" ht="14.4" customHeight="1" thickBot="1">
      <c r="A389" s="883" t="inlineStr">
        <is>
          <t>DTaP Adolescentes / Adultos</t>
        </is>
      </c>
      <c r="B389" s="967" t="n"/>
      <c r="C389" s="1112">
        <f>+C329+C128</f>
        <v/>
      </c>
      <c r="D389" s="1112">
        <f>D128</f>
        <v/>
      </c>
      <c r="E389" s="1112">
        <f>+E329</f>
        <v/>
      </c>
      <c r="F389" s="1112">
        <f>+F329</f>
        <v/>
      </c>
      <c r="G389" s="1112">
        <f>+G329</f>
        <v/>
      </c>
      <c r="H389" s="1112">
        <f>+H329</f>
        <v/>
      </c>
      <c r="I389" s="1112">
        <f>+I329</f>
        <v/>
      </c>
      <c r="J389" s="1112">
        <f>+I329</f>
        <v/>
      </c>
      <c r="K389" s="1152">
        <f>+K329+I128</f>
        <v/>
      </c>
      <c r="L389" s="1153">
        <f>+L329+J128</f>
        <v/>
      </c>
      <c r="M389" s="1101" t="n"/>
      <c r="N389" s="1101" t="n"/>
      <c r="O389" s="1101" t="n"/>
      <c r="P389" s="4" t="n"/>
      <c r="Q389" s="1154">
        <f>+Q328+Q128</f>
        <v/>
      </c>
      <c r="R389" s="1112">
        <f>+R328+R128</f>
        <v/>
      </c>
      <c r="S389" s="1112">
        <f>+S328+S128</f>
        <v/>
      </c>
      <c r="T389" s="1112">
        <f>+T328+T128</f>
        <v/>
      </c>
      <c r="U389" s="1112">
        <f>+U328+U128</f>
        <v/>
      </c>
      <c r="V389" s="1112">
        <f>+V328+V128</f>
        <v/>
      </c>
      <c r="W389" s="1112">
        <f>+W328+W128</f>
        <v/>
      </c>
      <c r="X389" s="1112">
        <f>+X328+X128</f>
        <v/>
      </c>
      <c r="Y389" s="1112">
        <f>+Y328+Y128</f>
        <v/>
      </c>
      <c r="Z389" s="1112">
        <f>+Z328+Z128</f>
        <v/>
      </c>
      <c r="AA389" s="1112">
        <f>+AA328+AA128</f>
        <v/>
      </c>
      <c r="AB389" s="1112">
        <f>+AB328+AB128</f>
        <v/>
      </c>
      <c r="AC389" s="1051">
        <f>SUM(Q389:AB389)</f>
        <v/>
      </c>
      <c r="AE389" s="1110">
        <f>(AC390)/(E390+F390+AC390)</f>
        <v/>
      </c>
      <c r="AH389" s="2">
        <f>+IF(AC390&lt;&gt;K390,1,0)</f>
        <v/>
      </c>
    </row>
    <row r="390" ht="14.4" customHeight="1" thickBot="1">
      <c r="A390" s="883" t="inlineStr">
        <is>
          <t>Influenza pediatrica</t>
        </is>
      </c>
      <c r="B390" s="967" t="n"/>
      <c r="C390" s="1112">
        <f>+C330+C134</f>
        <v/>
      </c>
      <c r="D390" s="1112">
        <f>D134</f>
        <v/>
      </c>
      <c r="E390" s="1112">
        <f>+E330</f>
        <v/>
      </c>
      <c r="F390" s="1112">
        <f>+F330</f>
        <v/>
      </c>
      <c r="G390" s="1112">
        <f>+G330</f>
        <v/>
      </c>
      <c r="H390" s="1112">
        <f>+H330</f>
        <v/>
      </c>
      <c r="I390" s="1112">
        <f>+I330</f>
        <v/>
      </c>
      <c r="J390" s="1112">
        <f>+I330</f>
        <v/>
      </c>
      <c r="K390" s="1152">
        <f>+K330+I134</f>
        <v/>
      </c>
      <c r="L390" s="1153">
        <f>+L330+J134</f>
        <v/>
      </c>
      <c r="M390" s="1101" t="n"/>
      <c r="N390" s="1101" t="n"/>
      <c r="O390" s="1101" t="n"/>
      <c r="P390" s="4" t="n"/>
      <c r="Q390" s="1154">
        <f>+Q329+Q134</f>
        <v/>
      </c>
      <c r="R390" s="1112">
        <f>+R329+R134</f>
        <v/>
      </c>
      <c r="S390" s="1112">
        <f>+S329+S134</f>
        <v/>
      </c>
      <c r="T390" s="1112">
        <f>+T329+T134</f>
        <v/>
      </c>
      <c r="U390" s="1112">
        <f>+U329+U134</f>
        <v/>
      </c>
      <c r="V390" s="1112">
        <f>+V329+V134</f>
        <v/>
      </c>
      <c r="W390" s="1112">
        <f>+W329+W134</f>
        <v/>
      </c>
      <c r="X390" s="1112">
        <f>+X329+X134</f>
        <v/>
      </c>
      <c r="Y390" s="1112">
        <f>+Y329+Y134</f>
        <v/>
      </c>
      <c r="Z390" s="1112">
        <f>+Z329+Z134</f>
        <v/>
      </c>
      <c r="AA390" s="1112">
        <f>+AA329+AA134</f>
        <v/>
      </c>
      <c r="AB390" s="1112">
        <f>+AB329+AB134</f>
        <v/>
      </c>
      <c r="AC390" s="1051">
        <f>SUM(Q390:AB390)</f>
        <v/>
      </c>
      <c r="AE390" s="1110">
        <f>(AC391)/(E391+F391+AC391)</f>
        <v/>
      </c>
      <c r="AH390" s="2">
        <f>+IF(AC391&lt;&gt;K391,1,0)</f>
        <v/>
      </c>
    </row>
    <row r="391" ht="14.4" customHeight="1" thickBot="1">
      <c r="A391" s="883" t="inlineStr">
        <is>
          <t>Influenza Adultos</t>
        </is>
      </c>
      <c r="B391" s="967" t="n"/>
      <c r="C391" s="1112">
        <f>+C331+C140</f>
        <v/>
      </c>
      <c r="D391" s="1112">
        <f>D140</f>
        <v/>
      </c>
      <c r="E391" s="1112">
        <f>+E331</f>
        <v/>
      </c>
      <c r="F391" s="1112">
        <f>+F331</f>
        <v/>
      </c>
      <c r="G391" s="1112">
        <f>+G331</f>
        <v/>
      </c>
      <c r="H391" s="1112">
        <f>+H331</f>
        <v/>
      </c>
      <c r="I391" s="1112">
        <f>+I331</f>
        <v/>
      </c>
      <c r="J391" s="1112">
        <f>+I331</f>
        <v/>
      </c>
      <c r="K391" s="1152">
        <f>+K331+I140</f>
        <v/>
      </c>
      <c r="L391" s="1153">
        <f>+L331+J140</f>
        <v/>
      </c>
      <c r="M391" s="1101" t="n"/>
      <c r="N391" s="1101" t="n"/>
      <c r="O391" s="1101" t="n"/>
      <c r="P391" s="4" t="n"/>
      <c r="Q391" s="1154">
        <f>+Q330+Q140</f>
        <v/>
      </c>
      <c r="R391" s="1112">
        <f>+R330+R140</f>
        <v/>
      </c>
      <c r="S391" s="1112">
        <f>+S330+S140</f>
        <v/>
      </c>
      <c r="T391" s="1112">
        <f>+T330+T140</f>
        <v/>
      </c>
      <c r="U391" s="1112">
        <f>+U330+U140</f>
        <v/>
      </c>
      <c r="V391" s="1112">
        <f>+V330+V140</f>
        <v/>
      </c>
      <c r="W391" s="1112">
        <f>+W330+W140</f>
        <v/>
      </c>
      <c r="X391" s="1112">
        <f>+X330+X140</f>
        <v/>
      </c>
      <c r="Y391" s="1112">
        <f>+Y330+Y140</f>
        <v/>
      </c>
      <c r="Z391" s="1112">
        <f>+Z330+Z140</f>
        <v/>
      </c>
      <c r="AA391" s="1112">
        <f>+AA330+AA140</f>
        <v/>
      </c>
      <c r="AB391" s="1112">
        <f>+AB330+AB140</f>
        <v/>
      </c>
      <c r="AC391" s="1051">
        <f>SUM(Q391:AB391)</f>
        <v/>
      </c>
      <c r="AE391" s="1110">
        <f>(AC392)/(E392+F392+AC392)</f>
        <v/>
      </c>
      <c r="AH391" s="2">
        <f>+IF(AC392&lt;&gt;K392,1,0)</f>
        <v/>
      </c>
    </row>
    <row r="392" ht="14.4" customHeight="1" thickBot="1">
      <c r="A392" s="883" t="inlineStr">
        <is>
          <t>VPH</t>
        </is>
      </c>
      <c r="B392" s="967" t="n"/>
      <c r="C392" s="1112">
        <f>+C332+C146</f>
        <v/>
      </c>
      <c r="D392" s="1112">
        <f>D146</f>
        <v/>
      </c>
      <c r="E392" s="1112">
        <f>+E332</f>
        <v/>
      </c>
      <c r="F392" s="1112">
        <f>+F332</f>
        <v/>
      </c>
      <c r="G392" s="1112">
        <f>+G332</f>
        <v/>
      </c>
      <c r="H392" s="1112">
        <f>+H332</f>
        <v/>
      </c>
      <c r="I392" s="1112">
        <f>+I332</f>
        <v/>
      </c>
      <c r="J392" s="1112">
        <f>+I332</f>
        <v/>
      </c>
      <c r="K392" s="1152">
        <f>+K332+I146</f>
        <v/>
      </c>
      <c r="L392" s="1153">
        <f>+L332+J146</f>
        <v/>
      </c>
      <c r="M392" s="1101" t="n"/>
      <c r="N392" s="1101" t="n"/>
      <c r="O392" s="1101" t="n"/>
      <c r="P392" s="4" t="n"/>
      <c r="Q392" s="1154">
        <f>+Q331+Q146</f>
        <v/>
      </c>
      <c r="R392" s="1112">
        <f>+R331+R146</f>
        <v/>
      </c>
      <c r="S392" s="1112">
        <f>+S331+S146</f>
        <v/>
      </c>
      <c r="T392" s="1112">
        <f>+T331+T146</f>
        <v/>
      </c>
      <c r="U392" s="1112">
        <f>+U331+U146</f>
        <v/>
      </c>
      <c r="V392" s="1112">
        <f>+V331+V146</f>
        <v/>
      </c>
      <c r="W392" s="1112">
        <f>+W331+W146</f>
        <v/>
      </c>
      <c r="X392" s="1112">
        <f>+X331+X146</f>
        <v/>
      </c>
      <c r="Y392" s="1112">
        <f>+Y331+Y146</f>
        <v/>
      </c>
      <c r="Z392" s="1112">
        <f>+Z331+Z146</f>
        <v/>
      </c>
      <c r="AA392" s="1112">
        <f>+AA331+AA146</f>
        <v/>
      </c>
      <c r="AB392" s="1112">
        <f>+AB331+AB146</f>
        <v/>
      </c>
      <c r="AC392" s="1051">
        <f>SUM(Q392:AB392)</f>
        <v/>
      </c>
      <c r="AE392" s="1110">
        <f>(AC393)/(E393+F393+AC393)</f>
        <v/>
      </c>
      <c r="AH392" s="2">
        <f>+IF(AC393&lt;&gt;K393,1,0)</f>
        <v/>
      </c>
    </row>
    <row r="393" ht="14.4" customHeight="1" thickBot="1">
      <c r="A393" s="883" t="inlineStr">
        <is>
          <t>Antirrabica humana</t>
        </is>
      </c>
      <c r="B393" s="967" t="n"/>
      <c r="C393" s="1112">
        <f>+C333+C152</f>
        <v/>
      </c>
      <c r="D393" s="1112">
        <f>D152</f>
        <v/>
      </c>
      <c r="E393" s="1112">
        <f>+E333</f>
        <v/>
      </c>
      <c r="F393" s="1112">
        <f>+F333</f>
        <v/>
      </c>
      <c r="G393" s="1112">
        <f>+G333</f>
        <v/>
      </c>
      <c r="H393" s="1112">
        <f>+H333</f>
        <v/>
      </c>
      <c r="I393" s="1112">
        <f>+I333</f>
        <v/>
      </c>
      <c r="J393" s="1112">
        <f>+I333</f>
        <v/>
      </c>
      <c r="K393" s="1152">
        <f>+K333+I152</f>
        <v/>
      </c>
      <c r="L393" s="1153">
        <f>+L333+J152</f>
        <v/>
      </c>
      <c r="M393" s="1101" t="n"/>
      <c r="N393" s="1101" t="n"/>
      <c r="O393" s="1101" t="n"/>
      <c r="P393" s="4" t="n"/>
      <c r="Q393" s="1154">
        <f>+Q332+Q152</f>
        <v/>
      </c>
      <c r="R393" s="1112">
        <f>+R332+R152</f>
        <v/>
      </c>
      <c r="S393" s="1112">
        <f>+S332+S152</f>
        <v/>
      </c>
      <c r="T393" s="1112">
        <f>+T332+T152</f>
        <v/>
      </c>
      <c r="U393" s="1112">
        <f>+U332+U152</f>
        <v/>
      </c>
      <c r="V393" s="1112">
        <f>+V332+V152</f>
        <v/>
      </c>
      <c r="W393" s="1112">
        <f>+W332+W152</f>
        <v/>
      </c>
      <c r="X393" s="1112">
        <f>+X332+X152</f>
        <v/>
      </c>
      <c r="Y393" s="1112">
        <f>+Y332+Y152</f>
        <v/>
      </c>
      <c r="Z393" s="1112">
        <f>+Z332+Z152</f>
        <v/>
      </c>
      <c r="AA393" s="1112">
        <f>+AA332+AA152</f>
        <v/>
      </c>
      <c r="AB393" s="1112">
        <f>+AB332+AB152</f>
        <v/>
      </c>
      <c r="AC393" s="1051">
        <f>SUM(Q393:AB393)</f>
        <v/>
      </c>
      <c r="AE393" s="1110">
        <f>(AC394)/(E394+F394+AC394)</f>
        <v/>
      </c>
      <c r="AH393" s="2">
        <f>+IF(AC394&lt;&gt;K394,1,0)</f>
        <v/>
      </c>
    </row>
    <row r="394" ht="14.4" customHeight="1" thickBot="1">
      <c r="A394" s="883" t="inlineStr">
        <is>
          <t>Inmunoglobulina antirrabica humana</t>
        </is>
      </c>
      <c r="B394" s="967" t="n"/>
      <c r="C394" s="1112">
        <f>+C334+C158</f>
        <v/>
      </c>
      <c r="D394" s="1112">
        <f>D158</f>
        <v/>
      </c>
      <c r="E394" s="1112">
        <f>+E334</f>
        <v/>
      </c>
      <c r="F394" s="1112">
        <f>+F334</f>
        <v/>
      </c>
      <c r="G394" s="1112">
        <f>+G334</f>
        <v/>
      </c>
      <c r="H394" s="1112">
        <f>+H334</f>
        <v/>
      </c>
      <c r="I394" s="1112">
        <f>+I334</f>
        <v/>
      </c>
      <c r="J394" s="1112">
        <f>+I334</f>
        <v/>
      </c>
      <c r="K394" s="1152">
        <f>+K334+I158</f>
        <v/>
      </c>
      <c r="L394" s="1153">
        <f>+L334+J158</f>
        <v/>
      </c>
      <c r="M394" s="1101" t="n"/>
      <c r="N394" s="1101" t="n"/>
      <c r="O394" s="1101" t="n"/>
      <c r="P394" s="4" t="n"/>
      <c r="Q394" s="1154">
        <f>+Q333+Q158</f>
        <v/>
      </c>
      <c r="R394" s="1112">
        <f>+R333+R158</f>
        <v/>
      </c>
      <c r="S394" s="1112">
        <f>+S333+S158</f>
        <v/>
      </c>
      <c r="T394" s="1112">
        <f>+T333+T158</f>
        <v/>
      </c>
      <c r="U394" s="1112">
        <f>+U333+U158</f>
        <v/>
      </c>
      <c r="V394" s="1112">
        <f>+V333+V158</f>
        <v/>
      </c>
      <c r="W394" s="1112">
        <f>+W333+W158</f>
        <v/>
      </c>
      <c r="X394" s="1112">
        <f>+X333+X158</f>
        <v/>
      </c>
      <c r="Y394" s="1112">
        <f>+Y333+Y158</f>
        <v/>
      </c>
      <c r="Z394" s="1112">
        <f>+Z333+Z158</f>
        <v/>
      </c>
      <c r="AA394" s="1112">
        <f>+AA333+AA158</f>
        <v/>
      </c>
      <c r="AB394" s="1112">
        <f>+AB333+AB158</f>
        <v/>
      </c>
      <c r="AC394" s="1051">
        <f>SUM(Q394:AB394)</f>
        <v/>
      </c>
      <c r="AE394" s="1110">
        <f>(AC395)/(E395+F395+AC395)</f>
        <v/>
      </c>
      <c r="AH394" s="2">
        <f>+IF(AC395&lt;&gt;K395,1,0)</f>
        <v/>
      </c>
    </row>
    <row r="395" ht="14.4" customHeight="1" thickBot="1">
      <c r="A395" s="883" t="inlineStr">
        <is>
          <t>Inmunoglobulina antihepatitis B</t>
        </is>
      </c>
      <c r="B395" s="967" t="n"/>
      <c r="C395" s="1112">
        <f>+C335+C164</f>
        <v/>
      </c>
      <c r="D395" s="1112">
        <f>D164</f>
        <v/>
      </c>
      <c r="E395" s="1112">
        <f>+E335</f>
        <v/>
      </c>
      <c r="F395" s="1112">
        <f>+F335</f>
        <v/>
      </c>
      <c r="G395" s="1112">
        <f>+G335</f>
        <v/>
      </c>
      <c r="H395" s="1112">
        <f>+H335</f>
        <v/>
      </c>
      <c r="I395" s="1112">
        <f>+I335</f>
        <v/>
      </c>
      <c r="J395" s="1112">
        <f>+I335</f>
        <v/>
      </c>
      <c r="K395" s="1152">
        <f>+K335+I164</f>
        <v/>
      </c>
      <c r="L395" s="1153">
        <f>+L335+J164</f>
        <v/>
      </c>
      <c r="M395" s="1101" t="n"/>
      <c r="N395" s="1101" t="n"/>
      <c r="O395" s="1101" t="n"/>
      <c r="P395" s="4" t="n"/>
      <c r="Q395" s="1154">
        <f>+Q334+Q164</f>
        <v/>
      </c>
      <c r="R395" s="1112">
        <f>+R334+R164</f>
        <v/>
      </c>
      <c r="S395" s="1112">
        <f>+S334+S164</f>
        <v/>
      </c>
      <c r="T395" s="1112">
        <f>+T334+T164</f>
        <v/>
      </c>
      <c r="U395" s="1112">
        <f>+U334+U164</f>
        <v/>
      </c>
      <c r="V395" s="1112">
        <f>+V334+V164</f>
        <v/>
      </c>
      <c r="W395" s="1112">
        <f>+W334+W164</f>
        <v/>
      </c>
      <c r="X395" s="1112">
        <f>+X334+X164</f>
        <v/>
      </c>
      <c r="Y395" s="1112">
        <f>+Y334+Y164</f>
        <v/>
      </c>
      <c r="Z395" s="1112">
        <f>+Z334+Z164</f>
        <v/>
      </c>
      <c r="AA395" s="1112">
        <f>+AA334+AA164</f>
        <v/>
      </c>
      <c r="AB395" s="1112">
        <f>+AB334+AB164</f>
        <v/>
      </c>
      <c r="AC395" s="1051">
        <f>SUM(Q395:AB395)</f>
        <v/>
      </c>
      <c r="AE395" s="1110">
        <f>(AC396)/(E396+F396+AC396)</f>
        <v/>
      </c>
      <c r="AH395" s="2">
        <f>+IF(AC396&lt;&gt;K396,1,0)</f>
        <v/>
      </c>
    </row>
    <row r="396" ht="14.4" customHeight="1" thickBot="1">
      <c r="A396" s="883" t="inlineStr">
        <is>
          <t xml:space="preserve">Inmunoglobulina antitetanica </t>
        </is>
      </c>
      <c r="B396" s="967" t="n"/>
      <c r="C396" s="1112">
        <f>+C336+C170</f>
        <v/>
      </c>
      <c r="D396" s="1112">
        <f>D170</f>
        <v/>
      </c>
      <c r="E396" s="1112">
        <f>+E336</f>
        <v/>
      </c>
      <c r="F396" s="1112">
        <f>+F336</f>
        <v/>
      </c>
      <c r="G396" s="1112">
        <f>+G336</f>
        <v/>
      </c>
      <c r="H396" s="1112">
        <f>+H336</f>
        <v/>
      </c>
      <c r="I396" s="1112">
        <f>+I336</f>
        <v/>
      </c>
      <c r="J396" s="1112">
        <f>+I336</f>
        <v/>
      </c>
      <c r="K396" s="1152">
        <f>+K336+I170</f>
        <v/>
      </c>
      <c r="L396" s="1153">
        <f>+L336+J170</f>
        <v/>
      </c>
      <c r="M396" s="1101" t="n"/>
      <c r="N396" s="1101" t="n"/>
      <c r="O396" s="1101" t="n"/>
      <c r="P396" s="4" t="n"/>
      <c r="Q396" s="1154">
        <f>+Q335+Q170</f>
        <v/>
      </c>
      <c r="R396" s="1112">
        <f>+R335+R170</f>
        <v/>
      </c>
      <c r="S396" s="1112">
        <f>+S335+S170</f>
        <v/>
      </c>
      <c r="T396" s="1112">
        <f>+T335+T170</f>
        <v/>
      </c>
      <c r="U396" s="1112">
        <f>+U335+U170</f>
        <v/>
      </c>
      <c r="V396" s="1112">
        <f>+V335+V170</f>
        <v/>
      </c>
      <c r="W396" s="1112">
        <f>+W335+W170</f>
        <v/>
      </c>
      <c r="X396" s="1112">
        <f>+X335+X170</f>
        <v/>
      </c>
      <c r="Y396" s="1112">
        <f>+Y335+Y170</f>
        <v/>
      </c>
      <c r="Z396" s="1112">
        <f>+Z335+Z170</f>
        <v/>
      </c>
      <c r="AA396" s="1112">
        <f>+AA335+AA170</f>
        <v/>
      </c>
      <c r="AB396" s="1112">
        <f>+AB335+AB170</f>
        <v/>
      </c>
      <c r="AC396" s="1051">
        <f>SUM(Q396:AB396)</f>
        <v/>
      </c>
      <c r="AE396" s="1110">
        <f>(AC397)/(E397+F397+AC397)</f>
        <v/>
      </c>
      <c r="AH396" s="2">
        <f>+IF(AC397&lt;&gt;K397,1,0)</f>
        <v/>
      </c>
    </row>
    <row r="397" ht="14.4" customHeight="1" thickBot="1">
      <c r="A397" s="883" t="inlineStr">
        <is>
          <t>Antitoxina difterica</t>
        </is>
      </c>
      <c r="B397" s="967" t="n"/>
      <c r="C397" s="1112">
        <f>+C337+C176</f>
        <v/>
      </c>
      <c r="D397" s="1112">
        <f>D176</f>
        <v/>
      </c>
      <c r="E397" s="1112">
        <f>+E337</f>
        <v/>
      </c>
      <c r="F397" s="1112">
        <f>+F337</f>
        <v/>
      </c>
      <c r="G397" s="1112">
        <f>+G337</f>
        <v/>
      </c>
      <c r="H397" s="1112">
        <f>+H337</f>
        <v/>
      </c>
      <c r="I397" s="1112">
        <f>+I337</f>
        <v/>
      </c>
      <c r="J397" s="1112">
        <f>+I337</f>
        <v/>
      </c>
      <c r="K397" s="1152">
        <f>+K337+I176</f>
        <v/>
      </c>
      <c r="L397" s="1153">
        <f>+L337+J176</f>
        <v/>
      </c>
      <c r="M397" s="1101" t="n"/>
      <c r="N397" s="1101" t="n"/>
      <c r="O397" s="1101" t="n"/>
      <c r="P397" s="4" t="n"/>
      <c r="Q397" s="1154">
        <f>+Q336+Q176</f>
        <v/>
      </c>
      <c r="R397" s="1112">
        <f>+R336+R176</f>
        <v/>
      </c>
      <c r="S397" s="1112">
        <f>+S336+S176</f>
        <v/>
      </c>
      <c r="T397" s="1112">
        <f>+T336+T176</f>
        <v/>
      </c>
      <c r="U397" s="1112">
        <f>+U336+U176</f>
        <v/>
      </c>
      <c r="V397" s="1112">
        <f>+V336+V176</f>
        <v/>
      </c>
      <c r="W397" s="1112">
        <f>+W336+W176</f>
        <v/>
      </c>
      <c r="X397" s="1112">
        <f>+X336+X176</f>
        <v/>
      </c>
      <c r="Y397" s="1112">
        <f>+Y336+Y176</f>
        <v/>
      </c>
      <c r="Z397" s="1112">
        <f>+Z336+Z176</f>
        <v/>
      </c>
      <c r="AA397" s="1112">
        <f>+AA336+AA176</f>
        <v/>
      </c>
      <c r="AB397" s="1112">
        <f>+AB336+AB176</f>
        <v/>
      </c>
      <c r="AC397" s="1051">
        <f>SUM(Q397:AB397)</f>
        <v/>
      </c>
      <c r="AE397" s="1110">
        <f>(AC398)/(E398+F398+AC398)</f>
        <v/>
      </c>
      <c r="AH397" s="2">
        <f>+IF(AC398&lt;&gt;K398,1,0)</f>
        <v/>
      </c>
    </row>
    <row r="398" ht="14.4" customHeight="1" thickBot="1">
      <c r="A398" s="895" t="inlineStr">
        <is>
          <t>Meningococo</t>
        </is>
      </c>
      <c r="B398" s="1076" t="n"/>
      <c r="C398" s="1112">
        <f>+C338+C182</f>
        <v/>
      </c>
      <c r="D398" s="1112">
        <f>D182</f>
        <v/>
      </c>
      <c r="E398" s="1112">
        <f>+E338</f>
        <v/>
      </c>
      <c r="F398" s="1112">
        <f>+F338</f>
        <v/>
      </c>
      <c r="G398" s="1112">
        <f>+G338</f>
        <v/>
      </c>
      <c r="H398" s="1112">
        <f>+H338</f>
        <v/>
      </c>
      <c r="I398" s="1112">
        <f>+I338</f>
        <v/>
      </c>
      <c r="J398" s="1112">
        <f>+I338</f>
        <v/>
      </c>
      <c r="K398" s="1152">
        <f>+K338+I182</f>
        <v/>
      </c>
      <c r="L398" s="1153">
        <f>+L338+J182</f>
        <v/>
      </c>
      <c r="M398" s="1101" t="n"/>
      <c r="N398" s="1101" t="n"/>
      <c r="O398" s="1101" t="n"/>
      <c r="P398" s="4" t="n"/>
      <c r="Q398" s="1154">
        <f>+Q337+Q182</f>
        <v/>
      </c>
      <c r="R398" s="1112">
        <f>+R337+R182</f>
        <v/>
      </c>
      <c r="S398" s="1112">
        <f>+S337+S182</f>
        <v/>
      </c>
      <c r="T398" s="1112">
        <f>+T337+T182</f>
        <v/>
      </c>
      <c r="U398" s="1112">
        <f>+U337+U182</f>
        <v/>
      </c>
      <c r="V398" s="1112">
        <f>+V337+V182</f>
        <v/>
      </c>
      <c r="W398" s="1112">
        <f>+W337+W182</f>
        <v/>
      </c>
      <c r="X398" s="1112">
        <f>+X337+X182</f>
        <v/>
      </c>
      <c r="Y398" s="1112">
        <f>+Y337+Y182</f>
        <v/>
      </c>
      <c r="Z398" s="1112">
        <f>+Z337+Z182</f>
        <v/>
      </c>
      <c r="AA398" s="1112">
        <f>+AA337+AA182</f>
        <v/>
      </c>
      <c r="AB398" s="1112">
        <f>+AB337+AB182</f>
        <v/>
      </c>
      <c r="AC398" s="1051">
        <f>SUM(Q398:AB398)</f>
        <v/>
      </c>
      <c r="AE398" s="1110">
        <f>(#REF!)/(#REF!+#REF!+#REF!)</f>
        <v/>
      </c>
      <c r="AH398" s="2">
        <f>+IF(#REF!&lt;&gt;#REF!,1,0)</f>
        <v/>
      </c>
    </row>
    <row r="399" ht="14.4" customHeight="1" thickBot="1">
      <c r="A399" s="939" t="inlineStr">
        <is>
          <t>DILUYENTES</t>
        </is>
      </c>
      <c r="B399" s="1155" t="n"/>
      <c r="C399" s="1156" t="n"/>
      <c r="D399" s="1027" t="n"/>
      <c r="E399" s="1027" t="n"/>
      <c r="F399" s="1027" t="n"/>
      <c r="G399" s="1027" t="n"/>
      <c r="H399" s="1027" t="n"/>
      <c r="I399" s="1027" t="n"/>
      <c r="J399" s="1027" t="n"/>
      <c r="K399" s="1157" t="n"/>
      <c r="L399" s="1158" t="n"/>
      <c r="M399" s="1101" t="n"/>
      <c r="N399" s="1101" t="n"/>
      <c r="O399" s="1101" t="n"/>
      <c r="P399" s="4" t="n"/>
      <c r="Q399" s="1159" t="n"/>
      <c r="R399" s="1160" t="n"/>
      <c r="S399" s="1160" t="n"/>
      <c r="T399" s="1160" t="n"/>
      <c r="U399" s="1160" t="n"/>
      <c r="V399" s="1160" t="n"/>
      <c r="W399" s="1160" t="n"/>
      <c r="X399" s="1160" t="n"/>
      <c r="Y399" s="1160" t="n"/>
      <c r="Z399" s="1160" t="n"/>
      <c r="AA399" s="1160" t="n"/>
      <c r="AB399" s="1160" t="n"/>
      <c r="AC399" s="196" t="n"/>
    </row>
    <row r="400" ht="14.4" customHeight="1" thickBot="1">
      <c r="A400" s="891" t="inlineStr">
        <is>
          <t>BCG (diluyente)</t>
        </is>
      </c>
      <c r="B400" s="1103" t="n"/>
      <c r="C400" s="1161">
        <f>+C340+C189</f>
        <v/>
      </c>
      <c r="D400" s="1161">
        <f>D189</f>
        <v/>
      </c>
      <c r="E400" s="1162">
        <f>+E340</f>
        <v/>
      </c>
      <c r="F400" s="1162">
        <f>+F340</f>
        <v/>
      </c>
      <c r="G400" s="1162">
        <f>+G340</f>
        <v/>
      </c>
      <c r="H400" s="1162">
        <f>+H340</f>
        <v/>
      </c>
      <c r="I400" s="1112">
        <f>+I340</f>
        <v/>
      </c>
      <c r="J400" s="1162">
        <f>+I340</f>
        <v/>
      </c>
      <c r="K400" s="1149">
        <f>+K340+I189</f>
        <v/>
      </c>
      <c r="L400" s="1163">
        <f>+L340+J189</f>
        <v/>
      </c>
      <c r="M400" s="1101" t="n"/>
      <c r="N400" s="1101" t="n"/>
      <c r="O400" s="1101" t="n"/>
      <c r="P400" s="4" t="n"/>
      <c r="Q400" s="1121">
        <f>+Q340+Q189</f>
        <v/>
      </c>
      <c r="R400" s="1164">
        <f>+R340+R189</f>
        <v/>
      </c>
      <c r="S400" s="1164">
        <f>+S340+S189</f>
        <v/>
      </c>
      <c r="T400" s="1164">
        <f>+T340+T189</f>
        <v/>
      </c>
      <c r="U400" s="1164">
        <f>+U340+U189</f>
        <v/>
      </c>
      <c r="V400" s="1164">
        <f>+V340+V189</f>
        <v/>
      </c>
      <c r="W400" s="1164">
        <f>+W340+W189</f>
        <v/>
      </c>
      <c r="X400" s="1164">
        <f>+X340+X189</f>
        <v/>
      </c>
      <c r="Y400" s="1164">
        <f>+Y340+Y189</f>
        <v/>
      </c>
      <c r="Z400" s="1164">
        <f>+Z340+Z189</f>
        <v/>
      </c>
      <c r="AA400" s="1164">
        <f>+AA340+AA189</f>
        <v/>
      </c>
      <c r="AB400" s="1164">
        <f>+AB340+AB189</f>
        <v/>
      </c>
      <c r="AC400" s="1051">
        <f>SUM(Q400:AB400)</f>
        <v/>
      </c>
      <c r="AH400" s="2">
        <f>+IF(AC400&lt;&gt;K400,1,0)</f>
        <v/>
      </c>
    </row>
    <row r="401" ht="14.4" customHeight="1" thickBot="1">
      <c r="A401" s="883" t="inlineStr">
        <is>
          <t>Triple viral - SRP (diluyente)</t>
        </is>
      </c>
      <c r="B401" s="967" t="n"/>
      <c r="C401" s="1165">
        <f>+C341+C195</f>
        <v/>
      </c>
      <c r="D401" s="1165">
        <f>D195</f>
        <v/>
      </c>
      <c r="E401" s="1112">
        <f>+E341</f>
        <v/>
      </c>
      <c r="F401" s="1112">
        <f>+F341</f>
        <v/>
      </c>
      <c r="G401" s="1112">
        <f>+G341</f>
        <v/>
      </c>
      <c r="H401" s="1112">
        <f>+H341</f>
        <v/>
      </c>
      <c r="I401" s="1112">
        <f>+I341</f>
        <v/>
      </c>
      <c r="J401" s="1112">
        <f>+I341</f>
        <v/>
      </c>
      <c r="K401" s="1152">
        <f>+K341+I195</f>
        <v/>
      </c>
      <c r="L401" s="1166">
        <f>+L341+J195</f>
        <v/>
      </c>
      <c r="M401" s="1101" t="n"/>
      <c r="N401" s="1101" t="n"/>
      <c r="O401" s="1101" t="n"/>
      <c r="P401" s="4" t="n"/>
      <c r="Q401" s="1124">
        <f>+Q341+Q195</f>
        <v/>
      </c>
      <c r="R401" s="1165">
        <f>+R341+R195</f>
        <v/>
      </c>
      <c r="S401" s="1165">
        <f>+S341+S195</f>
        <v/>
      </c>
      <c r="T401" s="1165">
        <f>+T341+T195</f>
        <v/>
      </c>
      <c r="U401" s="1165">
        <f>+U341+U195</f>
        <v/>
      </c>
      <c r="V401" s="1165">
        <f>+V341+V195</f>
        <v/>
      </c>
      <c r="W401" s="1165">
        <f>+W341+W195</f>
        <v/>
      </c>
      <c r="X401" s="1165">
        <f>+X341+X195</f>
        <v/>
      </c>
      <c r="Y401" s="1165">
        <f>+Y341+Y195</f>
        <v/>
      </c>
      <c r="Z401" s="1165">
        <f>+Z341+Z195</f>
        <v/>
      </c>
      <c r="AA401" s="1165">
        <f>+AA341+AA195</f>
        <v/>
      </c>
      <c r="AB401" s="1165">
        <f>+AB341+AB195</f>
        <v/>
      </c>
      <c r="AC401" s="1051">
        <f>SUM(Q401:AB401)</f>
        <v/>
      </c>
      <c r="AH401" s="2">
        <f>+IF(AC401&lt;&gt;K401,1,0)</f>
        <v/>
      </c>
    </row>
    <row r="402" ht="15" customHeight="1" thickBot="1">
      <c r="A402" s="883" t="inlineStr">
        <is>
          <t>Sarampión - Rubeola - SR (diluyente)</t>
        </is>
      </c>
      <c r="B402" s="967" t="n"/>
      <c r="C402" s="1165">
        <f>+C342+C201</f>
        <v/>
      </c>
      <c r="D402" s="1165">
        <f>D201</f>
        <v/>
      </c>
      <c r="E402" s="1112">
        <f>+E342</f>
        <v/>
      </c>
      <c r="F402" s="1112">
        <f>+F342</f>
        <v/>
      </c>
      <c r="G402" s="1112">
        <f>+G342</f>
        <v/>
      </c>
      <c r="H402" s="1112">
        <f>+H342</f>
        <v/>
      </c>
      <c r="I402" s="1112">
        <f>+I342</f>
        <v/>
      </c>
      <c r="J402" s="1112">
        <f>+I342</f>
        <v/>
      </c>
      <c r="K402" s="1152">
        <f>+K342+I201</f>
        <v/>
      </c>
      <c r="L402" s="1166">
        <f>+L342+J201</f>
        <v/>
      </c>
      <c r="M402" s="1101" t="n"/>
      <c r="N402" s="1101" t="n"/>
      <c r="O402" s="1101" t="n"/>
      <c r="P402" s="4" t="n"/>
      <c r="Q402" s="1124">
        <f>+Q342+Q201</f>
        <v/>
      </c>
      <c r="R402" s="1165">
        <f>+R342+R201</f>
        <v/>
      </c>
      <c r="S402" s="1165">
        <f>+S342+S201</f>
        <v/>
      </c>
      <c r="T402" s="1165">
        <f>+T342+T201</f>
        <v/>
      </c>
      <c r="U402" s="1165">
        <f>+U342+U201</f>
        <v/>
      </c>
      <c r="V402" s="1165">
        <f>+V342+V201</f>
        <v/>
      </c>
      <c r="W402" s="1165">
        <f>+W342+W201</f>
        <v/>
      </c>
      <c r="X402" s="1165">
        <f>+X342+X201</f>
        <v/>
      </c>
      <c r="Y402" s="1165">
        <f>+Y342+Y201</f>
        <v/>
      </c>
      <c r="Z402" s="1165">
        <f>+Z342+Z201</f>
        <v/>
      </c>
      <c r="AA402" s="1165">
        <f>+AA342+AA201</f>
        <v/>
      </c>
      <c r="AB402" s="1165">
        <f>+AB342+AB201</f>
        <v/>
      </c>
      <c r="AC402" s="1051">
        <f>SUM(Q402:AB402)</f>
        <v/>
      </c>
      <c r="AH402" s="2">
        <f>+IF(AC402&lt;&gt;K402,1,0)</f>
        <v/>
      </c>
    </row>
    <row r="403" ht="14.4" customHeight="1" thickBot="1">
      <c r="A403" s="883" t="inlineStr">
        <is>
          <t>Fiebre amarilla (diluyente)</t>
        </is>
      </c>
      <c r="B403" s="967" t="n"/>
      <c r="C403" s="1165">
        <f>+C343+C207</f>
        <v/>
      </c>
      <c r="D403" s="1165">
        <f>D207</f>
        <v/>
      </c>
      <c r="E403" s="1112">
        <f>+E343</f>
        <v/>
      </c>
      <c r="F403" s="1112">
        <f>+F343</f>
        <v/>
      </c>
      <c r="G403" s="1112">
        <f>+G343</f>
        <v/>
      </c>
      <c r="H403" s="1112">
        <f>+H343</f>
        <v/>
      </c>
      <c r="I403" s="1112">
        <f>+I343</f>
        <v/>
      </c>
      <c r="J403" s="1112">
        <f>+I343</f>
        <v/>
      </c>
      <c r="K403" s="1152">
        <f>+K343+I207</f>
        <v/>
      </c>
      <c r="L403" s="1166">
        <f>+L343+J207</f>
        <v/>
      </c>
      <c r="M403" s="1101" t="n"/>
      <c r="N403" s="1101" t="n"/>
      <c r="O403" s="1101" t="n"/>
      <c r="P403" s="4" t="n"/>
      <c r="Q403" s="1124">
        <f>+Q343+Q207</f>
        <v/>
      </c>
      <c r="R403" s="1165">
        <f>+R343+R207</f>
        <v/>
      </c>
      <c r="S403" s="1165">
        <f>+S343+S207</f>
        <v/>
      </c>
      <c r="T403" s="1165">
        <f>+T343+T207</f>
        <v/>
      </c>
      <c r="U403" s="1165">
        <f>+U343+U207</f>
        <v/>
      </c>
      <c r="V403" s="1165">
        <f>+V343+V207</f>
        <v/>
      </c>
      <c r="W403" s="1165">
        <f>+W343+W207</f>
        <v/>
      </c>
      <c r="X403" s="1165">
        <f>+X343+X207</f>
        <v/>
      </c>
      <c r="Y403" s="1165">
        <f>+Y343+Y207</f>
        <v/>
      </c>
      <c r="Z403" s="1165">
        <f>+Z343+Z207</f>
        <v/>
      </c>
      <c r="AA403" s="1165">
        <f>+AA343+AA207</f>
        <v/>
      </c>
      <c r="AB403" s="1165">
        <f>+AB343+AB207</f>
        <v/>
      </c>
      <c r="AC403" s="1051">
        <f>SUM(Q403:AB403)</f>
        <v/>
      </c>
      <c r="AH403" s="2">
        <f>+IF(AC403&lt;&gt;K403,1,0)</f>
        <v/>
      </c>
    </row>
    <row r="404" ht="14.4" customHeight="1" thickBot="1">
      <c r="A404" s="883" t="inlineStr">
        <is>
          <t>Varicela (diluyente)</t>
        </is>
      </c>
      <c r="B404" s="967" t="n"/>
      <c r="C404" s="1165">
        <f>+C344+C213</f>
        <v/>
      </c>
      <c r="D404" s="1165">
        <f>D213</f>
        <v/>
      </c>
      <c r="E404" s="1112">
        <f>+E344</f>
        <v/>
      </c>
      <c r="F404" s="1112">
        <f>+F344</f>
        <v/>
      </c>
      <c r="G404" s="1112">
        <f>+G344</f>
        <v/>
      </c>
      <c r="H404" s="1112">
        <f>+H344</f>
        <v/>
      </c>
      <c r="I404" s="1112">
        <f>+I344</f>
        <v/>
      </c>
      <c r="J404" s="1112">
        <f>+I344</f>
        <v/>
      </c>
      <c r="K404" s="1152">
        <f>+K344+I213</f>
        <v/>
      </c>
      <c r="L404" s="1166">
        <f>+L344+J213</f>
        <v/>
      </c>
      <c r="M404" s="1101" t="n"/>
      <c r="N404" s="1101" t="n"/>
      <c r="O404" s="1101" t="n"/>
      <c r="P404" s="4" t="n"/>
      <c r="Q404" s="1124">
        <f>+Q344+Q213</f>
        <v/>
      </c>
      <c r="R404" s="1165">
        <f>+R344+R213</f>
        <v/>
      </c>
      <c r="S404" s="1165">
        <f>+S344+S213</f>
        <v/>
      </c>
      <c r="T404" s="1165">
        <f>+T344+T213</f>
        <v/>
      </c>
      <c r="U404" s="1165">
        <f>+U344+U213</f>
        <v/>
      </c>
      <c r="V404" s="1165">
        <f>+V344+V213</f>
        <v/>
      </c>
      <c r="W404" s="1165">
        <f>+W344+W213</f>
        <v/>
      </c>
      <c r="X404" s="1165">
        <f>+X344+X213</f>
        <v/>
      </c>
      <c r="Y404" s="1165">
        <f>+Y344+Y213</f>
        <v/>
      </c>
      <c r="Z404" s="1165">
        <f>+Z344+Z213</f>
        <v/>
      </c>
      <c r="AA404" s="1165">
        <f>+AA344+AA213</f>
        <v/>
      </c>
      <c r="AB404" s="1165">
        <f>+AB344+AB213</f>
        <v/>
      </c>
      <c r="AC404" s="1051">
        <f>SUM(Q404:AB404)</f>
        <v/>
      </c>
      <c r="AH404" s="2">
        <f>+IF(AC404&lt;&gt;K404,1,0)</f>
        <v/>
      </c>
    </row>
    <row r="405" ht="14.4" customHeight="1" thickBot="1">
      <c r="A405" s="883" t="inlineStr">
        <is>
          <t>Vacuna Antirrabica Humana (diluyente)</t>
        </is>
      </c>
      <c r="B405" s="967" t="n"/>
      <c r="C405" s="1165">
        <f>+C345+C219</f>
        <v/>
      </c>
      <c r="D405" s="1165">
        <f>D219</f>
        <v/>
      </c>
      <c r="E405" s="1112">
        <f>+E345</f>
        <v/>
      </c>
      <c r="F405" s="1112">
        <f>+F345</f>
        <v/>
      </c>
      <c r="G405" s="1112">
        <f>+G345</f>
        <v/>
      </c>
      <c r="H405" s="1112">
        <f>+H345</f>
        <v/>
      </c>
      <c r="I405" s="1112">
        <f>+I345</f>
        <v/>
      </c>
      <c r="J405" s="1112">
        <f>+I345</f>
        <v/>
      </c>
      <c r="K405" s="1152">
        <f>+K345+I219</f>
        <v/>
      </c>
      <c r="L405" s="1166">
        <f>+L345+J219</f>
        <v/>
      </c>
      <c r="M405" s="1101" t="n"/>
      <c r="N405" s="1101" t="n"/>
      <c r="O405" s="1101" t="n"/>
      <c r="P405" s="4" t="n"/>
      <c r="Q405" s="1124">
        <f>+Q345+Q219</f>
        <v/>
      </c>
      <c r="R405" s="1165">
        <f>+R345+R219</f>
        <v/>
      </c>
      <c r="S405" s="1165">
        <f>+S345+S219</f>
        <v/>
      </c>
      <c r="T405" s="1165">
        <f>+T345+T219</f>
        <v/>
      </c>
      <c r="U405" s="1165">
        <f>+U345+U219</f>
        <v/>
      </c>
      <c r="V405" s="1165">
        <f>+V345+V219</f>
        <v/>
      </c>
      <c r="W405" s="1165">
        <f>+W345+W219</f>
        <v/>
      </c>
      <c r="X405" s="1165">
        <f>+X345+X219</f>
        <v/>
      </c>
      <c r="Y405" s="1165">
        <f>+Y345+Y219</f>
        <v/>
      </c>
      <c r="Z405" s="1165">
        <f>+Z345+Z219</f>
        <v/>
      </c>
      <c r="AA405" s="1165">
        <f>+AA345+AA219</f>
        <v/>
      </c>
      <c r="AB405" s="1165">
        <f>+AB345+AB219</f>
        <v/>
      </c>
      <c r="AC405" s="1051">
        <f>SUM(Q405:AB405)</f>
        <v/>
      </c>
      <c r="AH405" s="2">
        <f>+IF(AC405&lt;&gt;K405,1,0)</f>
        <v/>
      </c>
    </row>
    <row r="406" ht="14.4" customHeight="1" thickBot="1">
      <c r="A406" s="941" t="inlineStr">
        <is>
          <t>Meningococo (solvente)</t>
        </is>
      </c>
      <c r="B406" s="965" t="n"/>
      <c r="C406" s="1167">
        <f>+C346+C225</f>
        <v/>
      </c>
      <c r="D406" s="1167">
        <f>D225</f>
        <v/>
      </c>
      <c r="E406" s="1168">
        <f>+E346</f>
        <v/>
      </c>
      <c r="F406" s="1168">
        <f>+F346</f>
        <v/>
      </c>
      <c r="G406" s="1168">
        <f>+G346</f>
        <v/>
      </c>
      <c r="H406" s="1168">
        <f>+H346</f>
        <v/>
      </c>
      <c r="I406" s="1112">
        <f>+I346</f>
        <v/>
      </c>
      <c r="J406" s="1168">
        <f>+I346</f>
        <v/>
      </c>
      <c r="K406" s="1169">
        <f>+K346+I225</f>
        <v/>
      </c>
      <c r="L406" s="1170">
        <f>+L346+J225</f>
        <v/>
      </c>
      <c r="M406" s="1101" t="n"/>
      <c r="N406" s="1101" t="n"/>
      <c r="O406" s="1101" t="n"/>
      <c r="P406" s="4" t="n"/>
      <c r="Q406" s="1126">
        <f>+Q346+Q225</f>
        <v/>
      </c>
      <c r="R406" s="1171">
        <f>+R346+R225</f>
        <v/>
      </c>
      <c r="S406" s="1171">
        <f>+S346+S225</f>
        <v/>
      </c>
      <c r="T406" s="1171">
        <f>+T346+T225</f>
        <v/>
      </c>
      <c r="U406" s="1171">
        <f>+U346+U225</f>
        <v/>
      </c>
      <c r="V406" s="1171">
        <f>+V346+V225</f>
        <v/>
      </c>
      <c r="W406" s="1171">
        <f>+W346+W225</f>
        <v/>
      </c>
      <c r="X406" s="1171">
        <f>+X346+X225</f>
        <v/>
      </c>
      <c r="Y406" s="1171">
        <f>+Y346+Y225</f>
        <v/>
      </c>
      <c r="Z406" s="1171">
        <f>+Z346+Z225</f>
        <v/>
      </c>
      <c r="AA406" s="1171">
        <f>+AA346+AA225</f>
        <v/>
      </c>
      <c r="AB406" s="1171">
        <f>+AB346+AB225</f>
        <v/>
      </c>
      <c r="AC406" s="1051">
        <f>SUM(Q406:AB406)</f>
        <v/>
      </c>
      <c r="AH406" s="2">
        <f>+IF(AC406&lt;&gt;K406,1,0)</f>
        <v/>
      </c>
    </row>
    <row r="407" ht="14.4" customHeight="1" thickBot="1">
      <c r="A407" s="943" t="inlineStr">
        <is>
          <t>JERINGAS</t>
        </is>
      </c>
      <c r="B407" s="1155" t="n"/>
      <c r="C407" s="1172" t="n"/>
      <c r="D407" s="1036" t="n"/>
      <c r="E407" s="1036" t="n"/>
      <c r="F407" s="1036" t="n"/>
      <c r="G407" s="1036" t="n"/>
      <c r="H407" s="1036" t="n"/>
      <c r="I407" s="1036" t="n"/>
      <c r="J407" s="1036" t="n"/>
      <c r="K407" s="1173" t="n"/>
      <c r="L407" s="1174" t="n"/>
      <c r="M407" s="1101" t="n"/>
      <c r="N407" s="1101" t="n"/>
      <c r="O407" s="1101" t="n"/>
      <c r="P407" s="4" t="n"/>
      <c r="Q407" s="1175" t="n"/>
      <c r="R407" s="1175" t="n"/>
      <c r="S407" s="1175" t="n"/>
      <c r="T407" s="1175" t="n"/>
      <c r="U407" s="1175" t="n"/>
      <c r="V407" s="1175" t="n"/>
      <c r="W407" s="1175" t="n"/>
      <c r="X407" s="1175" t="n"/>
      <c r="Y407" s="1175" t="n"/>
      <c r="Z407" s="1175" t="n"/>
      <c r="AA407" s="1175" t="n"/>
      <c r="AB407" s="1175" t="n"/>
      <c r="AC407" s="196" t="n"/>
    </row>
    <row r="408" ht="15" customHeight="1" thickBot="1">
      <c r="A408" s="899" t="inlineStr">
        <is>
          <t>Jeringa Desechable 22G1 1/2" AD</t>
        </is>
      </c>
      <c r="B408" s="970" t="n"/>
      <c r="C408" s="1164">
        <f>+C348+C232</f>
        <v/>
      </c>
      <c r="D408" s="1164">
        <f>D232</f>
        <v/>
      </c>
      <c r="E408" s="1148">
        <f>+E348</f>
        <v/>
      </c>
      <c r="F408" s="1148">
        <f>+F348</f>
        <v/>
      </c>
      <c r="G408" s="1148">
        <f>+G348</f>
        <v/>
      </c>
      <c r="H408" s="1148">
        <f>+H348</f>
        <v/>
      </c>
      <c r="I408" s="1112">
        <f>+I348</f>
        <v/>
      </c>
      <c r="J408" s="1148">
        <f>+I348</f>
        <v/>
      </c>
      <c r="K408" s="1176">
        <f>+K348+I232</f>
        <v/>
      </c>
      <c r="L408" s="1163">
        <f>+L348+J232</f>
        <v/>
      </c>
      <c r="M408" s="1101" t="n"/>
      <c r="N408" s="1101" t="n"/>
      <c r="O408" s="1101" t="n"/>
      <c r="P408" s="4" t="n"/>
      <c r="Q408" s="1121">
        <f>+Q348+Q232</f>
        <v/>
      </c>
      <c r="R408" s="1164">
        <f>+R348+R232</f>
        <v/>
      </c>
      <c r="S408" s="1164">
        <f>+S348+S232</f>
        <v/>
      </c>
      <c r="T408" s="1164">
        <f>+T348+T232</f>
        <v/>
      </c>
      <c r="U408" s="1164">
        <f>+U348+U232</f>
        <v/>
      </c>
      <c r="V408" s="1164">
        <f>+V348+V232</f>
        <v/>
      </c>
      <c r="W408" s="1164">
        <f>+W348+W232</f>
        <v/>
      </c>
      <c r="X408" s="1164">
        <f>+X348+X232</f>
        <v/>
      </c>
      <c r="Y408" s="1164">
        <f>+Y348+Y232</f>
        <v/>
      </c>
      <c r="Z408" s="1164">
        <f>+Z348+Z232</f>
        <v/>
      </c>
      <c r="AA408" s="1164">
        <f>+AA348+AA232</f>
        <v/>
      </c>
      <c r="AB408" s="1164">
        <f>+AB348+AB232</f>
        <v/>
      </c>
      <c r="AC408" s="1051">
        <f>SUM(Q408:AB408)</f>
        <v/>
      </c>
      <c r="AH408" s="2">
        <f>+IF(AC408&lt;&gt;K408,1,0)</f>
        <v/>
      </c>
    </row>
    <row r="409" ht="15" customHeight="1" thickBot="1">
      <c r="A409" s="883" t="inlineStr">
        <is>
          <t>Jeringa Desechable 22G1 1/2" Convencional</t>
        </is>
      </c>
      <c r="B409" s="967" t="n"/>
      <c r="C409" s="1165">
        <f>+C349+C240</f>
        <v/>
      </c>
      <c r="D409" s="1165">
        <f>D240</f>
        <v/>
      </c>
      <c r="E409" s="1112">
        <f>+E349</f>
        <v/>
      </c>
      <c r="F409" s="1112">
        <f>+F349</f>
        <v/>
      </c>
      <c r="G409" s="1112">
        <f>+G349</f>
        <v/>
      </c>
      <c r="H409" s="1112">
        <f>+H349</f>
        <v/>
      </c>
      <c r="I409" s="1112">
        <f>+I349</f>
        <v/>
      </c>
      <c r="J409" s="1112">
        <f>+I349</f>
        <v/>
      </c>
      <c r="K409" s="1152">
        <f>+K349+I240</f>
        <v/>
      </c>
      <c r="L409" s="1166">
        <f>+L349+J240</f>
        <v/>
      </c>
      <c r="M409" s="1101" t="n"/>
      <c r="N409" s="1101" t="n"/>
      <c r="O409" s="1101" t="n"/>
      <c r="P409" s="4" t="n"/>
      <c r="Q409" s="1124">
        <f>+Q349+Q238</f>
        <v/>
      </c>
      <c r="R409" s="1165">
        <f>+R349+R238</f>
        <v/>
      </c>
      <c r="S409" s="1165">
        <f>+S349+S238</f>
        <v/>
      </c>
      <c r="T409" s="1165">
        <f>+T349+T238</f>
        <v/>
      </c>
      <c r="U409" s="1165">
        <f>+U349+U238</f>
        <v/>
      </c>
      <c r="V409" s="1165">
        <f>+V349+V238</f>
        <v/>
      </c>
      <c r="W409" s="1165">
        <f>+W349+W238</f>
        <v/>
      </c>
      <c r="X409" s="1165">
        <f>+X349+X238</f>
        <v/>
      </c>
      <c r="Y409" s="1165">
        <f>+Y349+Y238</f>
        <v/>
      </c>
      <c r="Z409" s="1165">
        <f>+Z349+Z238</f>
        <v/>
      </c>
      <c r="AA409" s="1165">
        <f>+AA349+AA238</f>
        <v/>
      </c>
      <c r="AB409" s="1165">
        <f>+AB349+AB238</f>
        <v/>
      </c>
      <c r="AC409" s="1051">
        <f>SUM(Q409:AB409)</f>
        <v/>
      </c>
      <c r="AH409" s="2">
        <f>+IF(AC409&lt;&gt;K409,1,0)</f>
        <v/>
      </c>
    </row>
    <row r="410" ht="14.4" customHeight="1" thickBot="1">
      <c r="A410" s="883" t="inlineStr">
        <is>
          <t>Jeringa Desechable 23G1" AD</t>
        </is>
      </c>
      <c r="B410" s="967" t="n"/>
      <c r="C410" s="1165">
        <f>+C350+C246</f>
        <v/>
      </c>
      <c r="D410" s="1165">
        <f>D246</f>
        <v/>
      </c>
      <c r="E410" s="1112">
        <f>+E350</f>
        <v/>
      </c>
      <c r="F410" s="1112">
        <f>+F350</f>
        <v/>
      </c>
      <c r="G410" s="1112">
        <f>+G350</f>
        <v/>
      </c>
      <c r="H410" s="1112">
        <f>+H350</f>
        <v/>
      </c>
      <c r="I410" s="1112">
        <f>+I350</f>
        <v/>
      </c>
      <c r="J410" s="1112">
        <f>+I350</f>
        <v/>
      </c>
      <c r="K410" s="1152">
        <f>+K350+I246</f>
        <v/>
      </c>
      <c r="L410" s="1166">
        <f>+L350+J246</f>
        <v/>
      </c>
      <c r="M410" s="1101" t="n"/>
      <c r="N410" s="1101" t="n"/>
      <c r="O410" s="1101" t="n"/>
      <c r="P410" s="4" t="n"/>
      <c r="Q410" s="1124">
        <f>+Q350+Q239</f>
        <v/>
      </c>
      <c r="R410" s="1165">
        <f>+R350+R239</f>
        <v/>
      </c>
      <c r="S410" s="1165">
        <f>+S350+S239</f>
        <v/>
      </c>
      <c r="T410" s="1165">
        <f>+T350+T239</f>
        <v/>
      </c>
      <c r="U410" s="1165">
        <f>+U350+U239</f>
        <v/>
      </c>
      <c r="V410" s="1165">
        <f>+V350+V239</f>
        <v/>
      </c>
      <c r="W410" s="1165">
        <f>+W350+W239</f>
        <v/>
      </c>
      <c r="X410" s="1165">
        <f>+X350+X239</f>
        <v/>
      </c>
      <c r="Y410" s="1165">
        <f>+Y350+Y239</f>
        <v/>
      </c>
      <c r="Z410" s="1165">
        <f>+Z350+Z239</f>
        <v/>
      </c>
      <c r="AA410" s="1165">
        <f>+AA350+AA239</f>
        <v/>
      </c>
      <c r="AB410" s="1165">
        <f>+AB350+AB239</f>
        <v/>
      </c>
      <c r="AC410" s="1051">
        <f>SUM(Q410:AB410)</f>
        <v/>
      </c>
      <c r="AH410" s="2">
        <f>+IF(AC410&lt;&gt;K410,1,0)</f>
        <v/>
      </c>
    </row>
    <row r="411" ht="15" customHeight="1" thickBot="1">
      <c r="A411" s="883" t="inlineStr">
        <is>
          <t>Jeringa Desechable 23G1" Convencional</t>
        </is>
      </c>
      <c r="B411" s="967" t="n"/>
      <c r="C411" s="1165">
        <f>+C351+C240</f>
        <v/>
      </c>
      <c r="D411" s="1165">
        <f>D240</f>
        <v/>
      </c>
      <c r="E411" s="1112">
        <f>+E351</f>
        <v/>
      </c>
      <c r="F411" s="1112">
        <f>+F351</f>
        <v/>
      </c>
      <c r="G411" s="1112">
        <f>+G351</f>
        <v/>
      </c>
      <c r="H411" s="1112">
        <f>+H351</f>
        <v/>
      </c>
      <c r="I411" s="1112">
        <f>+I351</f>
        <v/>
      </c>
      <c r="J411" s="1112">
        <f>+I351</f>
        <v/>
      </c>
      <c r="K411" s="1152">
        <f>+K351+I240</f>
        <v/>
      </c>
      <c r="L411" s="1166">
        <f>+L351+J240</f>
        <v/>
      </c>
      <c r="M411" s="1101" t="n"/>
      <c r="N411" s="1101" t="n"/>
      <c r="O411" s="1101" t="n"/>
      <c r="P411" s="4" t="n"/>
      <c r="Q411" s="1124">
        <f>+Q351+Q240</f>
        <v/>
      </c>
      <c r="R411" s="1165">
        <f>+R351+R240</f>
        <v/>
      </c>
      <c r="S411" s="1165">
        <f>+S351+S240</f>
        <v/>
      </c>
      <c r="T411" s="1165">
        <f>+T351+T240</f>
        <v/>
      </c>
      <c r="U411" s="1165">
        <f>+U351+U240</f>
        <v/>
      </c>
      <c r="V411" s="1165">
        <f>+V351+V240</f>
        <v/>
      </c>
      <c r="W411" s="1165">
        <f>+W351+W240</f>
        <v/>
      </c>
      <c r="X411" s="1165">
        <f>+X351+X240</f>
        <v/>
      </c>
      <c r="Y411" s="1165">
        <f>+Y351+Y240</f>
        <v/>
      </c>
      <c r="Z411" s="1165">
        <f>+Z351+Z240</f>
        <v/>
      </c>
      <c r="AA411" s="1165">
        <f>+AA351+AA240</f>
        <v/>
      </c>
      <c r="AB411" s="1165">
        <f>+AB351+AB240</f>
        <v/>
      </c>
      <c r="AC411" s="1051">
        <f>SUM(Q411:AB411)</f>
        <v/>
      </c>
      <c r="AH411" s="2">
        <f>+IF(AC411&lt;&gt;K411,1,0)</f>
        <v/>
      </c>
    </row>
    <row r="412" ht="14.4" customHeight="1" thickBot="1">
      <c r="A412" s="883" t="inlineStr">
        <is>
          <t>Jeringa Desechable 25G5/8" AD</t>
        </is>
      </c>
      <c r="B412" s="967" t="n"/>
      <c r="C412" s="1165">
        <f>+C352+C246</f>
        <v/>
      </c>
      <c r="D412" s="1165">
        <f>D246</f>
        <v/>
      </c>
      <c r="E412" s="1112">
        <f>+E352</f>
        <v/>
      </c>
      <c r="F412" s="1112">
        <f>+F352</f>
        <v/>
      </c>
      <c r="G412" s="1112">
        <f>+G352</f>
        <v/>
      </c>
      <c r="H412" s="1112">
        <f>+H352</f>
        <v/>
      </c>
      <c r="I412" s="1112">
        <f>+I352</f>
        <v/>
      </c>
      <c r="J412" s="1112">
        <f>+I352</f>
        <v/>
      </c>
      <c r="K412" s="1152">
        <f>+K352+I246</f>
        <v/>
      </c>
      <c r="L412" s="1166">
        <f>+L352+J246</f>
        <v/>
      </c>
      <c r="M412" s="1101" t="n"/>
      <c r="N412" s="1101" t="n"/>
      <c r="O412" s="1101" t="n"/>
      <c r="P412" s="4" t="n"/>
      <c r="Q412" s="1124">
        <f>+Q352+Q246</f>
        <v/>
      </c>
      <c r="R412" s="1165">
        <f>+R352+R246</f>
        <v/>
      </c>
      <c r="S412" s="1165">
        <f>+S352+S246</f>
        <v/>
      </c>
      <c r="T412" s="1165">
        <f>+T352+T246</f>
        <v/>
      </c>
      <c r="U412" s="1165">
        <f>+U352+U246</f>
        <v/>
      </c>
      <c r="V412" s="1165">
        <f>+V352+V246</f>
        <v/>
      </c>
      <c r="W412" s="1165">
        <f>+W352+W246</f>
        <v/>
      </c>
      <c r="X412" s="1165">
        <f>+X352+X246</f>
        <v/>
      </c>
      <c r="Y412" s="1165">
        <f>+Y352+Y246</f>
        <v/>
      </c>
      <c r="Z412" s="1165">
        <f>+Z352+Z246</f>
        <v/>
      </c>
      <c r="AA412" s="1165">
        <f>+AA352+AA246</f>
        <v/>
      </c>
      <c r="AB412" s="1165">
        <f>+AB352+AB246</f>
        <v/>
      </c>
      <c r="AC412" s="1051">
        <f>SUM(Q412:AB412)</f>
        <v/>
      </c>
      <c r="AH412" s="2">
        <f>+IF(AC412&lt;&gt;K412,1,0)</f>
        <v/>
      </c>
    </row>
    <row r="413" ht="15" customHeight="1" thickBot="1">
      <c r="A413" s="883" t="inlineStr">
        <is>
          <t>Jeringa Desechable 25G5/8" Convencional</t>
        </is>
      </c>
      <c r="B413" s="967" t="n"/>
      <c r="C413" s="1165">
        <f>+C353+C252</f>
        <v/>
      </c>
      <c r="D413" s="1165">
        <f>D252</f>
        <v/>
      </c>
      <c r="E413" s="1112">
        <f>+E353</f>
        <v/>
      </c>
      <c r="F413" s="1112">
        <f>+F353</f>
        <v/>
      </c>
      <c r="G413" s="1112">
        <f>+G353</f>
        <v/>
      </c>
      <c r="H413" s="1112">
        <f>+H353</f>
        <v/>
      </c>
      <c r="I413" s="1112">
        <f>+I353</f>
        <v/>
      </c>
      <c r="J413" s="1112">
        <f>+I353</f>
        <v/>
      </c>
      <c r="K413" s="1152">
        <f>+K353+I252</f>
        <v/>
      </c>
      <c r="L413" s="1166">
        <f>+L353+J252</f>
        <v/>
      </c>
      <c r="M413" s="1101" t="n"/>
      <c r="N413" s="1101" t="n"/>
      <c r="O413" s="1101" t="n"/>
      <c r="P413" s="4" t="n"/>
      <c r="Q413" s="1124">
        <f>+Q353+Q252</f>
        <v/>
      </c>
      <c r="R413" s="1165">
        <f>+R353+R252</f>
        <v/>
      </c>
      <c r="S413" s="1165">
        <f>+S353+S252</f>
        <v/>
      </c>
      <c r="T413" s="1165">
        <f>+T353+T252</f>
        <v/>
      </c>
      <c r="U413" s="1165">
        <f>+U353+U252</f>
        <v/>
      </c>
      <c r="V413" s="1165">
        <f>+V353+V252</f>
        <v/>
      </c>
      <c r="W413" s="1165">
        <f>+W353+W252</f>
        <v/>
      </c>
      <c r="X413" s="1165">
        <f>+X353+X252</f>
        <v/>
      </c>
      <c r="Y413" s="1165">
        <f>+Y353+Y252</f>
        <v/>
      </c>
      <c r="Z413" s="1165">
        <f>+Z353+Z252</f>
        <v/>
      </c>
      <c r="AA413" s="1165">
        <f>+AA353+AA252</f>
        <v/>
      </c>
      <c r="AB413" s="1165">
        <f>+AB353+AB252</f>
        <v/>
      </c>
      <c r="AC413" s="1051">
        <f>SUM(Q413:AB413)</f>
        <v/>
      </c>
      <c r="AH413" s="2">
        <f>+IF(AC413&lt;&gt;K413,1,0)</f>
        <v/>
      </c>
    </row>
    <row r="414" ht="14.4" customHeight="1" thickBot="1">
      <c r="A414" s="883" t="inlineStr">
        <is>
          <t>Jeringa Desechable 26G 3/8" AD</t>
        </is>
      </c>
      <c r="B414" s="967" t="n"/>
      <c r="C414" s="1165">
        <f>+C354+C271</f>
        <v/>
      </c>
      <c r="D414" s="1165">
        <f>+D271</f>
        <v/>
      </c>
      <c r="E414" s="1112">
        <f>+E354</f>
        <v/>
      </c>
      <c r="F414" s="1112">
        <f>+F354</f>
        <v/>
      </c>
      <c r="G414" s="1112">
        <f>+G354</f>
        <v/>
      </c>
      <c r="H414" s="1112">
        <f>+H354</f>
        <v/>
      </c>
      <c r="I414" s="1112">
        <f>+I354</f>
        <v/>
      </c>
      <c r="J414" s="1112">
        <f>+I354</f>
        <v/>
      </c>
      <c r="K414" s="1152">
        <f>+K354+I271</f>
        <v/>
      </c>
      <c r="L414" s="1166">
        <f>+L354+J271</f>
        <v/>
      </c>
      <c r="M414" s="1101" t="n"/>
      <c r="N414" s="1101" t="n"/>
      <c r="O414" s="1101" t="n"/>
      <c r="P414" s="4" t="n"/>
      <c r="Q414" s="1124">
        <f>+Q354+Q271</f>
        <v/>
      </c>
      <c r="R414" s="1165">
        <f>+R354+R271</f>
        <v/>
      </c>
      <c r="S414" s="1165">
        <f>+S354+S271</f>
        <v/>
      </c>
      <c r="T414" s="1165">
        <f>+T354+T271</f>
        <v/>
      </c>
      <c r="U414" s="1165">
        <f>+U354+U271</f>
        <v/>
      </c>
      <c r="V414" s="1165">
        <f>+V354+V271</f>
        <v/>
      </c>
      <c r="W414" s="1165">
        <f>+W354+W271</f>
        <v/>
      </c>
      <c r="X414" s="1165">
        <f>+X354+X271</f>
        <v/>
      </c>
      <c r="Y414" s="1165">
        <f>+Y354+Y271</f>
        <v/>
      </c>
      <c r="Z414" s="1165">
        <f>+Z354+Z271</f>
        <v/>
      </c>
      <c r="AA414" s="1165">
        <f>+AA354+AA271</f>
        <v/>
      </c>
      <c r="AB414" s="1165">
        <f>+AB354+AB271</f>
        <v/>
      </c>
      <c r="AC414" s="1051">
        <f>SUM(Q414:AB414)</f>
        <v/>
      </c>
      <c r="AH414" s="2">
        <f>+IF(AC414&lt;&gt;K414,1,0)</f>
        <v/>
      </c>
    </row>
    <row r="415" ht="14.4" customHeight="1" thickBot="1">
      <c r="A415" s="883" t="inlineStr">
        <is>
          <t>Jeringa Desechable 26G 3/8" Convencional</t>
        </is>
      </c>
      <c r="B415" s="967" t="n"/>
      <c r="C415" s="1165">
        <f>+C355+C277</f>
        <v/>
      </c>
      <c r="D415" s="1165">
        <f>+D277</f>
        <v/>
      </c>
      <c r="E415" s="1112">
        <f>+E355</f>
        <v/>
      </c>
      <c r="F415" s="1112">
        <f>+F355</f>
        <v/>
      </c>
      <c r="G415" s="1112">
        <f>+G355</f>
        <v/>
      </c>
      <c r="H415" s="1112">
        <f>+H355</f>
        <v/>
      </c>
      <c r="I415" s="1112">
        <f>+I355</f>
        <v/>
      </c>
      <c r="J415" s="1112">
        <f>+I355</f>
        <v/>
      </c>
      <c r="K415" s="1152">
        <f>+K355+I277</f>
        <v/>
      </c>
      <c r="L415" s="1166">
        <f>+L355+J277</f>
        <v/>
      </c>
      <c r="M415" s="1101" t="n"/>
      <c r="N415" s="1101" t="n"/>
      <c r="O415" s="1101" t="n"/>
      <c r="P415" s="4" t="n"/>
      <c r="Q415" s="1124">
        <f>+Q355+Q277</f>
        <v/>
      </c>
      <c r="R415" s="1165">
        <f>+R355+R277</f>
        <v/>
      </c>
      <c r="S415" s="1165">
        <f>+S355+S277</f>
        <v/>
      </c>
      <c r="T415" s="1165">
        <f>+T355+T277</f>
        <v/>
      </c>
      <c r="U415" s="1165">
        <f>+U355+U277</f>
        <v/>
      </c>
      <c r="V415" s="1165">
        <f>+V355+V277</f>
        <v/>
      </c>
      <c r="W415" s="1165">
        <f>+W355+W277</f>
        <v/>
      </c>
      <c r="X415" s="1165">
        <f>+X355+X277</f>
        <v/>
      </c>
      <c r="Y415" s="1165">
        <f>+Y355+Y277</f>
        <v/>
      </c>
      <c r="Z415" s="1165">
        <f>+Z355+Z277</f>
        <v/>
      </c>
      <c r="AA415" s="1165">
        <f>+AA355+AA277</f>
        <v/>
      </c>
      <c r="AB415" s="1165">
        <f>+AB355+AB277</f>
        <v/>
      </c>
      <c r="AC415" s="1051">
        <f>SUM(Q415:AB415)</f>
        <v/>
      </c>
      <c r="AH415" s="2">
        <f>+IF(AC415&lt;&gt;K415,1,0)</f>
        <v/>
      </c>
    </row>
    <row r="416" ht="14.4" customHeight="1" thickBot="1">
      <c r="A416" s="883" t="inlineStr">
        <is>
          <t xml:space="preserve">Jeringa Desechable 27G 3/8" </t>
        </is>
      </c>
      <c r="B416" s="967" t="n"/>
      <c r="C416" s="1165">
        <f>+C356+C283</f>
        <v/>
      </c>
      <c r="D416" s="1165">
        <f>+D283</f>
        <v/>
      </c>
      <c r="E416" s="1112">
        <f>+E356</f>
        <v/>
      </c>
      <c r="F416" s="1112">
        <f>+F356</f>
        <v/>
      </c>
      <c r="G416" s="1112">
        <f>+G356</f>
        <v/>
      </c>
      <c r="H416" s="1112">
        <f>+H356</f>
        <v/>
      </c>
      <c r="I416" s="1112">
        <f>+I356</f>
        <v/>
      </c>
      <c r="J416" s="1112">
        <f>+I356</f>
        <v/>
      </c>
      <c r="K416" s="1152">
        <f>+K356+I283</f>
        <v/>
      </c>
      <c r="L416" s="1166">
        <f>+L356+J283</f>
        <v/>
      </c>
      <c r="M416" s="1101" t="n"/>
      <c r="N416" s="1101" t="n"/>
      <c r="O416" s="1101" t="n"/>
      <c r="P416" s="4" t="n"/>
      <c r="Q416" s="1124">
        <f>+Q356+Q283</f>
        <v/>
      </c>
      <c r="R416" s="1165">
        <f>+R356+R283</f>
        <v/>
      </c>
      <c r="S416" s="1165">
        <f>+S356+S283</f>
        <v/>
      </c>
      <c r="T416" s="1165">
        <f>+T356+T283</f>
        <v/>
      </c>
      <c r="U416" s="1165">
        <f>+U356+U283</f>
        <v/>
      </c>
      <c r="V416" s="1165">
        <f>+V356+V283</f>
        <v/>
      </c>
      <c r="W416" s="1165">
        <f>+W356+W283</f>
        <v/>
      </c>
      <c r="X416" s="1165">
        <f>+X356+X283</f>
        <v/>
      </c>
      <c r="Y416" s="1165">
        <f>+Y356+Y283</f>
        <v/>
      </c>
      <c r="Z416" s="1165">
        <f>+Z356+Z283</f>
        <v/>
      </c>
      <c r="AA416" s="1165">
        <f>+AA356+AA283</f>
        <v/>
      </c>
      <c r="AB416" s="1165">
        <f>+AB356+AB283</f>
        <v/>
      </c>
      <c r="AC416" s="1051">
        <f>SUM(Q416:AB416)</f>
        <v/>
      </c>
      <c r="AH416" s="2">
        <f>+IF(AC416&lt;&gt;K416,1,0)</f>
        <v/>
      </c>
    </row>
    <row r="417" ht="15" customHeight="1" thickBot="1">
      <c r="A417" s="928" t="inlineStr">
        <is>
          <t>Gotero</t>
        </is>
      </c>
      <c r="B417" s="967" t="n"/>
      <c r="C417" s="1165">
        <f>+C357+C289</f>
        <v/>
      </c>
      <c r="D417" s="1165">
        <f>D289</f>
        <v/>
      </c>
      <c r="E417" s="1112">
        <f>+E357</f>
        <v/>
      </c>
      <c r="F417" s="1112">
        <f>+F357</f>
        <v/>
      </c>
      <c r="G417" s="1112">
        <f>+G357</f>
        <v/>
      </c>
      <c r="H417" s="1112">
        <f>+H357</f>
        <v/>
      </c>
      <c r="I417" s="1112">
        <f>+I357</f>
        <v/>
      </c>
      <c r="J417" s="1112">
        <f>+I357</f>
        <v/>
      </c>
      <c r="K417" s="1152">
        <f>+K357+I289</f>
        <v/>
      </c>
      <c r="L417" s="1166">
        <f>+L357+J289</f>
        <v/>
      </c>
      <c r="M417" s="1101" t="n"/>
      <c r="N417" s="1101" t="n"/>
      <c r="O417" s="1101" t="n"/>
      <c r="P417" s="4" t="n"/>
      <c r="Q417" s="1124">
        <f>+Q357+Q289</f>
        <v/>
      </c>
      <c r="R417" s="1165">
        <f>+R357+R289</f>
        <v/>
      </c>
      <c r="S417" s="1165">
        <f>+S357+S289</f>
        <v/>
      </c>
      <c r="T417" s="1165">
        <f>+T357+T289</f>
        <v/>
      </c>
      <c r="U417" s="1165">
        <f>+U357+U289</f>
        <v/>
      </c>
      <c r="V417" s="1165">
        <f>+V357+V289</f>
        <v/>
      </c>
      <c r="W417" s="1165">
        <f>+W357+W289</f>
        <v/>
      </c>
      <c r="X417" s="1165">
        <f>+X357+X289</f>
        <v/>
      </c>
      <c r="Y417" s="1165">
        <f>+Y357+Y289</f>
        <v/>
      </c>
      <c r="Z417" s="1165">
        <f>+Z357+Z289</f>
        <v/>
      </c>
      <c r="AA417" s="1165">
        <f>+AA357+AA289</f>
        <v/>
      </c>
      <c r="AB417" s="1165">
        <f>+AB357+AB289</f>
        <v/>
      </c>
      <c r="AC417" s="1051">
        <f>SUM(Q417:AB417)</f>
        <v/>
      </c>
      <c r="AH417" s="2">
        <f>+IF(AC417&lt;&gt;K417,1,0)</f>
        <v/>
      </c>
    </row>
    <row r="418" ht="15" customHeight="1" thickBot="1">
      <c r="A418" s="883" t="inlineStr">
        <is>
          <t>CARNE DE VACUNACIÓN INFANTIL</t>
        </is>
      </c>
      <c r="B418" s="967" t="n"/>
      <c r="C418" s="1165">
        <f>+C358+C295</f>
        <v/>
      </c>
      <c r="D418" s="1165">
        <f>D295</f>
        <v/>
      </c>
      <c r="E418" s="1112">
        <f>+E358</f>
        <v/>
      </c>
      <c r="F418" s="1112">
        <f>+F358</f>
        <v/>
      </c>
      <c r="G418" s="1112">
        <f>+G358</f>
        <v/>
      </c>
      <c r="H418" s="1112">
        <f>+H358</f>
        <v/>
      </c>
      <c r="I418" s="1112">
        <f>+I358</f>
        <v/>
      </c>
      <c r="J418" s="1112">
        <f>+I358</f>
        <v/>
      </c>
      <c r="K418" s="1152">
        <f>+K358+I295</f>
        <v/>
      </c>
      <c r="L418" s="1166">
        <f>+L358+J295</f>
        <v/>
      </c>
      <c r="M418" s="1101" t="n"/>
      <c r="N418" s="1101" t="n"/>
      <c r="O418" s="1101" t="n"/>
      <c r="P418" s="4" t="n"/>
      <c r="Q418" s="1124">
        <f>+Q358+Q295</f>
        <v/>
      </c>
      <c r="R418" s="1165">
        <f>+R358+R295</f>
        <v/>
      </c>
      <c r="S418" s="1165">
        <f>+S358+S295</f>
        <v/>
      </c>
      <c r="T418" s="1165">
        <f>+T358+T295</f>
        <v/>
      </c>
      <c r="U418" s="1165">
        <f>+U358+U295</f>
        <v/>
      </c>
      <c r="V418" s="1165">
        <f>+V358+V295</f>
        <v/>
      </c>
      <c r="W418" s="1165">
        <f>+W358+W295</f>
        <v/>
      </c>
      <c r="X418" s="1165">
        <f>+X358+X295</f>
        <v/>
      </c>
      <c r="Y418" s="1165">
        <f>+Y358+Y295</f>
        <v/>
      </c>
      <c r="Z418" s="1165">
        <f>+Z358+Z295</f>
        <v/>
      </c>
      <c r="AA418" s="1165">
        <f>+AA358+AA295</f>
        <v/>
      </c>
      <c r="AB418" s="1165">
        <f>+AB358+AB295</f>
        <v/>
      </c>
      <c r="AC418" s="1051">
        <f>SUM(Q418:AB418)</f>
        <v/>
      </c>
      <c r="AH418" s="2">
        <f>+IF(AC418&lt;&gt;K418,1,0)</f>
        <v/>
      </c>
    </row>
    <row r="419" ht="14.4" customHeight="1" thickBot="1">
      <c r="A419" s="883" t="inlineStr">
        <is>
          <t>CARNE/CERTIFICADO DE VACUNACIÓN DE ADULTOS</t>
        </is>
      </c>
      <c r="B419" s="967" t="n"/>
      <c r="C419" s="1165">
        <f>+C359+C296</f>
        <v/>
      </c>
      <c r="D419" s="1165">
        <f>D296</f>
        <v/>
      </c>
      <c r="E419" s="1112">
        <f>+E359</f>
        <v/>
      </c>
      <c r="F419" s="1112">
        <f>+F359</f>
        <v/>
      </c>
      <c r="G419" s="1112">
        <f>+G359</f>
        <v/>
      </c>
      <c r="H419" s="1112">
        <f>+H359</f>
        <v/>
      </c>
      <c r="I419" s="1112">
        <f>+I359</f>
        <v/>
      </c>
      <c r="J419" s="1112">
        <f>+I359</f>
        <v/>
      </c>
      <c r="K419" s="1152">
        <f>+K359+I296</f>
        <v/>
      </c>
      <c r="L419" s="1166">
        <f>+L359+J296</f>
        <v/>
      </c>
      <c r="M419" s="1101" t="n"/>
      <c r="N419" s="1101" t="n"/>
      <c r="O419" s="1101" t="n"/>
      <c r="P419" s="4" t="n"/>
      <c r="Q419" s="1124">
        <f>+Q359+Q296</f>
        <v/>
      </c>
      <c r="R419" s="1165">
        <f>+R359+R296</f>
        <v/>
      </c>
      <c r="S419" s="1165">
        <f>+S359+S296</f>
        <v/>
      </c>
      <c r="T419" s="1165">
        <f>+T359+T296</f>
        <v/>
      </c>
      <c r="U419" s="1165">
        <f>+U359+U296</f>
        <v/>
      </c>
      <c r="V419" s="1165">
        <f>+V359+V296</f>
        <v/>
      </c>
      <c r="W419" s="1165">
        <f>+W359+W296</f>
        <v/>
      </c>
      <c r="X419" s="1165">
        <f>+X359+X296</f>
        <v/>
      </c>
      <c r="Y419" s="1165">
        <f>+Y359+Y296</f>
        <v/>
      </c>
      <c r="Z419" s="1165">
        <f>+Z359+Z296</f>
        <v/>
      </c>
      <c r="AA419" s="1165">
        <f>+AA359+AA296</f>
        <v/>
      </c>
      <c r="AB419" s="1165">
        <f>+AB359+AB296</f>
        <v/>
      </c>
      <c r="AC419" s="1051">
        <f>SUM(Q419:AB419)</f>
        <v/>
      </c>
      <c r="AH419" s="2">
        <f>+IF(AC419&lt;&gt;K419,1,0)</f>
        <v/>
      </c>
    </row>
    <row r="420" ht="15" customHeight="1" thickBot="1">
      <c r="A420" s="883" t="inlineStr">
        <is>
          <t>CARNE/CERTIFICADO INTERNACIONAL DE VACUNACIÓN</t>
        </is>
      </c>
      <c r="B420" s="967" t="n"/>
      <c r="C420" s="1165">
        <f>+C360+C297</f>
        <v/>
      </c>
      <c r="D420" s="1165">
        <f>D297</f>
        <v/>
      </c>
      <c r="E420" s="1112">
        <f>+E360</f>
        <v/>
      </c>
      <c r="F420" s="1112">
        <f>+F360</f>
        <v/>
      </c>
      <c r="G420" s="1112">
        <f>+G360</f>
        <v/>
      </c>
      <c r="H420" s="1112">
        <f>+H360</f>
        <v/>
      </c>
      <c r="I420" s="1112">
        <f>+I360</f>
        <v/>
      </c>
      <c r="J420" s="1112">
        <f>+I360</f>
        <v/>
      </c>
      <c r="K420" s="1152">
        <f>+K360+I297</f>
        <v/>
      </c>
      <c r="L420" s="1166">
        <f>+L360+J297</f>
        <v/>
      </c>
      <c r="M420" s="1101" t="n"/>
      <c r="N420" s="1101" t="n"/>
      <c r="O420" s="1101" t="n"/>
      <c r="P420" s="4" t="n"/>
      <c r="Q420" s="1124">
        <f>+Q360+Q297</f>
        <v/>
      </c>
      <c r="R420" s="1165">
        <f>+R360+R297</f>
        <v/>
      </c>
      <c r="S420" s="1165">
        <f>+S360+S297</f>
        <v/>
      </c>
      <c r="T420" s="1165">
        <f>+T360+T297</f>
        <v/>
      </c>
      <c r="U420" s="1165">
        <f>+U360+U297</f>
        <v/>
      </c>
      <c r="V420" s="1165">
        <f>+V360+V297</f>
        <v/>
      </c>
      <c r="W420" s="1165">
        <f>+W360+W297</f>
        <v/>
      </c>
      <c r="X420" s="1165">
        <f>+X360+X297</f>
        <v/>
      </c>
      <c r="Y420" s="1165">
        <f>+Y360+Y297</f>
        <v/>
      </c>
      <c r="Z420" s="1165">
        <f>+Z360+Z297</f>
        <v/>
      </c>
      <c r="AA420" s="1165">
        <f>+AA360+AA297</f>
        <v/>
      </c>
      <c r="AB420" s="1165">
        <f>+AB360+AB297</f>
        <v/>
      </c>
      <c r="AC420" s="1051">
        <f>SUM(Q420:AB420)</f>
        <v/>
      </c>
      <c r="AH420" s="2">
        <f>+IF(AC420&lt;&gt;K420,1,0)</f>
        <v/>
      </c>
    </row>
    <row r="421" ht="15" customHeight="1" thickBot="1">
      <c r="A421" s="883" t="inlineStr">
        <is>
          <t>TARJETAS UNIFICADAS DE VACUNACION -TUV ADULTOS</t>
        </is>
      </c>
      <c r="B421" s="967" t="n"/>
      <c r="C421" s="1165">
        <f>+C361+C298</f>
        <v/>
      </c>
      <c r="D421" s="1165">
        <f>+D298</f>
        <v/>
      </c>
      <c r="E421" s="1112">
        <f>+E361</f>
        <v/>
      </c>
      <c r="F421" s="1112">
        <f>+F361</f>
        <v/>
      </c>
      <c r="G421" s="1112">
        <f>+G361</f>
        <v/>
      </c>
      <c r="H421" s="1112">
        <f>+H361</f>
        <v/>
      </c>
      <c r="I421" s="1112">
        <f>+I361</f>
        <v/>
      </c>
      <c r="J421" s="1112">
        <f>+I361</f>
        <v/>
      </c>
      <c r="K421" s="1152">
        <f>+K361+I298</f>
        <v/>
      </c>
      <c r="L421" s="1166">
        <f>+L361+J298</f>
        <v/>
      </c>
      <c r="M421" s="1101" t="n"/>
      <c r="N421" s="1101" t="n"/>
      <c r="O421" s="1101" t="n"/>
      <c r="P421" s="4" t="n"/>
      <c r="Q421" s="1124">
        <f>+Q361+Q298</f>
        <v/>
      </c>
      <c r="R421" s="1165">
        <f>+R361+R298</f>
        <v/>
      </c>
      <c r="S421" s="1165">
        <f>+S361+S298</f>
        <v/>
      </c>
      <c r="T421" s="1165">
        <f>+T361+T298</f>
        <v/>
      </c>
      <c r="U421" s="1165">
        <f>+U361+U298</f>
        <v/>
      </c>
      <c r="V421" s="1165">
        <f>+V361+V298</f>
        <v/>
      </c>
      <c r="W421" s="1165">
        <f>+W361+W298</f>
        <v/>
      </c>
      <c r="X421" s="1165">
        <f>+X361+X298</f>
        <v/>
      </c>
      <c r="Y421" s="1165">
        <f>+Y361+Y298</f>
        <v/>
      </c>
      <c r="Z421" s="1165">
        <f>+Z361+Z298</f>
        <v/>
      </c>
      <c r="AA421" s="1165">
        <f>+AA361+AA298</f>
        <v/>
      </c>
      <c r="AB421" s="1165">
        <f>+AB361+AB298</f>
        <v/>
      </c>
      <c r="AC421" s="1051">
        <f>SUM(Q421:AB421)</f>
        <v/>
      </c>
      <c r="AH421" s="2">
        <f>+IF(AC421&lt;&gt;K421,1,0)</f>
        <v/>
      </c>
    </row>
    <row r="422" ht="15.75" customHeight="1" thickBot="1">
      <c r="A422" s="895" t="inlineStr">
        <is>
          <t>TARJETAS UNIFICADAS DE VACUNACION -TUV NIÑOS</t>
        </is>
      </c>
      <c r="B422" s="1076" t="n"/>
      <c r="C422" s="1171">
        <f>+C362+C299</f>
        <v/>
      </c>
      <c r="D422" s="1171">
        <f>+D299</f>
        <v/>
      </c>
      <c r="E422" s="1177">
        <f>+E362</f>
        <v/>
      </c>
      <c r="F422" s="1177">
        <f>+F362</f>
        <v/>
      </c>
      <c r="G422" s="1177">
        <f>+G362</f>
        <v/>
      </c>
      <c r="H422" s="1177">
        <f>+H362</f>
        <v/>
      </c>
      <c r="I422" s="1112">
        <f>+I362</f>
        <v/>
      </c>
      <c r="J422" s="1177">
        <f>+I362</f>
        <v/>
      </c>
      <c r="K422" s="1178">
        <f>+K362+I299</f>
        <v/>
      </c>
      <c r="L422" s="1166">
        <f>+L362+J299</f>
        <v/>
      </c>
      <c r="M422" s="1101" t="n"/>
      <c r="N422" s="1101" t="n"/>
      <c r="O422" s="1101" t="n"/>
      <c r="P422" s="4" t="n"/>
      <c r="Q422" s="1126">
        <f>+Q362+Q299</f>
        <v/>
      </c>
      <c r="R422" s="1171">
        <f>+R362+R299</f>
        <v/>
      </c>
      <c r="S422" s="1171">
        <f>+S362+S299</f>
        <v/>
      </c>
      <c r="T422" s="1171">
        <f>+T362+T299</f>
        <v/>
      </c>
      <c r="U422" s="1171">
        <f>+U362+U299</f>
        <v/>
      </c>
      <c r="V422" s="1171">
        <f>+V362+V299</f>
        <v/>
      </c>
      <c r="W422" s="1171">
        <f>+W362+W299</f>
        <v/>
      </c>
      <c r="X422" s="1171">
        <f>+X362+X299</f>
        <v/>
      </c>
      <c r="Y422" s="1171">
        <f>+Y362+Y299</f>
        <v/>
      </c>
      <c r="Z422" s="1171">
        <f>+Z362+Z299</f>
        <v/>
      </c>
      <c r="AA422" s="1171">
        <f>+AA362+AA299</f>
        <v/>
      </c>
      <c r="AB422" s="1171">
        <f>+AB362+AB299</f>
        <v/>
      </c>
      <c r="AC422" s="1051">
        <f>SUM(Q422:AB422)</f>
        <v/>
      </c>
      <c r="AH422" s="2">
        <f>+IF(AC422&lt;&gt;K422,1,0)</f>
        <v/>
      </c>
    </row>
  </sheetData>
  <mergeCells count="1221">
    <mergeCell ref="A412:B412"/>
    <mergeCell ref="A271:B276"/>
    <mergeCell ref="Z176:Z180"/>
    <mergeCell ref="Z170:Z174"/>
    <mergeCell ref="AB176:AB180"/>
    <mergeCell ref="AB170:AB174"/>
    <mergeCell ref="A50:B55"/>
    <mergeCell ref="A349:B349"/>
    <mergeCell ref="Q201:Q205"/>
    <mergeCell ref="AC152:AC156"/>
    <mergeCell ref="A80:B85"/>
    <mergeCell ref="Y246:Y250"/>
    <mergeCell ref="J50:J54"/>
    <mergeCell ref="AB367:AB369"/>
    <mergeCell ref="E225:E229"/>
    <mergeCell ref="G225:G229"/>
    <mergeCell ref="A315:B315"/>
    <mergeCell ref="I176:I180"/>
    <mergeCell ref="AA62:AA66"/>
    <mergeCell ref="Q86:Q90"/>
    <mergeCell ref="W219:W223"/>
    <mergeCell ref="D201:D205"/>
    <mergeCell ref="E56:E60"/>
    <mergeCell ref="Y104:Y108"/>
    <mergeCell ref="G56:G60"/>
    <mergeCell ref="Q104:Q108"/>
    <mergeCell ref="AA104:AA108"/>
    <mergeCell ref="D182:D186"/>
    <mergeCell ref="F182:F186"/>
    <mergeCell ref="Q140:Q144"/>
    <mergeCell ref="T189:T193"/>
    <mergeCell ref="W283:W287"/>
    <mergeCell ref="E164:E168"/>
    <mergeCell ref="AA14:AA18"/>
    <mergeCell ref="G164:G168"/>
    <mergeCell ref="J116:J120"/>
    <mergeCell ref="D246:D250"/>
    <mergeCell ref="F246:F250"/>
    <mergeCell ref="I207:I211"/>
    <mergeCell ref="C74:C78"/>
    <mergeCell ref="T240:T244"/>
    <mergeCell ref="AC134:AC138"/>
    <mergeCell ref="G9:I9"/>
    <mergeCell ref="V240:V244"/>
    <mergeCell ref="R207:R211"/>
    <mergeCell ref="AA170:AA174"/>
    <mergeCell ref="X240:X244"/>
    <mergeCell ref="AC170:AC174"/>
    <mergeCell ref="C116:C120"/>
    <mergeCell ref="A231:B231"/>
    <mergeCell ref="A333:B333"/>
    <mergeCell ref="U74:U78"/>
    <mergeCell ref="H152:H156"/>
    <mergeCell ref="C26:C30"/>
    <mergeCell ref="R271:R275"/>
    <mergeCell ref="W201:W205"/>
    <mergeCell ref="H176:H180"/>
    <mergeCell ref="T271:T275"/>
    <mergeCell ref="Y201:Y205"/>
    <mergeCell ref="J176:J180"/>
    <mergeCell ref="J152:J156"/>
    <mergeCell ref="Z62:Z66"/>
    <mergeCell ref="J170:J174"/>
    <mergeCell ref="X62:X66"/>
    <mergeCell ref="Z56:Z60"/>
    <mergeCell ref="AB56:AB60"/>
    <mergeCell ref="A362:B362"/>
    <mergeCell ref="R80:R84"/>
    <mergeCell ref="D219:D223"/>
    <mergeCell ref="G146:G150"/>
    <mergeCell ref="T80:T84"/>
    <mergeCell ref="C182:C186"/>
    <mergeCell ref="A337:B337"/>
    <mergeCell ref="E182:E186"/>
    <mergeCell ref="I146:I150"/>
    <mergeCell ref="R232:R238"/>
    <mergeCell ref="AA246:AA250"/>
    <mergeCell ref="T232:T238"/>
    <mergeCell ref="W140:W144"/>
    <mergeCell ref="V232:V238"/>
    <mergeCell ref="D283:D287"/>
    <mergeCell ref="F38:F42"/>
    <mergeCell ref="A339:B339"/>
    <mergeCell ref="C213:C217"/>
    <mergeCell ref="D74:D78"/>
    <mergeCell ref="D68:D72"/>
    <mergeCell ref="A359:B359"/>
    <mergeCell ref="G110:G114"/>
    <mergeCell ref="Q207:Q211"/>
    <mergeCell ref="I110:I114"/>
    <mergeCell ref="V26:V30"/>
    <mergeCell ref="C306:C309"/>
    <mergeCell ref="A86:B91"/>
    <mergeCell ref="S92:S96"/>
    <mergeCell ref="A213:B218"/>
    <mergeCell ref="Q128:Q132"/>
    <mergeCell ref="U92:U96"/>
    <mergeCell ref="V258:V263"/>
    <mergeCell ref="X26:X30"/>
    <mergeCell ref="V189:V193"/>
    <mergeCell ref="X258:X263"/>
    <mergeCell ref="Z258:Z263"/>
    <mergeCell ref="A413:B413"/>
    <mergeCell ref="Z128:Z132"/>
    <mergeCell ref="X164:X168"/>
    <mergeCell ref="S265:S269"/>
    <mergeCell ref="Y56:Y60"/>
    <mergeCell ref="U265:U269"/>
    <mergeCell ref="Z146:Z150"/>
    <mergeCell ref="X182:X186"/>
    <mergeCell ref="AB146:AB150"/>
    <mergeCell ref="R195:R199"/>
    <mergeCell ref="A415:B415"/>
    <mergeCell ref="A152:B157"/>
    <mergeCell ref="AA289:AA293"/>
    <mergeCell ref="E366:F366"/>
    <mergeCell ref="AC289:AC293"/>
    <mergeCell ref="U158:U162"/>
    <mergeCell ref="Y283:Y287"/>
    <mergeCell ref="T213:T217"/>
    <mergeCell ref="Z246:Z250"/>
    <mergeCell ref="V213:V217"/>
    <mergeCell ref="C14:C18"/>
    <mergeCell ref="A289:B294"/>
    <mergeCell ref="E14:E18"/>
    <mergeCell ref="Z50:Z54"/>
    <mergeCell ref="D140:D144"/>
    <mergeCell ref="AB50:AB54"/>
    <mergeCell ref="R289:R293"/>
    <mergeCell ref="Y176:Y180"/>
    <mergeCell ref="E128:E132"/>
    <mergeCell ref="J289:J293"/>
    <mergeCell ref="Q225:Q229"/>
    <mergeCell ref="AA176:AA180"/>
    <mergeCell ref="G128:G132"/>
    <mergeCell ref="S176:S180"/>
    <mergeCell ref="AB110:AB114"/>
    <mergeCell ref="T50:T54"/>
    <mergeCell ref="V44:V48"/>
    <mergeCell ref="T44:T48"/>
    <mergeCell ref="J68:J72"/>
    <mergeCell ref="U170:U174"/>
    <mergeCell ref="U122:U126"/>
    <mergeCell ref="E170:E174"/>
    <mergeCell ref="I134:I138"/>
    <mergeCell ref="AA367:AA369"/>
    <mergeCell ref="C134:C138"/>
    <mergeCell ref="S367:S369"/>
    <mergeCell ref="A352:B352"/>
    <mergeCell ref="Q122:Q126"/>
    <mergeCell ref="C201:C205"/>
    <mergeCell ref="D62:D66"/>
    <mergeCell ref="D122:D126"/>
    <mergeCell ref="R86:R90"/>
    <mergeCell ref="F62:F66"/>
    <mergeCell ref="F122:F126"/>
    <mergeCell ref="J86:J90"/>
    <mergeCell ref="D56:D60"/>
    <mergeCell ref="F56:F60"/>
    <mergeCell ref="X20:X24"/>
    <mergeCell ref="A383:B383"/>
    <mergeCell ref="A334:B334"/>
    <mergeCell ref="AA252:AA256"/>
    <mergeCell ref="X14:X18"/>
    <mergeCell ref="Z14:Z18"/>
    <mergeCell ref="A370:B370"/>
    <mergeCell ref="Y140:Y144"/>
    <mergeCell ref="E246:E250"/>
    <mergeCell ref="AB128:AB132"/>
    <mergeCell ref="G246:G250"/>
    <mergeCell ref="Q368:Q369"/>
    <mergeCell ref="AA110:AA114"/>
    <mergeCell ref="R152:R156"/>
    <mergeCell ref="S44:S48"/>
    <mergeCell ref="U240:U244"/>
    <mergeCell ref="W240:W244"/>
    <mergeCell ref="T195:T199"/>
    <mergeCell ref="A378:B378"/>
    <mergeCell ref="T307:T309"/>
    <mergeCell ref="V195:V199"/>
    <mergeCell ref="A140:B145"/>
    <mergeCell ref="V307:V309"/>
    <mergeCell ref="J219:J223"/>
    <mergeCell ref="Z80:Z84"/>
    <mergeCell ref="Q271:Q275"/>
    <mergeCell ref="D26:D30"/>
    <mergeCell ref="S271:S275"/>
    <mergeCell ref="X201:X205"/>
    <mergeCell ref="Y62:Y66"/>
    <mergeCell ref="T38:T42"/>
    <mergeCell ref="Q213:Q217"/>
    <mergeCell ref="S213:S217"/>
    <mergeCell ref="I213:I217"/>
    <mergeCell ref="E306:F306"/>
    <mergeCell ref="F146:F150"/>
    <mergeCell ref="H146:H150"/>
    <mergeCell ref="G306:H306"/>
    <mergeCell ref="F277:F281"/>
    <mergeCell ref="X98:X102"/>
    <mergeCell ref="T10:T12"/>
    <mergeCell ref="W158:W162"/>
    <mergeCell ref="V10:V12"/>
    <mergeCell ref="S232:S238"/>
    <mergeCell ref="V140:V144"/>
    <mergeCell ref="U232:U238"/>
    <mergeCell ref="X140:X144"/>
    <mergeCell ref="AC92:AC96"/>
    <mergeCell ref="E38:E42"/>
    <mergeCell ref="G38:G42"/>
    <mergeCell ref="E201:E205"/>
    <mergeCell ref="F110:F114"/>
    <mergeCell ref="J74:J78"/>
    <mergeCell ref="H110:H114"/>
    <mergeCell ref="S195:S199"/>
    <mergeCell ref="T92:T96"/>
    <mergeCell ref="U195:U199"/>
    <mergeCell ref="U307:U309"/>
    <mergeCell ref="A358:B358"/>
    <mergeCell ref="E86:E90"/>
    <mergeCell ref="Q258:Q263"/>
    <mergeCell ref="AB195:AB199"/>
    <mergeCell ref="E80:E84"/>
    <mergeCell ref="AB189:AB193"/>
    <mergeCell ref="G80:G84"/>
    <mergeCell ref="E104:E108"/>
    <mergeCell ref="G104:G108"/>
    <mergeCell ref="A422:B422"/>
    <mergeCell ref="A360:B360"/>
    <mergeCell ref="A26:B31"/>
    <mergeCell ref="A219:B224"/>
    <mergeCell ref="T158:T162"/>
    <mergeCell ref="AB289:AB293"/>
    <mergeCell ref="V158:V162"/>
    <mergeCell ref="T289:T293"/>
    <mergeCell ref="Q9:AB9"/>
    <mergeCell ref="D14:D18"/>
    <mergeCell ref="D207:D211"/>
    <mergeCell ref="F207:F211"/>
    <mergeCell ref="A385:B385"/>
    <mergeCell ref="D128:D132"/>
    <mergeCell ref="X176:X180"/>
    <mergeCell ref="H92:H96"/>
    <mergeCell ref="F128:F132"/>
    <mergeCell ref="AC110:AC114"/>
    <mergeCell ref="J92:J96"/>
    <mergeCell ref="U50:U54"/>
    <mergeCell ref="R176:R180"/>
    <mergeCell ref="S50:S54"/>
    <mergeCell ref="I74:I78"/>
    <mergeCell ref="A384:B384"/>
    <mergeCell ref="W44:W48"/>
    <mergeCell ref="U44:U48"/>
    <mergeCell ref="T122:T126"/>
    <mergeCell ref="X86:X90"/>
    <mergeCell ref="H134:H138"/>
    <mergeCell ref="F265:F269"/>
    <mergeCell ref="V122:V126"/>
    <mergeCell ref="Z86:Z90"/>
    <mergeCell ref="H265:H269"/>
    <mergeCell ref="AC9:AC12"/>
    <mergeCell ref="AE9:AE12"/>
    <mergeCell ref="F252:F256"/>
    <mergeCell ref="AB213:AB217"/>
    <mergeCell ref="A321:B321"/>
    <mergeCell ref="H252:H256"/>
    <mergeCell ref="Q146:Q150"/>
    <mergeCell ref="AB80:AB84"/>
    <mergeCell ref="D80:D84"/>
    <mergeCell ref="A386:B386"/>
    <mergeCell ref="E20:E24"/>
    <mergeCell ref="AC189:AC193"/>
    <mergeCell ref="A373:B373"/>
    <mergeCell ref="E122:E126"/>
    <mergeCell ref="V38:V42"/>
    <mergeCell ref="E367:E369"/>
    <mergeCell ref="A323:B323"/>
    <mergeCell ref="F283:F287"/>
    <mergeCell ref="G122:G126"/>
    <mergeCell ref="W20:W24"/>
    <mergeCell ref="Y14:Y18"/>
    <mergeCell ref="Y207:Y211"/>
    <mergeCell ref="AC240:AC244"/>
    <mergeCell ref="D225:D229"/>
    <mergeCell ref="AA207:AA211"/>
    <mergeCell ref="Y128:Y132"/>
    <mergeCell ref="AA128:AA132"/>
    <mergeCell ref="R26:R30"/>
    <mergeCell ref="R219:R223"/>
    <mergeCell ref="T26:T30"/>
    <mergeCell ref="G92:G96"/>
    <mergeCell ref="J26:J30"/>
    <mergeCell ref="Q152:Q156"/>
    <mergeCell ref="G152:G156"/>
    <mergeCell ref="I92:I96"/>
    <mergeCell ref="AA271:AA275"/>
    <mergeCell ref="V104:V108"/>
    <mergeCell ref="S152:S156"/>
    <mergeCell ref="X104:X108"/>
    <mergeCell ref="AC271:AC275"/>
    <mergeCell ref="H367:H369"/>
    <mergeCell ref="AC265:AC269"/>
    <mergeCell ref="AA265:AA269"/>
    <mergeCell ref="Z20:Z24"/>
    <mergeCell ref="AC252:AC256"/>
    <mergeCell ref="I219:I223"/>
    <mergeCell ref="V146:V150"/>
    <mergeCell ref="Y80:Y84"/>
    <mergeCell ref="AA80:AA84"/>
    <mergeCell ref="A355:B355"/>
    <mergeCell ref="V277:V281"/>
    <mergeCell ref="J9:J12"/>
    <mergeCell ref="X277:X281"/>
    <mergeCell ref="Q308:Q309"/>
    <mergeCell ref="F14:F18"/>
    <mergeCell ref="C140:C144"/>
    <mergeCell ref="Z367:Z369"/>
    <mergeCell ref="AA232:AA238"/>
    <mergeCell ref="A32:B37"/>
    <mergeCell ref="A397:B397"/>
    <mergeCell ref="AC232:AC238"/>
    <mergeCell ref="AC98:AC102"/>
    <mergeCell ref="A134:B139"/>
    <mergeCell ref="U98:U102"/>
    <mergeCell ref="H213:H217"/>
    <mergeCell ref="U38:U42"/>
    <mergeCell ref="W98:W102"/>
    <mergeCell ref="J213:J217"/>
    <mergeCell ref="W38:W42"/>
    <mergeCell ref="W225:W229"/>
    <mergeCell ref="U10:U12"/>
    <mergeCell ref="W10:W12"/>
    <mergeCell ref="Y225:Y229"/>
    <mergeCell ref="A240:B245"/>
    <mergeCell ref="H240:H244"/>
    <mergeCell ref="Q134:Q138"/>
    <mergeCell ref="AB92:AB96"/>
    <mergeCell ref="J240:J244"/>
    <mergeCell ref="A374:B374"/>
    <mergeCell ref="S134:S138"/>
    <mergeCell ref="V68:V72"/>
    <mergeCell ref="G170:G174"/>
    <mergeCell ref="H44:H48"/>
    <mergeCell ref="I195:I199"/>
    <mergeCell ref="A361:B361"/>
    <mergeCell ref="J44:J48"/>
    <mergeCell ref="A98:B103"/>
    <mergeCell ref="A311:B311"/>
    <mergeCell ref="G367:G369"/>
    <mergeCell ref="F271:F275"/>
    <mergeCell ref="W164:W168"/>
    <mergeCell ref="H271:H275"/>
    <mergeCell ref="Y164:Y168"/>
    <mergeCell ref="Y20:Y24"/>
    <mergeCell ref="D86:D90"/>
    <mergeCell ref="A392:B392"/>
    <mergeCell ref="AA195:AA199"/>
    <mergeCell ref="F80:F84"/>
    <mergeCell ref="D104:D108"/>
    <mergeCell ref="F104:F108"/>
    <mergeCell ref="A110:B115"/>
    <mergeCell ref="S116:S120"/>
    <mergeCell ref="U116:U120"/>
    <mergeCell ref="F232:F238"/>
    <mergeCell ref="H232:H238"/>
    <mergeCell ref="AA26:AA30"/>
    <mergeCell ref="AC26:AC30"/>
    <mergeCell ref="V225:V229"/>
    <mergeCell ref="S289:S293"/>
    <mergeCell ref="AC44:AC48"/>
    <mergeCell ref="U289:U293"/>
    <mergeCell ref="A387:B387"/>
    <mergeCell ref="AA68:AA72"/>
    <mergeCell ref="C207:C211"/>
    <mergeCell ref="S68:S72"/>
    <mergeCell ref="H32:H36"/>
    <mergeCell ref="J32:J36"/>
    <mergeCell ref="E207:E211"/>
    <mergeCell ref="A189:B194"/>
    <mergeCell ref="R134:R138"/>
    <mergeCell ref="F195:F199"/>
    <mergeCell ref="U68:U72"/>
    <mergeCell ref="X252:X256"/>
    <mergeCell ref="T219:T223"/>
    <mergeCell ref="H195:H199"/>
    <mergeCell ref="R50:R54"/>
    <mergeCell ref="H307:H309"/>
    <mergeCell ref="U182:U186"/>
    <mergeCell ref="J307:J309"/>
    <mergeCell ref="J189:J193"/>
    <mergeCell ref="A345:B345"/>
    <mergeCell ref="A316:B316"/>
    <mergeCell ref="D258:D263"/>
    <mergeCell ref="E271:E275"/>
    <mergeCell ref="D366:D369"/>
    <mergeCell ref="J201:J205"/>
    <mergeCell ref="W86:W90"/>
    <mergeCell ref="Y86:Y90"/>
    <mergeCell ref="T283:T287"/>
    <mergeCell ref="G265:G269"/>
    <mergeCell ref="Y213:Y217"/>
    <mergeCell ref="V283:V287"/>
    <mergeCell ref="I265:I269"/>
    <mergeCell ref="AA213:AA217"/>
    <mergeCell ref="D164:D168"/>
    <mergeCell ref="G252:G256"/>
    <mergeCell ref="AB74:AB78"/>
    <mergeCell ref="D20:D24"/>
    <mergeCell ref="I252:I256"/>
    <mergeCell ref="R98:R102"/>
    <mergeCell ref="V56:V60"/>
    <mergeCell ref="A376:B376"/>
    <mergeCell ref="G158:G162"/>
    <mergeCell ref="I158:I162"/>
    <mergeCell ref="T116:T120"/>
    <mergeCell ref="A265:B270"/>
    <mergeCell ref="G232:G238"/>
    <mergeCell ref="A313:B313"/>
    <mergeCell ref="I232:I238"/>
    <mergeCell ref="Y152:Y156"/>
    <mergeCell ref="A44:B49"/>
    <mergeCell ref="A405:B405"/>
    <mergeCell ref="AA152:AA156"/>
    <mergeCell ref="X367:X369"/>
    <mergeCell ref="C98:C102"/>
    <mergeCell ref="AC32:AC36"/>
    <mergeCell ref="C225:C229"/>
    <mergeCell ref="H50:H54"/>
    <mergeCell ref="F86:F90"/>
    <mergeCell ref="AC195:AC199"/>
    <mergeCell ref="G176:G180"/>
    <mergeCell ref="I366:K366"/>
    <mergeCell ref="A371:B371"/>
    <mergeCell ref="A342:B342"/>
    <mergeCell ref="AC307:AC309"/>
    <mergeCell ref="I26:I30"/>
    <mergeCell ref="A336:B336"/>
    <mergeCell ref="A232:B239"/>
    <mergeCell ref="A407:B407"/>
    <mergeCell ref="S219:S223"/>
    <mergeCell ref="U219:U223"/>
    <mergeCell ref="Z271:Z275"/>
    <mergeCell ref="G189:G193"/>
    <mergeCell ref="U104:U108"/>
    <mergeCell ref="AB271:AB275"/>
    <mergeCell ref="W104:W108"/>
    <mergeCell ref="C56:C60"/>
    <mergeCell ref="C258:C263"/>
    <mergeCell ref="G366:H366"/>
    <mergeCell ref="C366:C369"/>
    <mergeCell ref="A366:B369"/>
    <mergeCell ref="A400:B400"/>
    <mergeCell ref="A344:B344"/>
    <mergeCell ref="S283:S287"/>
    <mergeCell ref="X213:X217"/>
    <mergeCell ref="R189:R193"/>
    <mergeCell ref="C164:C168"/>
    <mergeCell ref="U277:U281"/>
    <mergeCell ref="W277:W281"/>
    <mergeCell ref="AB158:AB162"/>
    <mergeCell ref="A258:B264"/>
    <mergeCell ref="A310:B310"/>
    <mergeCell ref="R308:R309"/>
    <mergeCell ref="U56:U60"/>
    <mergeCell ref="G207:G211"/>
    <mergeCell ref="J20:J24"/>
    <mergeCell ref="A402:B402"/>
    <mergeCell ref="AB232:AB238"/>
    <mergeCell ref="A164:B169"/>
    <mergeCell ref="R240:R244"/>
    <mergeCell ref="W170:W174"/>
    <mergeCell ref="Y170:Y174"/>
    <mergeCell ref="AA50:AA54"/>
    <mergeCell ref="G271:G275"/>
    <mergeCell ref="X225:X229"/>
    <mergeCell ref="AC50:AC54"/>
    <mergeCell ref="Q74:Q78"/>
    <mergeCell ref="S74:S78"/>
    <mergeCell ref="A195:B200"/>
    <mergeCell ref="G44:G48"/>
    <mergeCell ref="S201:S205"/>
    <mergeCell ref="D176:D180"/>
    <mergeCell ref="I44:I48"/>
    <mergeCell ref="I240:I244"/>
    <mergeCell ref="U201:U205"/>
    <mergeCell ref="F176:F180"/>
    <mergeCell ref="Q110:Q114"/>
    <mergeCell ref="AB307:AB309"/>
    <mergeCell ref="R265:R269"/>
    <mergeCell ref="C240:C244"/>
    <mergeCell ref="H170:H174"/>
    <mergeCell ref="F170:F174"/>
    <mergeCell ref="J134:J138"/>
    <mergeCell ref="X56:X60"/>
    <mergeCell ref="A326:B326"/>
    <mergeCell ref="F367:F369"/>
    <mergeCell ref="V164:V168"/>
    <mergeCell ref="E146:E150"/>
    <mergeCell ref="C62:C66"/>
    <mergeCell ref="E62:E66"/>
    <mergeCell ref="W246:W250"/>
    <mergeCell ref="C86:C90"/>
    <mergeCell ref="AC140:AC144"/>
    <mergeCell ref="A68:B73"/>
    <mergeCell ref="H10:H12"/>
    <mergeCell ref="AC158:AC162"/>
    <mergeCell ref="X32:X36"/>
    <mergeCell ref="V116:V120"/>
    <mergeCell ref="U207:U211"/>
    <mergeCell ref="Z32:Z36"/>
    <mergeCell ref="Z26:Z30"/>
    <mergeCell ref="J140:J144"/>
    <mergeCell ref="AB32:AB36"/>
    <mergeCell ref="AB26:AB30"/>
    <mergeCell ref="Q92:Q96"/>
    <mergeCell ref="A332:B332"/>
    <mergeCell ref="R258:R263"/>
    <mergeCell ref="AB44:AB48"/>
    <mergeCell ref="T258:T263"/>
    <mergeCell ref="C152:C156"/>
    <mergeCell ref="E152:E156"/>
    <mergeCell ref="L366:L369"/>
    <mergeCell ref="W265:W269"/>
    <mergeCell ref="AC122:AC126"/>
    <mergeCell ref="T68:T72"/>
    <mergeCell ref="I32:I36"/>
    <mergeCell ref="Q265:Q269"/>
    <mergeCell ref="W252:W256"/>
    <mergeCell ref="G195:G199"/>
    <mergeCell ref="W56:W60"/>
    <mergeCell ref="T182:T186"/>
    <mergeCell ref="X146:X150"/>
    <mergeCell ref="Q252:Q256"/>
    <mergeCell ref="I307:I309"/>
    <mergeCell ref="V182:V186"/>
    <mergeCell ref="E258:E263"/>
    <mergeCell ref="AC38:AC42"/>
    <mergeCell ref="U283:U287"/>
    <mergeCell ref="Z213:Z217"/>
    <mergeCell ref="AA74:AA78"/>
    <mergeCell ref="V246:V250"/>
    <mergeCell ref="R213:R217"/>
    <mergeCell ref="A302:M304"/>
    <mergeCell ref="Q98:Q102"/>
    <mergeCell ref="I98:I102"/>
    <mergeCell ref="A408:B408"/>
    <mergeCell ref="A74:B79"/>
    <mergeCell ref="H158:H162"/>
    <mergeCell ref="Z110:Z114"/>
    <mergeCell ref="W176:W180"/>
    <mergeCell ref="J158:J162"/>
    <mergeCell ref="H289:H293"/>
    <mergeCell ref="D306:D309"/>
    <mergeCell ref="Q366:AB366"/>
    <mergeCell ref="A410:B410"/>
    <mergeCell ref="AE366:AE369"/>
    <mergeCell ref="X152:X156"/>
    <mergeCell ref="Z152:Z156"/>
    <mergeCell ref="W367:W369"/>
    <mergeCell ref="E134:E138"/>
    <mergeCell ref="G134:G138"/>
    <mergeCell ref="Y367:Y369"/>
    <mergeCell ref="AC104:AC108"/>
    <mergeCell ref="E50:E54"/>
    <mergeCell ref="I50:I54"/>
    <mergeCell ref="A122:B127"/>
    <mergeCell ref="G50:G54"/>
    <mergeCell ref="E9:F9"/>
    <mergeCell ref="AC277:AC281"/>
    <mergeCell ref="S10:S12"/>
    <mergeCell ref="AB182:AB186"/>
    <mergeCell ref="T14:T18"/>
    <mergeCell ref="V14:V18"/>
    <mergeCell ref="I189:I193"/>
    <mergeCell ref="S140:S144"/>
    <mergeCell ref="G116:G120"/>
    <mergeCell ref="U140:U144"/>
    <mergeCell ref="I116:I120"/>
    <mergeCell ref="A92:B97"/>
    <mergeCell ref="X128:X132"/>
    <mergeCell ref="C246:C250"/>
    <mergeCell ref="C20:C24"/>
    <mergeCell ref="Y44:Y48"/>
    <mergeCell ref="G289:G293"/>
    <mergeCell ref="Q240:Q244"/>
    <mergeCell ref="A357:B357"/>
    <mergeCell ref="K307:K309"/>
    <mergeCell ref="S240:S244"/>
    <mergeCell ref="V170:V174"/>
    <mergeCell ref="X170:X174"/>
    <mergeCell ref="Z134:Z138"/>
    <mergeCell ref="AB134:AB138"/>
    <mergeCell ref="AC68:AC72"/>
    <mergeCell ref="A329:B329"/>
    <mergeCell ref="F219:F223"/>
    <mergeCell ref="H219:H223"/>
    <mergeCell ref="F50:F54"/>
    <mergeCell ref="R201:R205"/>
    <mergeCell ref="A421:B421"/>
    <mergeCell ref="C176:C180"/>
    <mergeCell ref="T201:T205"/>
    <mergeCell ref="E176:E180"/>
    <mergeCell ref="A158:B163"/>
    <mergeCell ref="U62:U66"/>
    <mergeCell ref="W62:W66"/>
    <mergeCell ref="W122:W126"/>
    <mergeCell ref="A396:B396"/>
    <mergeCell ref="H283:H287"/>
    <mergeCell ref="H277:H281"/>
    <mergeCell ref="Z10:Z12"/>
    <mergeCell ref="J277:J281"/>
    <mergeCell ref="AB10:AB12"/>
    <mergeCell ref="D146:D150"/>
    <mergeCell ref="R68:R72"/>
    <mergeCell ref="AB116:AB120"/>
    <mergeCell ref="A398:B398"/>
    <mergeCell ref="S158:S162"/>
    <mergeCell ref="G182:G186"/>
    <mergeCell ref="R140:R144"/>
    <mergeCell ref="X246:X250"/>
    <mergeCell ref="Q232:Q238"/>
    <mergeCell ref="T140:T144"/>
    <mergeCell ref="I38:I42"/>
    <mergeCell ref="A314:B314"/>
    <mergeCell ref="A335:B335"/>
    <mergeCell ref="C38:C42"/>
    <mergeCell ref="I10:I12"/>
    <mergeCell ref="Y32:Y36"/>
    <mergeCell ref="Q32:Q36"/>
    <mergeCell ref="AA32:AA36"/>
    <mergeCell ref="D110:D114"/>
    <mergeCell ref="S32:S36"/>
    <mergeCell ref="AA219:AA223"/>
    <mergeCell ref="S26:S30"/>
    <mergeCell ref="A38:B43"/>
    <mergeCell ref="AC219:AC223"/>
    <mergeCell ref="Q195:Q199"/>
    <mergeCell ref="R92:R96"/>
    <mergeCell ref="U26:U30"/>
    <mergeCell ref="Q189:Q193"/>
    <mergeCell ref="S258:S263"/>
    <mergeCell ref="S307:S309"/>
    <mergeCell ref="U258:U263"/>
    <mergeCell ref="S189:S193"/>
    <mergeCell ref="I104:I108"/>
    <mergeCell ref="AA283:AA287"/>
    <mergeCell ref="I164:I168"/>
    <mergeCell ref="AC283:AC287"/>
    <mergeCell ref="A188:B188"/>
    <mergeCell ref="S182:S186"/>
    <mergeCell ref="W146:W150"/>
    <mergeCell ref="Y146:Y150"/>
    <mergeCell ref="A324:B324"/>
    <mergeCell ref="A411:B411"/>
    <mergeCell ref="T20:T24"/>
    <mergeCell ref="V289:V293"/>
    <mergeCell ref="V20:V24"/>
    <mergeCell ref="X289:X293"/>
    <mergeCell ref="R158:R162"/>
    <mergeCell ref="Z289:Z293"/>
    <mergeCell ref="U246:U250"/>
    <mergeCell ref="R74:R78"/>
    <mergeCell ref="T74:T78"/>
    <mergeCell ref="A353:B353"/>
    <mergeCell ref="H98:H102"/>
    <mergeCell ref="V201:V205"/>
    <mergeCell ref="A146:B151"/>
    <mergeCell ref="J98:J102"/>
    <mergeCell ref="A277:B282"/>
    <mergeCell ref="J225:J229"/>
    <mergeCell ref="T176:T180"/>
    <mergeCell ref="W110:W114"/>
    <mergeCell ref="V176:V180"/>
    <mergeCell ref="Y110:Y114"/>
    <mergeCell ref="A319:B319"/>
    <mergeCell ref="AC74:AC78"/>
    <mergeCell ref="A252:B257"/>
    <mergeCell ref="I289:I293"/>
    <mergeCell ref="E74:E78"/>
    <mergeCell ref="Q50:Q54"/>
    <mergeCell ref="Q44:Q48"/>
    <mergeCell ref="F92:F96"/>
    <mergeCell ref="Z219:Z223"/>
    <mergeCell ref="D134:D138"/>
    <mergeCell ref="R122:R126"/>
    <mergeCell ref="AB219:AB223"/>
    <mergeCell ref="G68:G72"/>
    <mergeCell ref="J56:J60"/>
    <mergeCell ref="X80:X84"/>
    <mergeCell ref="I182:I186"/>
    <mergeCell ref="Y189:Y193"/>
    <mergeCell ref="I246:I250"/>
    <mergeCell ref="C122:C126"/>
    <mergeCell ref="G213:G217"/>
    <mergeCell ref="S20:S24"/>
    <mergeCell ref="A379:B379"/>
    <mergeCell ref="A330:B330"/>
    <mergeCell ref="V252:V256"/>
    <mergeCell ref="U14:U18"/>
    <mergeCell ref="H189:H193"/>
    <mergeCell ref="F116:F120"/>
    <mergeCell ref="W207:W211"/>
    <mergeCell ref="W14:W18"/>
    <mergeCell ref="H116:H120"/>
    <mergeCell ref="W128:W132"/>
    <mergeCell ref="AA92:AA96"/>
    <mergeCell ref="A381:B381"/>
    <mergeCell ref="C92:C96"/>
    <mergeCell ref="Z74:Z78"/>
    <mergeCell ref="H26:H30"/>
    <mergeCell ref="X110:X114"/>
    <mergeCell ref="F289:F293"/>
    <mergeCell ref="AB201:AB205"/>
    <mergeCell ref="Y271:Y275"/>
    <mergeCell ref="Y134:Y138"/>
    <mergeCell ref="AC62:AC66"/>
    <mergeCell ref="Y265:Y269"/>
    <mergeCell ref="AB68:AB72"/>
    <mergeCell ref="R44:R48"/>
    <mergeCell ref="Y252:Y256"/>
    <mergeCell ref="E219:E223"/>
    <mergeCell ref="R146:R150"/>
    <mergeCell ref="U80:U84"/>
    <mergeCell ref="G219:G223"/>
    <mergeCell ref="T146:T150"/>
    <mergeCell ref="J146:J150"/>
    <mergeCell ref="W80:W84"/>
    <mergeCell ref="T277:T281"/>
    <mergeCell ref="T62:T66"/>
    <mergeCell ref="C104:C108"/>
    <mergeCell ref="V367:V369"/>
    <mergeCell ref="W232:W238"/>
    <mergeCell ref="Y232:Y238"/>
    <mergeCell ref="G283:G287"/>
    <mergeCell ref="Y98:Y102"/>
    <mergeCell ref="Q38:Q42"/>
    <mergeCell ref="I283:I287"/>
    <mergeCell ref="Y10:Y12"/>
    <mergeCell ref="D213:D217"/>
    <mergeCell ref="AA98:AA102"/>
    <mergeCell ref="I277:I281"/>
    <mergeCell ref="F213:F217"/>
    <mergeCell ref="C146:C150"/>
    <mergeCell ref="S98:S102"/>
    <mergeCell ref="S38:S42"/>
    <mergeCell ref="AA116:AA120"/>
    <mergeCell ref="C277:C281"/>
    <mergeCell ref="U225:U229"/>
    <mergeCell ref="F134:F138"/>
    <mergeCell ref="AB207:AB211"/>
    <mergeCell ref="AC116:AC120"/>
    <mergeCell ref="I68:I72"/>
    <mergeCell ref="T207:T211"/>
    <mergeCell ref="A350:B350"/>
    <mergeCell ref="F240:F244"/>
    <mergeCell ref="A283:B288"/>
    <mergeCell ref="T128:T132"/>
    <mergeCell ref="V128:V132"/>
    <mergeCell ref="Z92:Z96"/>
    <mergeCell ref="AA258:AA263"/>
    <mergeCell ref="X92:X96"/>
    <mergeCell ref="A325:B325"/>
    <mergeCell ref="AC258:AC263"/>
    <mergeCell ref="AA189:AA193"/>
    <mergeCell ref="I367:I369"/>
    <mergeCell ref="A56:B61"/>
    <mergeCell ref="A417:B417"/>
    <mergeCell ref="K367:K369"/>
    <mergeCell ref="A343:B343"/>
    <mergeCell ref="R32:R36"/>
    <mergeCell ref="AA164:AA168"/>
    <mergeCell ref="AC164:AC168"/>
    <mergeCell ref="X265:X269"/>
    <mergeCell ref="G201:G205"/>
    <mergeCell ref="U164:U168"/>
    <mergeCell ref="Z265:Z269"/>
    <mergeCell ref="I201:I205"/>
    <mergeCell ref="C110:C114"/>
    <mergeCell ref="E110:E114"/>
    <mergeCell ref="AC182:AC186"/>
    <mergeCell ref="H62:H66"/>
    <mergeCell ref="J62:J66"/>
    <mergeCell ref="A354:B354"/>
    <mergeCell ref="J258:J263"/>
    <mergeCell ref="U20:U24"/>
    <mergeCell ref="C9:C12"/>
    <mergeCell ref="W195:W199"/>
    <mergeCell ref="A419:B419"/>
    <mergeCell ref="H104:H108"/>
    <mergeCell ref="AB283:AB287"/>
    <mergeCell ref="J164:J168"/>
    <mergeCell ref="Q116:Q120"/>
    <mergeCell ref="A418:B418"/>
    <mergeCell ref="C189:C193"/>
    <mergeCell ref="A356:B356"/>
    <mergeCell ref="H14:H18"/>
    <mergeCell ref="AA134:AA138"/>
    <mergeCell ref="G140:G144"/>
    <mergeCell ref="I140:I144"/>
    <mergeCell ref="R225:R229"/>
    <mergeCell ref="W289:W293"/>
    <mergeCell ref="Q158:Q162"/>
    <mergeCell ref="Y289:Y293"/>
    <mergeCell ref="Y240:Y244"/>
    <mergeCell ref="Q289:Q293"/>
    <mergeCell ref="AA240:AA244"/>
    <mergeCell ref="AA44:AA48"/>
    <mergeCell ref="Y68:Y72"/>
    <mergeCell ref="Q68:Q72"/>
    <mergeCell ref="D195:D199"/>
    <mergeCell ref="E92:E96"/>
    <mergeCell ref="C128:C132"/>
    <mergeCell ref="F307:F309"/>
    <mergeCell ref="F189:F193"/>
    <mergeCell ref="A380:B380"/>
    <mergeCell ref="S86:S90"/>
    <mergeCell ref="G62:G66"/>
    <mergeCell ref="F201:F205"/>
    <mergeCell ref="U86:U90"/>
    <mergeCell ref="F68:F72"/>
    <mergeCell ref="C271:C275"/>
    <mergeCell ref="H201:H205"/>
    <mergeCell ref="I56:I60"/>
    <mergeCell ref="A372:B372"/>
    <mergeCell ref="C265:C269"/>
    <mergeCell ref="A182:B187"/>
    <mergeCell ref="I122:I126"/>
    <mergeCell ref="E265:E269"/>
    <mergeCell ref="A225:B230"/>
    <mergeCell ref="C252:C256"/>
    <mergeCell ref="H182:H186"/>
    <mergeCell ref="E252:E256"/>
    <mergeCell ref="A382:B382"/>
    <mergeCell ref="J182:J186"/>
    <mergeCell ref="R11:R12"/>
    <mergeCell ref="A338:B338"/>
    <mergeCell ref="X189:X193"/>
    <mergeCell ref="AC14:AC18"/>
    <mergeCell ref="Z140:Z144"/>
    <mergeCell ref="AE14:AE18"/>
    <mergeCell ref="E158:E162"/>
    <mergeCell ref="AB140:AB144"/>
    <mergeCell ref="H246:H250"/>
    <mergeCell ref="J246:J250"/>
    <mergeCell ref="C232:C238"/>
    <mergeCell ref="G74:G78"/>
    <mergeCell ref="R20:R24"/>
    <mergeCell ref="E232:E238"/>
    <mergeCell ref="A340:B340"/>
    <mergeCell ref="U152:U156"/>
    <mergeCell ref="Z240:Z244"/>
    <mergeCell ref="V207:V211"/>
    <mergeCell ref="AB240:AB244"/>
    <mergeCell ref="Y195:Y199"/>
    <mergeCell ref="Y307:Y309"/>
    <mergeCell ref="AA307:AA309"/>
    <mergeCell ref="E26:E30"/>
    <mergeCell ref="H6:I6"/>
    <mergeCell ref="G26:G30"/>
    <mergeCell ref="D92:D96"/>
    <mergeCell ref="Q219:Q223"/>
    <mergeCell ref="AB62:AB66"/>
    <mergeCell ref="V271:V275"/>
    <mergeCell ref="AA201:AA205"/>
    <mergeCell ref="D152:D156"/>
    <mergeCell ref="X271:X275"/>
    <mergeCell ref="G258:G263"/>
    <mergeCell ref="AC201:AC205"/>
    <mergeCell ref="E189:E193"/>
    <mergeCell ref="I258:I263"/>
    <mergeCell ref="F152:F156"/>
    <mergeCell ref="S104:S108"/>
    <mergeCell ref="A116:B121"/>
    <mergeCell ref="T86:T90"/>
    <mergeCell ref="D265:D269"/>
    <mergeCell ref="A351:B351"/>
    <mergeCell ref="Q277:Q281"/>
    <mergeCell ref="V80:V84"/>
    <mergeCell ref="S277:S281"/>
    <mergeCell ref="D252:D256"/>
    <mergeCell ref="X158:X162"/>
    <mergeCell ref="Z158:Z162"/>
    <mergeCell ref="Q56:Q60"/>
    <mergeCell ref="AC246:AC250"/>
    <mergeCell ref="H20:H24"/>
    <mergeCell ref="A393:B393"/>
    <mergeCell ref="X232:X238"/>
    <mergeCell ref="A331:B331"/>
    <mergeCell ref="J14:J18"/>
    <mergeCell ref="Z232:Z238"/>
    <mergeCell ref="AA140:AA144"/>
    <mergeCell ref="H38:H42"/>
    <mergeCell ref="S170:S174"/>
    <mergeCell ref="R38:R42"/>
    <mergeCell ref="E213:E217"/>
    <mergeCell ref="F74:F78"/>
    <mergeCell ref="T98:T102"/>
    <mergeCell ref="H74:H78"/>
    <mergeCell ref="A377:B377"/>
    <mergeCell ref="T225:T229"/>
    <mergeCell ref="H68:H72"/>
    <mergeCell ref="J38:J42"/>
    <mergeCell ref="A170:B175"/>
    <mergeCell ref="A420:B420"/>
    <mergeCell ref="A395:B395"/>
    <mergeCell ref="C44:C48"/>
    <mergeCell ref="W92:W96"/>
    <mergeCell ref="E240:E244"/>
    <mergeCell ref="E44:E48"/>
    <mergeCell ref="AB122:AB126"/>
    <mergeCell ref="G240:G244"/>
    <mergeCell ref="Y92:Y96"/>
    <mergeCell ref="C80:C84"/>
    <mergeCell ref="Z189:Z193"/>
    <mergeCell ref="AB258:AB263"/>
    <mergeCell ref="D170:D174"/>
    <mergeCell ref="J80:J84"/>
    <mergeCell ref="I306:K306"/>
    <mergeCell ref="Z164:Z168"/>
    <mergeCell ref="R164:R168"/>
    <mergeCell ref="T164:T168"/>
    <mergeCell ref="I62:I66"/>
    <mergeCell ref="AA20:AA24"/>
    <mergeCell ref="AC20:AC24"/>
    <mergeCell ref="A246:B251"/>
    <mergeCell ref="Y158:Y162"/>
    <mergeCell ref="G14:G18"/>
    <mergeCell ref="R116:R120"/>
    <mergeCell ref="V32:V36"/>
    <mergeCell ref="I14:I18"/>
    <mergeCell ref="Q307:R307"/>
    <mergeCell ref="A346:B346"/>
    <mergeCell ref="F140:F144"/>
    <mergeCell ref="V50:V54"/>
    <mergeCell ref="I128:I132"/>
    <mergeCell ref="S225:S229"/>
    <mergeCell ref="AC176:AC180"/>
    <mergeCell ref="W152:W156"/>
    <mergeCell ref="U176:U180"/>
    <mergeCell ref="A104:B109"/>
    <mergeCell ref="X50:X54"/>
    <mergeCell ref="X44:X48"/>
    <mergeCell ref="Z44:Z48"/>
    <mergeCell ref="A388:B388"/>
    <mergeCell ref="C32:C36"/>
    <mergeCell ref="Y122:Y126"/>
    <mergeCell ref="A14:B19"/>
    <mergeCell ref="D240:D244"/>
    <mergeCell ref="A375:B375"/>
    <mergeCell ref="AC80:AC84"/>
    <mergeCell ref="E32:E36"/>
    <mergeCell ref="G32:G36"/>
    <mergeCell ref="S252:S256"/>
    <mergeCell ref="C195:C199"/>
    <mergeCell ref="C170:C174"/>
    <mergeCell ref="U252:U256"/>
    <mergeCell ref="E195:E199"/>
    <mergeCell ref="S56:S60"/>
    <mergeCell ref="E307:E309"/>
    <mergeCell ref="R182:R186"/>
    <mergeCell ref="A390:B390"/>
    <mergeCell ref="A341:B341"/>
    <mergeCell ref="H122:H126"/>
    <mergeCell ref="Y38:Y42"/>
    <mergeCell ref="Q283:Q287"/>
    <mergeCell ref="J122:J126"/>
    <mergeCell ref="W74:W78"/>
    <mergeCell ref="AA38:AA42"/>
    <mergeCell ref="J367:J369"/>
    <mergeCell ref="R246:R250"/>
    <mergeCell ref="Y74:Y78"/>
    <mergeCell ref="AA10:AA12"/>
    <mergeCell ref="Q11:Q12"/>
    <mergeCell ref="AB20:AB24"/>
    <mergeCell ref="E98:E102"/>
    <mergeCell ref="AB14:AB18"/>
    <mergeCell ref="A305:M305"/>
    <mergeCell ref="G98:G102"/>
    <mergeCell ref="D158:D162"/>
    <mergeCell ref="F158:F162"/>
    <mergeCell ref="A201:B206"/>
    <mergeCell ref="E140:E144"/>
    <mergeCell ref="T152:T156"/>
    <mergeCell ref="A401:B401"/>
    <mergeCell ref="V152:V156"/>
    <mergeCell ref="U367:U369"/>
    <mergeCell ref="A295:B295"/>
    <mergeCell ref="C50:C54"/>
    <mergeCell ref="X195:X199"/>
    <mergeCell ref="X307:X309"/>
    <mergeCell ref="Z195:Z199"/>
    <mergeCell ref="D32:D36"/>
    <mergeCell ref="Z307:Z309"/>
    <mergeCell ref="F32:F36"/>
    <mergeCell ref="M9:M12"/>
    <mergeCell ref="A403:B403"/>
    <mergeCell ref="Y277:Y281"/>
    <mergeCell ref="AA146:AA150"/>
    <mergeCell ref="U271:U275"/>
    <mergeCell ref="F26:F30"/>
    <mergeCell ref="K9:K12"/>
    <mergeCell ref="W271:W275"/>
    <mergeCell ref="R104:R108"/>
    <mergeCell ref="S207:S211"/>
    <mergeCell ref="T104:T108"/>
    <mergeCell ref="J104:J108"/>
    <mergeCell ref="H140:H144"/>
    <mergeCell ref="A296:B296"/>
    <mergeCell ref="X38:X42"/>
    <mergeCell ref="Z38:Z42"/>
    <mergeCell ref="R283:R287"/>
    <mergeCell ref="Z98:Z102"/>
    <mergeCell ref="X10:X12"/>
    <mergeCell ref="R277:R281"/>
    <mergeCell ref="A306:B309"/>
    <mergeCell ref="E116:E120"/>
    <mergeCell ref="AB225:AB229"/>
    <mergeCell ref="AB98:AB102"/>
    <mergeCell ref="AA158:AA162"/>
    <mergeCell ref="G20:G24"/>
    <mergeCell ref="C158:C162"/>
    <mergeCell ref="R170:R174"/>
    <mergeCell ref="G307:G309"/>
    <mergeCell ref="V134:V138"/>
    <mergeCell ref="T170:T174"/>
    <mergeCell ref="X134:X138"/>
    <mergeCell ref="AC128:AC132"/>
    <mergeCell ref="D271:D275"/>
    <mergeCell ref="V86:V90"/>
    <mergeCell ref="J110:J114"/>
    <mergeCell ref="T367:T369"/>
    <mergeCell ref="A20:B25"/>
    <mergeCell ref="D50:D54"/>
    <mergeCell ref="Q62:Q66"/>
    <mergeCell ref="D44:D48"/>
    <mergeCell ref="AA122:AA126"/>
    <mergeCell ref="S62:S66"/>
    <mergeCell ref="F44:F48"/>
    <mergeCell ref="A298:B298"/>
    <mergeCell ref="G86:G90"/>
    <mergeCell ref="I86:I90"/>
    <mergeCell ref="A322:B322"/>
    <mergeCell ref="I80:I84"/>
    <mergeCell ref="A62:B67"/>
    <mergeCell ref="Q164:Q168"/>
    <mergeCell ref="U128:U132"/>
    <mergeCell ref="A414:B414"/>
    <mergeCell ref="S164:S168"/>
    <mergeCell ref="A176:B181"/>
    <mergeCell ref="X116:X120"/>
    <mergeCell ref="Z116:Z120"/>
    <mergeCell ref="A389:B389"/>
    <mergeCell ref="A327:B327"/>
    <mergeCell ref="T246:T250"/>
    <mergeCell ref="A416:B416"/>
    <mergeCell ref="A299:B299"/>
    <mergeCell ref="E10:E12"/>
    <mergeCell ref="R368:R369"/>
    <mergeCell ref="I225:I229"/>
    <mergeCell ref="A391:B391"/>
    <mergeCell ref="U32:U36"/>
    <mergeCell ref="A128:B133"/>
    <mergeCell ref="H207:H211"/>
    <mergeCell ref="W32:W36"/>
    <mergeCell ref="J207:J211"/>
    <mergeCell ref="W26:W30"/>
    <mergeCell ref="Y26:Y30"/>
    <mergeCell ref="H128:H132"/>
    <mergeCell ref="Y219:Y223"/>
    <mergeCell ref="W50:W54"/>
    <mergeCell ref="A328:B328"/>
    <mergeCell ref="J128:J132"/>
    <mergeCell ref="Y50:Y54"/>
    <mergeCell ref="Q26:Q30"/>
    <mergeCell ref="A8:M8"/>
    <mergeCell ref="J271:J275"/>
    <mergeCell ref="X122:X126"/>
    <mergeCell ref="AB86:AB90"/>
    <mergeCell ref="J265:J269"/>
    <mergeCell ref="Z122:Z126"/>
    <mergeCell ref="R252:R256"/>
    <mergeCell ref="R56:R60"/>
    <mergeCell ref="J252:J256"/>
    <mergeCell ref="S146:S150"/>
    <mergeCell ref="AA277:AA281"/>
    <mergeCell ref="T56:T60"/>
    <mergeCell ref="Q182:Q186"/>
    <mergeCell ref="U146:U150"/>
    <mergeCell ref="H80:H84"/>
    <mergeCell ref="I20:I24"/>
    <mergeCell ref="AA56:AA60"/>
    <mergeCell ref="V62:V66"/>
    <mergeCell ref="Q246:Q250"/>
    <mergeCell ref="AB38:AB42"/>
    <mergeCell ref="J283:J287"/>
    <mergeCell ref="S246:S250"/>
    <mergeCell ref="A317:B317"/>
    <mergeCell ref="D38:D42"/>
    <mergeCell ref="D98:D102"/>
    <mergeCell ref="F98:F102"/>
    <mergeCell ref="A409:B409"/>
    <mergeCell ref="S110:S114"/>
    <mergeCell ref="AC207:AC211"/>
    <mergeCell ref="F225:F229"/>
    <mergeCell ref="U110:U114"/>
    <mergeCell ref="H225:H229"/>
    <mergeCell ref="C289:C293"/>
    <mergeCell ref="Q367:R367"/>
    <mergeCell ref="A9:B12"/>
    <mergeCell ref="E289:E293"/>
    <mergeCell ref="A297:B297"/>
    <mergeCell ref="V219:V223"/>
    <mergeCell ref="A406:B406"/>
    <mergeCell ref="C68:C72"/>
    <mergeCell ref="X219:X223"/>
    <mergeCell ref="E68:E72"/>
    <mergeCell ref="Z104:Z108"/>
    <mergeCell ref="H56:H60"/>
    <mergeCell ref="AB104:AB108"/>
    <mergeCell ref="Q306:AB306"/>
    <mergeCell ref="AB164:AB168"/>
    <mergeCell ref="A312:B312"/>
    <mergeCell ref="A404:B404"/>
    <mergeCell ref="U189:U193"/>
    <mergeCell ref="L9:L12"/>
    <mergeCell ref="W189:W193"/>
    <mergeCell ref="F20:F24"/>
    <mergeCell ref="N9:N12"/>
    <mergeCell ref="G10:G12"/>
    <mergeCell ref="Z277:Z281"/>
    <mergeCell ref="D9:D12"/>
    <mergeCell ref="AB277:AB281"/>
    <mergeCell ref="W182:W186"/>
    <mergeCell ref="AE306:AE309"/>
    <mergeCell ref="Q20:Q24"/>
    <mergeCell ref="Q14:Q18"/>
    <mergeCell ref="W307:W309"/>
    <mergeCell ref="D189:D193"/>
    <mergeCell ref="S14:S18"/>
    <mergeCell ref="D116:D120"/>
    <mergeCell ref="AA225:AA229"/>
    <mergeCell ref="S128:S132"/>
    <mergeCell ref="AC225:AC229"/>
    <mergeCell ref="R110:R114"/>
    <mergeCell ref="V74:V78"/>
    <mergeCell ref="I152:I156"/>
    <mergeCell ref="T110:T114"/>
    <mergeCell ref="Q176:Q180"/>
    <mergeCell ref="X74:X78"/>
    <mergeCell ref="V110:V114"/>
    <mergeCell ref="Q170:Q174"/>
    <mergeCell ref="U134:U138"/>
    <mergeCell ref="D289:D293"/>
    <mergeCell ref="Z201:Z205"/>
    <mergeCell ref="I170:I174"/>
    <mergeCell ref="W134:W138"/>
    <mergeCell ref="Z68:Z72"/>
    <mergeCell ref="X68:X72"/>
    <mergeCell ref="AC56:AC60"/>
    <mergeCell ref="A399:B399"/>
    <mergeCell ref="Z182:Z186"/>
    <mergeCell ref="Q80:Q84"/>
    <mergeCell ref="C219:C223"/>
    <mergeCell ref="S80:S84"/>
    <mergeCell ref="R62:R66"/>
    <mergeCell ref="F10:F12"/>
    <mergeCell ref="AB246:AB250"/>
    <mergeCell ref="H86:H90"/>
    <mergeCell ref="C283:C287"/>
    <mergeCell ref="E283:E287"/>
    <mergeCell ref="E277:E281"/>
    <mergeCell ref="G277:G281"/>
    <mergeCell ref="W116:W120"/>
    <mergeCell ref="A394:B394"/>
    <mergeCell ref="Y116:Y120"/>
    <mergeCell ref="X207:X211"/>
    <mergeCell ref="J232:J238"/>
    <mergeCell ref="Z207:Z211"/>
    <mergeCell ref="R14:R18"/>
    <mergeCell ref="D232:D238"/>
    <mergeCell ref="AB152:AB156"/>
    <mergeCell ref="Z225:Z229"/>
    <mergeCell ref="R128:R132"/>
    <mergeCell ref="V92:V96"/>
    <mergeCell ref="S122:S126"/>
    <mergeCell ref="W258:W263"/>
    <mergeCell ref="Y258:Y263"/>
    <mergeCell ref="T32:T36"/>
    <mergeCell ref="W68:W72"/>
    <mergeCell ref="T134:T138"/>
    <mergeCell ref="AB265:AB269"/>
    <mergeCell ref="Q10:R10"/>
    <mergeCell ref="T265:T269"/>
    <mergeCell ref="Z252:Z256"/>
    <mergeCell ref="J195:J199"/>
    <mergeCell ref="V265:V269"/>
    <mergeCell ref="AB252:AB256"/>
    <mergeCell ref="T252:T256"/>
    <mergeCell ref="L307:L309"/>
    <mergeCell ref="Y182:Y186"/>
    <mergeCell ref="AC146:AC150"/>
    <mergeCell ref="A318:B318"/>
    <mergeCell ref="F258:F263"/>
    <mergeCell ref="AA182:AA186"/>
    <mergeCell ref="H258:H263"/>
    <mergeCell ref="I271:I275"/>
    <mergeCell ref="AA86:AA90"/>
    <mergeCell ref="A348:B348"/>
    <mergeCell ref="AC86:AC90"/>
    <mergeCell ref="X283:X287"/>
    <mergeCell ref="AC213:AC217"/>
    <mergeCell ref="A207:B212"/>
    <mergeCell ref="Z283:Z287"/>
    <mergeCell ref="U213:U217"/>
    <mergeCell ref="F164:F168"/>
    <mergeCell ref="H164:H168"/>
    <mergeCell ref="W213:W217"/>
    <mergeCell ref="A13:B13"/>
    <mergeCell ref="A320:B320"/>
    <mergeCell ref="A347:B347"/>
    <mergeCell ref="V98:V102"/>
    <mergeCell ref="D277:D281"/>
  </mergeCells>
  <conditionalFormatting sqref="J14:J18 J20:J24 J32:J36 J38:J42 J44:J48 J56:J60 J62:J66 J68:J72 J74:J78 J86:J90 J92:J96 J98:J102 J104:J108 J110:J114 J116:J120 J122:J126 J134:J138 J140:J144 J146:J150 J152:J156 J158:J162 J164:J168 J170:J174 J176:J180 J182:J186 J195:J199 J201:J205 J207:J211 J232:J238 J240:J244 J246:J250 J289:J293">
    <cfRule type="cellIs" priority="141" operator="lessThan" dxfId="0" stopIfTrue="1">
      <formula>0</formula>
    </cfRule>
  </conditionalFormatting>
  <conditionalFormatting sqref="J26:J30">
    <cfRule type="cellIs" priority="138" operator="lessThan" dxfId="0" stopIfTrue="1">
      <formula>0</formula>
    </cfRule>
  </conditionalFormatting>
  <conditionalFormatting sqref="J50:J54">
    <cfRule type="cellIs" priority="2" operator="lessThan" dxfId="0" stopIfTrue="1">
      <formula>0</formula>
    </cfRule>
  </conditionalFormatting>
  <conditionalFormatting sqref="J80:J84">
    <cfRule type="cellIs" priority="122" operator="lessThan" dxfId="0" stopIfTrue="1">
      <formula>0</formula>
    </cfRule>
  </conditionalFormatting>
  <conditionalFormatting sqref="J128:J132">
    <cfRule type="cellIs" priority="137" operator="lessThan" dxfId="0" stopIfTrue="1">
      <formula>0</formula>
    </cfRule>
  </conditionalFormatting>
  <conditionalFormatting sqref="J189:J193">
    <cfRule type="cellIs" priority="132" operator="lessThan" dxfId="0" stopIfTrue="1">
      <formula>0</formula>
    </cfRule>
  </conditionalFormatting>
  <conditionalFormatting sqref="J213:J217">
    <cfRule type="cellIs" priority="131" operator="lessThan" dxfId="0" stopIfTrue="1">
      <formula>0</formula>
    </cfRule>
  </conditionalFormatting>
  <conditionalFormatting sqref="J219:J223">
    <cfRule type="cellIs" priority="130" operator="lessThan" dxfId="0" stopIfTrue="1">
      <formula>0</formula>
    </cfRule>
  </conditionalFormatting>
  <conditionalFormatting sqref="J225:J229">
    <cfRule type="cellIs" priority="136" operator="lessThan" dxfId="0" stopIfTrue="1">
      <formula>0</formula>
    </cfRule>
  </conditionalFormatting>
  <conditionalFormatting sqref="J252:J256">
    <cfRule type="cellIs" priority="129" operator="lessThan" dxfId="0" stopIfTrue="1">
      <formula>0</formula>
    </cfRule>
  </conditionalFormatting>
  <conditionalFormatting sqref="J258:J263">
    <cfRule type="cellIs" priority="121" operator="lessThan" dxfId="0" stopIfTrue="1">
      <formula>0</formula>
    </cfRule>
  </conditionalFormatting>
  <conditionalFormatting sqref="J265:J269">
    <cfRule type="cellIs" priority="120" operator="lessThan" dxfId="0" stopIfTrue="1">
      <formula>0</formula>
    </cfRule>
  </conditionalFormatting>
  <conditionalFormatting sqref="J271:J275">
    <cfRule type="cellIs" priority="128" operator="lessThan" dxfId="0" stopIfTrue="1">
      <formula>0</formula>
    </cfRule>
  </conditionalFormatting>
  <conditionalFormatting sqref="J277:J281">
    <cfRule type="cellIs" priority="127" operator="lessThan" dxfId="0" stopIfTrue="1">
      <formula>0</formula>
    </cfRule>
  </conditionalFormatting>
  <conditionalFormatting sqref="J283:J287">
    <cfRule type="cellIs" priority="126" operator="lessThan" dxfId="0" stopIfTrue="1">
      <formula>0</formula>
    </cfRule>
  </conditionalFormatting>
  <conditionalFormatting sqref="J295:J299">
    <cfRule type="cellIs" priority="139" operator="lessThan" dxfId="0" stopIfTrue="1">
      <formula>0</formula>
    </cfRule>
  </conditionalFormatting>
  <conditionalFormatting sqref="L310:L338">
    <cfRule type="cellIs" priority="123" operator="lessThan" dxfId="0" stopIfTrue="1">
      <formula>0</formula>
    </cfRule>
  </conditionalFormatting>
  <conditionalFormatting sqref="L340:L346">
    <cfRule type="cellIs" priority="125" operator="lessThan" dxfId="0" stopIfTrue="1">
      <formula>0</formula>
    </cfRule>
  </conditionalFormatting>
  <conditionalFormatting sqref="L348:L362">
    <cfRule type="cellIs" priority="124" operator="lessThan" dxfId="0" stopIfTrue="1">
      <formula>0</formula>
    </cfRule>
  </conditionalFormatting>
  <conditionalFormatting sqref="N14">
    <cfRule type="colorScale" priority="116">
      <colorScale>
        <cfvo type="min"/>
        <cfvo type="percentile" val="50"/>
        <cfvo type="max"/>
        <color rgb="FFF8696B"/>
        <color rgb="FFFFEB84"/>
        <color rgb="FF63BE7B"/>
      </colorScale>
    </cfRule>
  </conditionalFormatting>
  <conditionalFormatting sqref="AC232:AC238">
    <cfRule type="expression" priority="12" dxfId="314">
      <formula>$AC$232&lt;&gt;$I$232</formula>
    </cfRule>
  </conditionalFormatting>
  <conditionalFormatting sqref="AC295:AC299">
    <cfRule type="expression" priority="3" dxfId="314">
      <formula>$AC295&lt;&gt;$I295</formula>
    </cfRule>
  </conditionalFormatting>
  <conditionalFormatting sqref="AC310:AC315 AC340:AC346 AC348:AC362 AC370:AC398 AC400:AC406 AC408:AC422">
    <cfRule type="expression" priority="142" dxfId="314">
      <formula>$AC310&lt;&gt;$K310</formula>
    </cfRule>
  </conditionalFormatting>
  <conditionalFormatting sqref="AC316:AC337">
    <cfRule type="expression" priority="143" dxfId="314">
      <formula>$AC316&lt;&gt;$K317</formula>
    </cfRule>
  </conditionalFormatting>
  <conditionalFormatting sqref="AC338">
    <cfRule type="expression" priority="144" dxfId="314">
      <formula>$AC338&lt;&gt;#REF!</formula>
    </cfRule>
  </conditionalFormatting>
  <conditionalFormatting sqref="AE14:AE18">
    <cfRule type="cellIs" priority="112" operator="greaterThanOrEqual" dxfId="4319">
      <formula>0.65</formula>
    </cfRule>
  </conditionalFormatting>
  <dataValidations count="2">
    <dataValidation sqref="F6" showDropDown="0" showInputMessage="1" showErrorMessage="1" allowBlank="1" type="list">
      <formula1>$AO$14:$AO$25</formula1>
    </dataValidation>
    <dataValidation sqref="M213:N214 M220:N220 M259:O259 M272:O272" showDropDown="0" showInputMessage="1" showErrorMessage="1" allowBlank="1" errorTitle="INGRESE LA FECHA" error="FECHA DE VENCIMIENTO" type="date" operator="greaterThan">
      <formula1>39083</formula1>
    </dataValidation>
  </dataValidations>
  <pageMargins left="0.7" right="0.7" top="0.75" bottom="0.75" header="0.3" footer="0.3"/>
  <pageSetup orientation="portrait" horizontalDpi="4294967294" verticalDpi="4294967294"/>
  <drawing xmlns:r="http://schemas.openxmlformats.org/officeDocument/2006/relationships" r:id="rId1"/>
  <legacyDrawing xmlns:r="http://schemas.openxmlformats.org/officeDocument/2006/relationships" r:id="anysvml"/>
</worksheet>
</file>

<file path=xl/worksheets/sheet4.xml><?xml version="1.0" encoding="utf-8"?>
<worksheet xmlns="http://schemas.openxmlformats.org/spreadsheetml/2006/main">
  <sheetPr codeName="Hoja1">
    <tabColor rgb="FF49877D"/>
    <outlinePr summaryBelow="1" summaryRight="1"/>
    <pageSetUpPr/>
  </sheetPr>
  <dimension ref="A2:D54"/>
  <sheetViews>
    <sheetView workbookViewId="0">
      <selection activeCell="A1" sqref="A1"/>
    </sheetView>
  </sheetViews>
  <sheetFormatPr baseColWidth="10" defaultRowHeight="14.4"/>
  <cols>
    <col width="6.77734375" customWidth="1" style="218" min="1" max="1"/>
    <col width="48.44140625" customWidth="1" style="212" min="2" max="2"/>
    <col width="79.21875" customWidth="1" style="225" min="3" max="3"/>
    <col width="58.77734375" customWidth="1" min="4" max="4"/>
  </cols>
  <sheetData>
    <row r="2">
      <c r="A2" s="946" t="inlineStr">
        <is>
          <t>CLASIFICACIÓN DE MOTIVOS DE PERDIDAS</t>
        </is>
      </c>
    </row>
    <row r="3">
      <c r="A3" s="946" t="inlineStr">
        <is>
          <t>MOVIMIENTO DE BIOLÓGICOS (MB) VS PAIWEB</t>
        </is>
      </c>
    </row>
    <row r="5">
      <c r="A5" s="219" t="n"/>
      <c r="B5" s="214" t="inlineStr">
        <is>
          <t>MOTIVO DE PERDIDA MOVIMIENTO DE BIOLÓGICO</t>
        </is>
      </c>
      <c r="C5" s="221" t="inlineStr">
        <is>
          <t>MOTIVO DE PERDIDA PAIWEB</t>
        </is>
      </c>
    </row>
    <row r="6" ht="33" customHeight="1">
      <c r="A6" s="947" t="n">
        <v>1</v>
      </c>
      <c r="B6" s="948" t="inlineStr">
        <is>
          <t>POR FRASCO ABIERTO INSTITUCIONAL</t>
        </is>
      </c>
      <c r="C6" s="222" t="inlineStr">
        <is>
          <t>PAI - Política de frascos abiertos intramural (Verificar lo contenido en la Circular 26 del 01 de agosto de 2017).</t>
        </is>
      </c>
    </row>
    <row r="7" ht="33" customHeight="1">
      <c r="A7" s="975" t="n"/>
      <c r="B7" s="948" t="inlineStr">
        <is>
          <t>POR FRASCO ABIERTO EXTRAMURAL</t>
        </is>
      </c>
      <c r="C7" s="222" t="inlineStr">
        <is>
          <t>PAI - Política de frasco abierto extramural (Verificar lo contenido en la Circular 26 del 01 de agosto de 2017).</t>
        </is>
      </c>
    </row>
    <row r="8">
      <c r="A8" s="949" t="n">
        <v>2</v>
      </c>
      <c r="B8" s="950" t="inlineStr">
        <is>
          <t>INTERRUPCIÓN DE CADENA DE FRÍO</t>
        </is>
      </c>
      <c r="C8" s="223" t="inlineStr">
        <is>
          <t>PAI - Pérdida de cadena de frío.</t>
        </is>
      </c>
    </row>
    <row r="9">
      <c r="A9" s="973" t="n"/>
      <c r="B9" s="973" t="n"/>
      <c r="C9" s="223" t="inlineStr">
        <is>
          <t>PAI - Por excursión temperatura.</t>
        </is>
      </c>
    </row>
    <row r="10" ht="27.6" customHeight="1">
      <c r="A10" s="975" t="n"/>
      <c r="B10" s="975" t="n"/>
      <c r="C10" s="223" t="inlineStr">
        <is>
          <t>PEDIDOS - Interrupción de cadena de frío en el transporte o en el lugar de la recepción.</t>
        </is>
      </c>
    </row>
    <row r="11" ht="61.5" customHeight="1">
      <c r="A11" s="947" t="n">
        <v>3</v>
      </c>
      <c r="B11" s="948" t="inlineStr">
        <is>
          <t>CONTAMINACION DEL BIOLÓGICO/DISPOSITIVO MÉDICO</t>
        </is>
      </c>
      <c r="C11" s="222" t="inlineStr">
        <is>
          <t>PAI - Contaminación del biológico o dispositivo en la cadena de distribución que no incluya la manipulación (ejemplo: accidente en el transporte que representa que la vacuna se salga de su contenedor sin ruptura, pero si exposición con agentes contaminantes).</t>
        </is>
      </c>
    </row>
    <row r="12" ht="17.25" customHeight="1">
      <c r="A12" s="949" t="n">
        <v>4</v>
      </c>
      <c r="B12" s="950" t="inlineStr">
        <is>
          <t>VIAL ROTO</t>
        </is>
      </c>
      <c r="C12" s="223" t="inlineStr">
        <is>
          <t>PAI - Frasco vial roto (aplica para viales, jeringas prellenadas y diluyentes)</t>
        </is>
      </c>
    </row>
    <row r="13" ht="31.5" customHeight="1">
      <c r="A13" s="975" t="n"/>
      <c r="B13" s="975" t="n"/>
      <c r="C13" s="223" t="inlineStr">
        <is>
          <t>PEDIDOS - Frasco de biológico roto en recepción (aplica para viales, jeringas prellenadas y diluyentes)</t>
        </is>
      </c>
    </row>
    <row r="14" ht="14.55" customHeight="1">
      <c r="A14" s="947" t="n">
        <v>5</v>
      </c>
      <c r="B14" s="948" t="inlineStr">
        <is>
          <t>ERRORES EN LA MANIPULACIÓN</t>
        </is>
      </c>
      <c r="C14" s="222" t="inlineStr">
        <is>
          <t>PAI - Derrame de biológico o diluyente en la prepara</t>
        </is>
      </c>
    </row>
    <row r="15" ht="14.55" customHeight="1">
      <c r="A15" s="973" t="n"/>
      <c r="B15" s="973" t="n"/>
      <c r="C15" s="222" t="inlineStr">
        <is>
          <t>PAI - Derrame del biológico o diluyente en la aplición</t>
        </is>
      </c>
    </row>
    <row r="16" ht="14.55" customHeight="1">
      <c r="A16" s="973" t="n"/>
      <c r="B16" s="973" t="n"/>
      <c r="C16" s="222" t="inlineStr">
        <is>
          <t>PAI - Contaminación dispositivo médico x manipulación</t>
        </is>
      </c>
    </row>
    <row r="17" ht="14.55" customHeight="1">
      <c r="A17" s="973" t="n"/>
      <c r="B17" s="973" t="n"/>
      <c r="C17" s="222" t="inlineStr">
        <is>
          <t>PAI - Anulación por error al diligenciamiento</t>
        </is>
      </c>
    </row>
    <row r="18" ht="14.55" customHeight="1">
      <c r="A18" s="973" t="n"/>
      <c r="B18" s="973" t="n"/>
      <c r="C18" s="224" t="inlineStr">
        <is>
          <t>PAI - Error en la dosificación sobre o subdosificación</t>
        </is>
      </c>
    </row>
    <row r="19" ht="14.55" customHeight="1">
      <c r="A19" s="973" t="n"/>
      <c r="B19" s="973" t="n"/>
      <c r="C19" s="222" t="inlineStr">
        <is>
          <t>PAI - Reconstitución de vacuna</t>
        </is>
      </c>
    </row>
    <row r="20" ht="14.55" customHeight="1">
      <c r="A20" s="975" t="n"/>
      <c r="B20" s="975" t="n"/>
      <c r="C20" s="222" t="inlineStr">
        <is>
          <t>PAI - Error en la reconstitución - jeringa</t>
        </is>
      </c>
    </row>
    <row r="21" ht="14.55" customHeight="1">
      <c r="A21" s="949" t="n">
        <v>6</v>
      </c>
      <c r="B21" s="950" t="inlineStr">
        <is>
          <t>VENCIMIENTO DEL BIOLÓGICO O JERINGA</t>
        </is>
      </c>
      <c r="C21" s="223" t="inlineStr">
        <is>
          <t>PAI - Vencimiento de biológico</t>
        </is>
      </c>
    </row>
    <row r="22" ht="14.55" customHeight="1">
      <c r="A22" s="973" t="n"/>
      <c r="B22" s="973" t="n"/>
      <c r="C22" s="223" t="inlineStr">
        <is>
          <t>PAI - Vencimiento de diluyente</t>
        </is>
      </c>
    </row>
    <row r="23" ht="14.55" customHeight="1">
      <c r="A23" s="973" t="n"/>
      <c r="B23" s="973" t="n"/>
      <c r="C23" s="223" t="inlineStr">
        <is>
          <t>PAI - Vencimiento de jeringa</t>
        </is>
      </c>
    </row>
    <row r="24" ht="27.6" customHeight="1">
      <c r="A24" s="975" t="n"/>
      <c r="B24" s="975" t="n"/>
      <c r="C24" s="223" t="inlineStr">
        <is>
          <t>PAI - Excede días de almacenamiento permitidos por reconstitución del biológico según el laboratorio fabricante.</t>
        </is>
      </c>
    </row>
    <row r="25" ht="29.25" customHeight="1">
      <c r="A25" s="947" t="n">
        <v>7</v>
      </c>
      <c r="B25" s="948" t="inlineStr">
        <is>
          <t>FARMACOVIGILANCIA/ TECNOVIGILANCIA</t>
        </is>
      </c>
      <c r="C25" s="222" t="inlineStr">
        <is>
          <t>PAI - Defectos de fabricación dispositivos médicos (ejemplo: desprendimiento de agujas, mal sellamiento del embolo, etc.)</t>
        </is>
      </c>
    </row>
    <row r="26" ht="14.55" customHeight="1">
      <c r="A26" s="973" t="n"/>
      <c r="B26" s="973" t="n"/>
      <c r="C26" s="222" t="inlineStr">
        <is>
          <t>PAI - Defectos de fabricación en biológicos</t>
        </is>
      </c>
    </row>
    <row r="27" ht="14.55" customHeight="1">
      <c r="A27" s="973" t="n"/>
      <c r="B27" s="973" t="n"/>
      <c r="C27" s="222" t="inlineStr">
        <is>
          <t>PAI - Por reacción alérgica a biológicos</t>
        </is>
      </c>
    </row>
    <row r="28" ht="14.55" customHeight="1">
      <c r="A28" s="975" t="n"/>
      <c r="B28" s="975" t="n"/>
      <c r="C28" s="224" t="inlineStr">
        <is>
          <t>PAI - Rendimiento menor a la presentación</t>
        </is>
      </c>
    </row>
    <row r="29" ht="20.25" customHeight="1">
      <c r="A29" s="949" t="n">
        <v>8</v>
      </c>
      <c r="B29" s="950" t="inlineStr">
        <is>
          <t>VOMITO FRANCO</t>
        </is>
      </c>
      <c r="C29" s="223" t="inlineStr">
        <is>
          <t>PAI - Vómito franco por a administración de vacunas por vía oral</t>
        </is>
      </c>
    </row>
    <row r="30" ht="14.25" customHeight="1">
      <c r="A30" s="947" t="n">
        <v>9</v>
      </c>
      <c r="B30" s="948" t="inlineStr">
        <is>
          <t>APLICACIÓN FUERA DE LA EDAD</t>
        </is>
      </c>
      <c r="C30" s="222" t="inlineStr">
        <is>
          <t>PAI - Aplicación fuera de edad</t>
        </is>
      </c>
    </row>
    <row r="31" ht="14.25" customHeight="1">
      <c r="A31" s="975" t="n"/>
      <c r="B31" s="975" t="n"/>
      <c r="C31" s="224" t="inlineStr">
        <is>
          <t>PAI - Revacunación</t>
        </is>
      </c>
    </row>
    <row r="32" ht="45" customHeight="1">
      <c r="A32" s="949" t="n">
        <v>10</v>
      </c>
      <c r="B32" s="950" t="inlineStr">
        <is>
          <t>POR DECISIÓN FINAL DEL PACIENTE DE NO VACUNACIÓN</t>
        </is>
      </c>
      <c r="C32" s="223" t="inlineStr">
        <is>
          <t>PAI - Reconstitución o alistamiento de la vacuna posterior al diligenciamiento del consentimiento informado con decisión final de no vacunación por parte del paciente o adulto responsable.</t>
        </is>
      </c>
      <c r="D32" s="164" t="n"/>
    </row>
    <row r="33" ht="30.75" customHeight="1">
      <c r="A33" s="975" t="n"/>
      <c r="B33" s="975" t="n"/>
      <c r="C33" s="223" t="inlineStr">
        <is>
          <t>PAI - Jeringa o insumo utilizado en la reconstitución o alistamiento de la vacuna en el contexto de este punto.</t>
        </is>
      </c>
    </row>
    <row r="34">
      <c r="A34" s="947" t="n">
        <v>11</v>
      </c>
      <c r="B34" s="948" t="inlineStr">
        <is>
          <t>SINIESTRO O ROBO</t>
        </is>
      </c>
      <c r="C34" s="222" t="inlineStr">
        <is>
          <t>PAI - Robo de biológico</t>
        </is>
      </c>
    </row>
    <row r="35">
      <c r="A35" s="973" t="n"/>
      <c r="B35" s="973" t="n"/>
      <c r="C35" s="222" t="inlineStr">
        <is>
          <t>PAI - Robo de jeringa</t>
        </is>
      </c>
    </row>
    <row r="36" ht="17.25" customHeight="1">
      <c r="A36" s="975" t="n"/>
      <c r="B36" s="975" t="n"/>
      <c r="C36" s="222" t="inlineStr">
        <is>
          <t>PAI - Siniestro</t>
        </is>
      </c>
    </row>
    <row r="39" ht="93" customHeight="1">
      <c r="A39" s="945" t="inlineStr">
        <is>
          <t>MOTIVOS DE NO USO DE VACUNAS CONTRA LA COVID-19
RESOLUCIÓN 0118 DEL 27 DE ENERO DE 2026
DISPONIBLE EN EL SIGUIENTE LINK:
https://www.minsalud.gov.co/Normatividad_Nuevo/Resolucion%20No%20118%20de%202026.pdf</t>
        </is>
      </c>
      <c r="B39" s="1089" t="n"/>
      <c r="C39" s="1089" t="n"/>
    </row>
    <row r="40">
      <c r="A40" s="946" t="inlineStr">
        <is>
          <t>MOVIMIENTO DE BIOLÓGICOS (MB) VS PAIWEB</t>
        </is>
      </c>
    </row>
    <row r="42">
      <c r="A42" s="219" t="inlineStr">
        <is>
          <t>ÍTEM</t>
        </is>
      </c>
      <c r="B42" s="214" t="inlineStr">
        <is>
          <t>MOTIVO DE PERDIDA MOVIMIENTO DE BIOLÓGICO</t>
        </is>
      </c>
      <c r="C42" s="221" t="inlineStr">
        <is>
          <t>MOTIVO DE PERDIDA PAIWEB</t>
        </is>
      </c>
    </row>
    <row r="43" ht="27.6" customHeight="1">
      <c r="A43" s="947">
        <f>+[1]Hoja1!$C$3</f>
        <v/>
      </c>
      <c r="B43" s="948" t="inlineStr">
        <is>
          <t>POLÍTICA DE FRASCOS ABIERTO</t>
        </is>
      </c>
      <c r="C43" s="215" t="inlineStr">
        <is>
          <t>Dosis pérdidas de acuerdo con las indicaciones del laboratorio productor en la estrategia intramural o extramural.</t>
        </is>
      </c>
    </row>
    <row r="44" ht="19.5" customHeight="1">
      <c r="A44" s="949">
        <f>+[1]Hoja1!$C4</f>
        <v/>
      </c>
      <c r="B44" s="950" t="inlineStr">
        <is>
          <t>INTERRUPCIÓN DE LA CADENA DE FRÍO</t>
        </is>
      </c>
      <c r="C44" s="216" t="inlineStr">
        <is>
          <t>Vacuna COVID-19 con concepto técnico de NO USO por parte del INVIMA.</t>
        </is>
      </c>
    </row>
    <row r="45" ht="59.25" customHeight="1">
      <c r="A45" s="947">
        <f>+[1]Hoja1!$C5</f>
        <v/>
      </c>
      <c r="B45" s="948" t="inlineStr">
        <is>
          <t>CONTAMINACIÓN DEL BIOLÓGICO</t>
        </is>
      </c>
      <c r="C45" s="217" t="inlineStr">
        <is>
          <t>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is>
      </c>
    </row>
    <row r="46" ht="75.75" customHeight="1">
      <c r="A46" s="949">
        <f>+[1]Hoja1!$C6</f>
        <v/>
      </c>
      <c r="B46" s="950" t="inlineStr">
        <is>
          <t>ERROR EN LA MANIPULACIÓN</t>
        </is>
      </c>
      <c r="C46" s="216" t="inlineStr">
        <is>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is>
      </c>
    </row>
    <row r="47" ht="45.75" customHeight="1">
      <c r="A47" s="947">
        <f>+[1]Hoja1!$C7</f>
        <v/>
      </c>
      <c r="B47" s="948" t="inlineStr">
        <is>
          <t>ERROR EN LA RECONSTITUCIÓN/DILUCIÓN</t>
        </is>
      </c>
      <c r="C47" s="217" t="inlineStr">
        <is>
          <t>Vacuna COVID-19 reconstituida o diluida con diluyente que no le corresponde de acuerdo a las indicaciones del fabricante. Reconstitución o dilución con menor o mayor cantidad de mililitros a los indicados por el fabricante.</t>
        </is>
      </c>
    </row>
    <row r="48" ht="27.6" customHeight="1">
      <c r="A48" s="949">
        <f>+[1]Hoja1!$C8</f>
        <v/>
      </c>
      <c r="B48" s="950" t="inlineStr">
        <is>
          <t>ERROR EN LA DOSIFICACIÓN</t>
        </is>
      </c>
      <c r="C48" s="216" t="inlineStr">
        <is>
          <t>Corresponde a la persona vacunada contra COVID-19 con mayor o menor cantidad de dosis aplicada respecto a la indicación farmacéutica y los lineamientos nacionales.</t>
        </is>
      </c>
    </row>
    <row r="49" ht="49.5" customHeight="1">
      <c r="A49" s="947">
        <f>+[1]Hoja1!$C9</f>
        <v/>
      </c>
      <c r="B49" s="948" t="inlineStr">
        <is>
          <t>VACUNA QUE EXCEDE EL TIEMPO DE ALMACENAMIENTO EN REFRIGERACIÓN</t>
        </is>
      </c>
      <c r="C49" s="217" t="inlineStr">
        <is>
          <t>Corresponde a la vacuna que superó los días de almacenamiento en temperaturas de refrigeración de acuerdo a las indicaciones del laboratorio fabricante.</t>
        </is>
      </c>
    </row>
    <row r="50" ht="31.5" customHeight="1">
      <c r="A50" s="949">
        <f>+[1]Hoja1!$C10</f>
        <v/>
      </c>
      <c r="B50" s="950" t="inlineStr">
        <is>
          <t>VENCIMIENTO DEL BIOLÓGICO</t>
        </is>
      </c>
      <c r="C50" s="216" t="inlineStr">
        <is>
          <t>Corresponde a la vacuna que expiró (venció) de acuerdo con lo registrado en la etiqueta del producto.</t>
        </is>
      </c>
    </row>
    <row r="51" ht="33" customHeight="1">
      <c r="A51" s="947">
        <f>+[1]Hoja1!$C11</f>
        <v/>
      </c>
      <c r="B51" s="948" t="inlineStr">
        <is>
          <t>FRASCO VIAL ROTO</t>
        </is>
      </c>
      <c r="C51" s="217" t="inlineStr">
        <is>
          <t>Corresponde a las dosis de un (unos) viales identificados roto o fracturados durante el proceso de transporte nacional, municipal, IPS o extramural.</t>
        </is>
      </c>
    </row>
    <row r="52" ht="58.5" customHeight="1">
      <c r="A52" s="949">
        <f>+[1]Hoja1!$C12</f>
        <v/>
      </c>
      <c r="B52" s="950" t="inlineStr">
        <is>
          <t>FALLAS DE FABRICACIÓN/CALIDAD</t>
        </is>
      </c>
      <c r="C52" s="216" t="inlineStr">
        <is>
          <t>Corresponde a frasco/vial de vacuna COVID-19 sin producto, sin etiqueta, cambios de coloración del producto, partículas dentro del vial identificadas previas a la reconstitución, caja incompleta u otros aspectos del producto diferentes al indicado por el fabricante.</t>
        </is>
      </c>
    </row>
    <row r="53" ht="33" customHeight="1">
      <c r="A53" s="947" t="n">
        <v>11</v>
      </c>
      <c r="B53" s="948" t="inlineStr">
        <is>
          <t>SINIESTRO/ACCIDENTE</t>
        </is>
      </c>
      <c r="C53" s="217" t="inlineStr">
        <is>
          <t>Vacuna pérdida en siniestros como inundaciones, incendios, desastres naturales, entre otros.</t>
        </is>
      </c>
    </row>
    <row r="54" ht="27.6" customHeight="1">
      <c r="A54" s="949" t="n">
        <v>12</v>
      </c>
      <c r="B54" s="950" t="inlineStr">
        <is>
          <t>ROBO/HURTO BIOLÓGICO</t>
        </is>
      </c>
      <c r="C54" s="216" t="inlineStr">
        <is>
          <t>Vacuna COVID-19 que fue hurtada durante el almacenamiento, transporte, distribución a nivel departamental, municipal, IPS o extramural.</t>
        </is>
      </c>
    </row>
  </sheetData>
  <sheetProtection selectLockedCells="0" selectUnlockedCells="0" algorithmName="SHA-512" sheet="1" objects="1" insertRows="1" insertHyperlinks="1" autoFilter="1" scenarios="1" formatColumns="1" deleteColumns="1" insertColumns="1" pivotTables="1" deleteRows="1" formatCells="1" saltValue="beKsmPQupJ1EFxTUJ4/fHg==" formatRows="1" sort="1" spinCount="100000" hashValue="B/R8yAiMo2AuFNR90OVskG2UjxExbAUmQ+63sylCi1T9ecPPzOcsnqMY1hm3wLW4Of7imXlJ6mwe0FYbvnvMfg=="/>
  <mergeCells count="21">
    <mergeCell ref="A8:A10"/>
    <mergeCell ref="B12:B13"/>
    <mergeCell ref="B34:B36"/>
    <mergeCell ref="B21:B24"/>
    <mergeCell ref="A3:C3"/>
    <mergeCell ref="A6:A7"/>
    <mergeCell ref="A25:A28"/>
    <mergeCell ref="A2:C2"/>
    <mergeCell ref="A12:A13"/>
    <mergeCell ref="A34:A36"/>
    <mergeCell ref="A21:A24"/>
    <mergeCell ref="A14:A20"/>
    <mergeCell ref="A32:A33"/>
    <mergeCell ref="A40:C40"/>
    <mergeCell ref="B8:B10"/>
    <mergeCell ref="A39:C39"/>
    <mergeCell ref="B30:B31"/>
    <mergeCell ref="B32:B33"/>
    <mergeCell ref="B25:B28"/>
    <mergeCell ref="B14:B20"/>
    <mergeCell ref="A30:A31"/>
  </mergeCells>
  <pageMargins left="0.7" right="0.7" top="0.75" bottom="0.75" header="0.3" footer="0.3"/>
  <pageSetup orientation="portrait" horizontalDpi="360" verticalDpi="360"/>
  <drawing xmlns:r="http://schemas.openxmlformats.org/officeDocument/2006/relationships" r:id="rId1"/>
</worksheet>
</file>

<file path=xl/worksheets/sheet5.xml><?xml version="1.0" encoding="utf-8"?>
<worksheet xmlns="http://schemas.openxmlformats.org/spreadsheetml/2006/main">
  <sheetPr codeName="Hoja2">
    <tabColor theme="5" tint="-0.249977111117893"/>
    <outlinePr summaryBelow="1" summaryRight="1"/>
    <pageSetUpPr/>
  </sheetPr>
  <dimension ref="A2:A63"/>
  <sheetViews>
    <sheetView workbookViewId="0">
      <selection activeCell="A1" sqref="A1"/>
    </sheetView>
  </sheetViews>
  <sheetFormatPr baseColWidth="10" defaultColWidth="11.44140625" defaultRowHeight="14.4"/>
  <cols>
    <col width="144.5546875" customWidth="1" style="203" min="1" max="1"/>
    <col width="11.44140625" customWidth="1" style="204" min="2" max="16384"/>
  </cols>
  <sheetData>
    <row r="1" ht="66.75" customHeight="1"/>
    <row r="2" ht="47.55" customHeight="1">
      <c r="A2" s="205" t="inlineStr">
        <is>
          <t>INSTRUCCIONES PARA EL DILIGENCIAMIENTO
FORMATO MOVIMIENTO MENSUAL DE BIOLÓGICOS (MB), DISPOSITIVOS MÉDICOS E INSUMOS</t>
        </is>
      </c>
    </row>
    <row r="3" ht="19.5" customHeight="1">
      <c r="A3" s="435" t="inlineStr">
        <is>
          <t>OBJETIVO</t>
        </is>
      </c>
    </row>
    <row r="4" ht="64.05" customHeight="1">
      <c r="A4" s="206" t="inlineStr">
        <is>
          <t>Verificar y controlar el movimiento de biológicos e insumos del PAI en cada una de las ET del orden departamental y distrital; unificar los formatos de reporte; facilitar la sistematización de la información y la calidad del dato y disponer de la informacion más real y oportuna de los insumos disponibles en los territorios.
NOTA: El presente formato no puede ser modificado, deben conservarse las características sugeridas por el MSPS.</t>
        </is>
      </c>
    </row>
    <row r="5" ht="30" customHeight="1">
      <c r="A5" s="435" t="inlineStr">
        <is>
          <t>VARIABLES DEL FORMATO</t>
        </is>
      </c>
    </row>
    <row r="6" ht="20.1" customHeight="1">
      <c r="A6" s="207" t="inlineStr">
        <is>
          <t>ENTIDAD TERRITORIAL: Registre el nombre de la ET o Distrito que esta reportando la información.</t>
        </is>
      </c>
    </row>
    <row r="7" ht="18" customHeight="1">
      <c r="A7" s="208" t="inlineStr">
        <is>
          <t>MES: Registre el mes correspondiente al informe a presentar</t>
        </is>
      </c>
    </row>
    <row r="8" ht="18.75" customHeight="1">
      <c r="A8" s="208" t="inlineStr">
        <is>
          <t xml:space="preserve">AÑO: Registre el año correspondiente al informe a presentar </t>
        </is>
      </c>
    </row>
    <row r="9" ht="23.1" customHeight="1">
      <c r="A9" s="208" t="inlineStr">
        <is>
          <t>MB: Movimiento de Biológicos</t>
        </is>
      </c>
    </row>
    <row r="10" ht="75.59999999999999" customHeight="1">
      <c r="A10" s="226" t="inlineStr">
        <is>
          <t xml:space="preserve">FECHA ACTUAL: Corresponderá a la fecha actualizada del día en que se abra el archivo, esta celda esta formulada automáticamente para su actualización. 
Esta celda está formulada y NO deberán modificarse. 
Debe revisar la configuración regional de fecha y hora de su equipo verificando que corresponda al de Colombia </t>
        </is>
      </c>
    </row>
    <row r="11" ht="75" customHeight="1">
      <c r="A11" s="436" t="inlineStr">
        <is>
          <t xml:space="preserve">CONTROL DIGITAL POR VENTANA DE VIDA ÚTIL: En esta celda se visualiza de manera automática un sistema de semaforización del riesgo de vencimiento del biológico o insumo. Rojo para &lt;= 6 MESES; Amarillo entre &gt;= 6 MESES y &lt; 12 MESES; verde para &gt;= 12 MESES y negro para los vencidos. 
Estas celdas están formuladas y NO deberán modificarse. 
Debe revisar la configuración regional de fecha y hora de su equipo verificando que corresponda al de Colombia </t>
        </is>
      </c>
    </row>
    <row r="12" ht="87" customHeight="1">
      <c r="A12" s="206" t="inlineStr">
        <is>
          <t xml:space="preserve">SALDO MES ANTERIOR: Registre el número de dosis de vacuna y unidades de jeringas e insumos con los que pasó el mes anterior. Para el mes de enero es necesario validar la cantidad de biológico e insumos que tienen en existencias físicas, en caso de no coincidir con el saldo que registró en el movimiento del mes de diciembre, debe explicar vía correo electrónico o por oficio a la referente del MSPS a cargo de la ET, los motivos de las diferencias. 
Valide congruencia frente al reporte de inventarios en la herramienta PAIWEB.
Recuerde que debe incluir en el saldo, las dosis o unidades de insumos que se encuentran en cuarentena.
</t>
        </is>
      </c>
    </row>
    <row r="13" ht="102" customHeight="1">
      <c r="A13" s="209" t="inlineStr">
        <is>
          <t>ENTRADAS: Esta compuesta por las variables de DOSIS RECIBIDAS DEL ALMACÉN CENTRAL DEL MSPS durante el mes a reportar, que corresponde solo a las cantidades de biológicos e insumos que el Centro de Acopio (CA) departamental o distrital recibe del almacén general del MSPS, y la variable DOSIS RECIBIDAS POR TRASLADO DEL CA DEPARTAMENTAL O DISTRITAL durante el mes a reportar, que corresponde a las entradas al CA departamental o distrital por traslados desde otros departamentos o distritos. Registre el número de dosis por biológicos que ingresan en el periodo reportado y unidades de dispositivo médico o insumos del PAI, ya sean despachados por el almacén general del MSPS o por traslados entre Centros de Acopios departamentales o distritales (Fuente de información: salida de elementos, comprobantes de egreso, soporte de entrega/recepción técnica). Valide congruencia frente al reporte de inventarios en PAIWEB.</t>
        </is>
      </c>
    </row>
    <row r="14" ht="63" customFormat="1" customHeight="1" s="202">
      <c r="A14" s="448" t="inlineStr">
        <is>
          <t xml:space="preserve">TOTAL ENTRADAS.  Esta variable consolida los datos de entradas registrados en las variables de entradas. 
Valide congruencia frente al reporte de inventarios en PAIWEB.
Estas celdas están formuladas y NO deberán modificarse. 
 </t>
        </is>
      </c>
    </row>
    <row r="15" ht="89.09999999999999" customHeight="1">
      <c r="A15" s="470" t="inlineStr">
        <is>
          <t>SALIDAS: Esta compuesta por las variables: DOSIS DESPACHADAS A LOS MUNICIPIOS / DISTRITOS / IPS (cantidades que son despachadas desde el CA departamental o distrital para sus municipios, IPS vacunadoras o equipos de vacunación); DOSIS TRASLADADAS A OTROS DEPARTAMENTOS O DISTRITOS (corresponde al traslado enviado al CA de otra ET departamental o distrital) y DOSIS PERDIDAS (a las dosis perdidas en el CA departamental o distrital por las 10 causales de la tabla CAUSAS DE PERDIDA DE BIOLÓGICO), esta celda esta formulada. Consulte la tabla de motivos de perdida PAIWEB vs MB Valide congruencia frente a las actas de perdidas generadas por PAIWEB.</t>
        </is>
      </c>
    </row>
    <row r="16" ht="54" customHeight="1">
      <c r="A16" s="471" t="inlineStr">
        <is>
          <t>SALDO QUE INICIA EL MES SIGUIENTE: Registra el resultado de la operación (sumatoria del valor del  saldo que pasa del mes anterior más las entradas durante el periodo y resta el valor de las salidas y las dosis aplicadas).  Valide congruencia frente al reporte de inventarios en PAIWEB.</t>
        </is>
      </c>
    </row>
    <row r="17" ht="41.1" customHeight="1">
      <c r="A17" s="210" t="inlineStr">
        <is>
          <t>DOSIS POR LOTES: Regitre el saldo de los biológicos o insumos de acuerdo con cada uno de los lotes que tenga en existencias. Recuerde incluir los saldos que se encuentran en cuarentena.</t>
        </is>
      </c>
    </row>
    <row r="18" ht="48" customHeight="1">
      <c r="A18" s="449" t="inlineStr">
        <is>
          <t>No. LOTE: Este corresponde a las letras y números que hacen parte de numero de lote registrado en la etiqueta de los biológicos e insumos enviados. Estos se deben describir tal cual como se registran en la etiqueta.  Valide congruencia frente al reporte de inventarios en PAIWEB</t>
        </is>
      </c>
    </row>
    <row r="19" ht="51.6" customHeight="1">
      <c r="A19" s="211" t="inlineStr">
        <is>
          <t>FECHA DE VENCIMIENTO: Registre la fecha de vencimiento por lote del biológicos, dispositivo médico e insumos PAI, que tiene en saldo en formato dd/mm/aaaa.  
Valide congruencia frente al reporte de inventarios en PAIWEB.</t>
        </is>
      </c>
    </row>
    <row r="20" ht="71.09999999999999" customHeight="1">
      <c r="A20" s="227" t="inlineStr">
        <is>
          <t xml:space="preserve">SEMAFORIZACION VIDA  ÚTIL DEL BIOLÓGICO: Esta variable corresponde a las fechas de vencimiento y semaforización de cada biológicos e insumos, la cual se caracteriza por resaltarse con el color indicado según la palabra que arroje la formulación de la celda por fecha de vencimiento.
Esta celda está formulada y NO deberán modificarse. 
Debe revisar la configuración regional de fecha y hora de su equipo verificando que corresponda al de Colombia </t>
        </is>
      </c>
    </row>
    <row r="21" ht="47.25" customHeight="1">
      <c r="A21" s="211" t="inlineStr">
        <is>
          <t>CONDICIÓN FINAL DEL BIOLÓGICO O INSUMO: Indica de manera automática, visible y práctica si el biológico esta vencido o no vencido generando alertas para su uso y movimiento de acuerdo con el resultado de la semaforización.  
Estas celdas están formuladas y NO deberán modificarse</t>
        </is>
      </c>
    </row>
    <row r="22" ht="71.55" customHeight="1" thickBot="1">
      <c r="A22" s="450" t="inlineStr">
        <is>
          <t>VARABLES DE DOSIS EN CUARENTENA; LABORATORIO; No. LOTE; FECHA DE VENCIMIENTO; FECHA DE INICIO DE LA CUARENTENA Y OBSERVACIONES: Estas variables corresponden a la información relacionada con los biológicos o insumos en cuarentena y deben reportarse en su totalidad en todos los periodos, mientras la cuarentena se mantenga activa. 
Valide siempre la congruencia frente al reporte de inventarios en PAIWEB, funcionalidad cuarentena.</t>
        </is>
      </c>
    </row>
    <row r="23" ht="38.55" customHeight="1" thickBot="1">
      <c r="A23" s="438" t="inlineStr">
        <is>
          <t>SECCION CONSOLIDADO DE MUNICIPIOS / IPS VACUNADORAS / DISTRITOS</t>
        </is>
      </c>
    </row>
    <row r="24" ht="60" customHeight="1">
      <c r="A24" s="451" t="inlineStr">
        <is>
          <t>BIOLÓGICO RECIBIDO DEL CENTRO DE ACOPIO DEPARTAMENTAL/DISTRITAL (Celda E402): Corresponde a las dosis que el centro de acopio departamental o distrital envía a los municipios (entidades o IPS vacunadoras para los Distritos). Esta celda esta parametrizada y restringida, trasladando el dato de los biológicos o insumos despachados por el Departamento o Distrito a los municipios, evitando errores de digitación.</t>
        </is>
      </c>
    </row>
    <row r="25" ht="99.75" customHeight="1">
      <c r="A25" s="437" t="inlineStr">
        <is>
          <t>DOSIS APLICADAS: Registre el número de dosis aplicadas en colombianos y en extranjeros según corresponda de cuaerdo con el biológico o dispositivo médico del PAI en el periodo del informe. Fuente de información: Plantilla de reporte mensual de dosis aplicadas en el Departamento o Distrito, revisado y validado. 
Valide congruencia con reporte de dosis aplicadas en nacionales y extranjeros ya que estas dosis se deben sumar para obtener como resultado en TOTAL DE LAS DOSIS APLICADAS.
Valide congruencia frente al reporte de inventarios en PAIWEB y formato cero.</t>
        </is>
      </c>
    </row>
    <row r="26" ht="105" customHeight="1">
      <c r="A26" s="227" t="inlineStr">
        <is>
          <t>DOSIS PÉRDIDAS: Registre el número TOTAL de dosis perdidas de biológicos, dispositivo médico e insumos PAI, en el periodo del informe. Tenga en cuenta que debe ser consistente con los datos consignados en el formato contiguo de causas de perdidas. 
Recuerde que todas las perdidas excepto las que corresponden a política de frascos abiertos deben estar soportadas en acta de baja, notificación a tecnovigilancia, notificación a comite seguridad del paciente, entre otros.  
Consulte la tabla de motivos de perdida PAIWEB vs MB
Valide congruencia frente a las actas de perdidas generadas por PAIWEB</t>
        </is>
      </c>
    </row>
    <row r="27" ht="36" customHeight="1">
      <c r="A27" s="437" t="inlineStr">
        <is>
          <t>TOTAL DOSIS APLICADAS EN EL MES: Corresponde a la sumatoria de las dosis aplicadas a colombianos y extranjeros. Estas celdas se encuentran formuladas para un dato preciso y NO deberán modificarse</t>
        </is>
      </c>
    </row>
    <row r="28" ht="49.5" customHeight="1">
      <c r="A28" s="452" t="inlineStr">
        <is>
          <t xml:space="preserve">DOSIS PERDIDAS: Corresponde a la sumatoria de las dosis perdidas por las 11 causales que se registran en la tabla correspondiente a las perdidas presentada en dicho biológico.Estas celdas están formuladas y NO deberán modificarse. </t>
        </is>
      </c>
    </row>
    <row r="29" ht="39.6" customFormat="1" customHeight="1" s="212">
      <c r="A29" s="437" t="inlineStr">
        <is>
          <t xml:space="preserve">TOTAL DE DOSIS UTILIZADAS EN EL MES: Corresponde a la sumatoria de las dosis perdidas con las aplicadas. Estas celdas están formuladas y NO deberán modificarse. </t>
        </is>
      </c>
    </row>
    <row r="30" ht="48.6" customHeight="1">
      <c r="A30" s="220" t="inlineStr">
        <is>
          <t>SALDO CON QUE INICIA EL MES SIGUIENTE (SOLO MUNICIPIOS): Registre el resultado de la operación (sumatoria del valor del  saldo que pasa del mes anterior más las entradas durante el periodo y réstele el valor de las dosis aplicadas, salidas, perdidas y traslados de ser necesario).Valide congruencia frente al reporte de inventarios en PAIWEB.</t>
        </is>
      </c>
    </row>
    <row r="31" ht="78" customHeight="1">
      <c r="A31" s="437" t="inlineStr">
        <is>
          <t>PORCENTAJE DE PERDIDA DEL MES %: Aplica la siguiente formula: 
Dosis perdidas durante el periodo por 100 dividido entre las dosis utilizadas en el periodo (dato que corresponde a las aplicadas y pérdidas durante el mes).
Las dosis perdidas sobre las dosis utilizadas x 100.
Nota: Utilice números enteros; la fila esta formulada para que no se visualicen decimales.</t>
        </is>
      </c>
    </row>
    <row r="32" ht="76.5" customHeight="1">
      <c r="A32" s="220" t="inlineStr">
        <is>
          <t>VARABLES DE DOSIS EN CUARENTENA; LABORATORIO; No. LOTE; FECHA DE VENCIMIENTO; FECHA DE INICIO DE LA CUARENTENA Y OBSERVACIONES: Estas variables corresponden a la información relacionada con los biológicos o insumos en cuarentena y deben reportarse en su totalidad en todos los periodos, mientras la cuarentena se mantenga activa. 
Valide siempre la congruencia frente al reporte de inventarios en PAIWEB, funcionalidad cuarentena.</t>
        </is>
      </c>
    </row>
    <row r="33" ht="64.05" customHeight="1">
      <c r="A33" s="220" t="inlineStr">
        <is>
          <t xml:space="preserve">CONDICIÓN FINAL DEL BIOLÓGICO O INSUMO: Indica de manera automática, visible y práctica si el biológico esta vencido o no vencido generando alertas para su uso y movimiento de acuerdo con el resultado de la semaforización.  
Estas celdas están formuladas y NO deberán modificarse.
Debe revisar la configuración regional de fecha y hora de su equipo verificando que corresponda al de Colombia </t>
        </is>
      </c>
    </row>
    <row r="34" ht="38.25" customHeight="1" thickBot="1">
      <c r="A34" s="439" t="inlineStr">
        <is>
          <t>OBSERVACIONES: Se incorpora esta nueva variable en el formato de MB con el objetivo de facilitar a los usuarios, el registro de información relevante a tener en cuenta para el MSPS.</t>
        </is>
      </c>
    </row>
    <row r="35" ht="51" customHeight="1">
      <c r="A35" s="440" t="inlineStr">
        <is>
          <t xml:space="preserve">CAUSAS DE PÉRDIDAS DE PRODUCTOS/INSUMOS </t>
        </is>
      </c>
    </row>
    <row r="36" ht="60.75" customHeight="1">
      <c r="A36" s="453" t="inlineStr">
        <is>
          <t>Registre el número de dosis perdidas de acuerdo con las causas ocurridas, en el cuadro por medicamentos biológicos, dispositivo médico e insumos PAI, para el periodo del informe. 
Consulte la tabla de motivos de perdida PAIWEB vs MB
Valide congruencia frente a las actas de perdidas generadas por PAIWEB.</t>
        </is>
      </c>
    </row>
    <row r="37" ht="35.25" customHeight="1">
      <c r="A37" s="472" t="inlineStr">
        <is>
          <t>POR POLITICA DE FRASCOS ABIERTOS:  Conforme a Circular 026 de 2017 disponibles es el siguiente enlace https://www.minsalud.gov.co/sites/rid/Lists/BibliotecaDigital/RIDE/DE/DIJ/circular-26-de-2017.pdf</t>
        </is>
      </c>
    </row>
    <row r="38" ht="34.5" customHeight="1">
      <c r="A38" s="454" t="inlineStr">
        <is>
          <t>INTRAMURAL: Registre el total de las pérdidas de acuerdo con la política de frascos abiertos en intramural. 28 dias o según indicación del biologico y laboratorio por ejemplo en las vacunas Triple Viral (TV), Sarampión Rubeola (SR) y Fiebre Amarilla (FA).</t>
        </is>
      </c>
    </row>
    <row r="39" ht="32.1" customHeight="1">
      <c r="A39" s="213" t="inlineStr">
        <is>
          <t>EXTRAMURAL: Registre el total de las pérdidas en extramural (7 días o según biologico y laboratorio por ejemplo en las vacunas TV, SR y FA).</t>
        </is>
      </c>
    </row>
    <row r="40" ht="40.5" customHeight="1">
      <c r="A40" s="211" t="inlineStr">
        <is>
          <t xml:space="preserve">TOTAL: Corresponde a la sumatoria de las variables INTRAMURAL y EXTRAMURAL. 
Esta celda está formulada y NO deberán modificarse. </t>
        </is>
      </c>
    </row>
    <row r="41" ht="64.5" customHeight="1">
      <c r="A41" s="227" t="inlineStr">
        <is>
          <t xml:space="preserve">INTERRUPCIÓN DE CADENA DE FRÍO: Consigne el total de las dosis pérdidas por interrupción de la cadena de frío (fallas en los equipos, falla fluido eléctrica, u otros). El cual tiene como soporte acta de baja  segun el caso: 
- Vacuna que vence en cuarentena sin respuesta del MSPS-INVIMA.
- Oficio con la respuesta del MSPS/INVIMA que indica dar de baja. </t>
        </is>
      </c>
    </row>
    <row r="42" ht="36.75" customHeight="1">
      <c r="A42" s="210" t="inlineStr">
        <is>
          <t xml:space="preserve">CONTAMINACIÓN DEL BIOLOGICO/DISPOSITIVO MÉDICO: Consigne el total de dosis pérdidas por contaminación. Soporte Acta de baja. </t>
        </is>
      </c>
    </row>
    <row r="43" ht="46.5" customHeight="1">
      <c r="A43" s="213" t="inlineStr">
        <is>
          <t>FRASCO O VIAL ROTO: Registre el total de pérdidas por fractura de los viales, jeringas o ampollas durante el transporte  de los medicamentos biologicos (vehiculo-termo-caja termica) y dispositivos medicos.Soportado con notificación via correo electronico y registro fotografico al PAI local, y acta de baja.</t>
        </is>
      </c>
    </row>
    <row r="44" ht="105" customHeight="1">
      <c r="A44" s="211" t="inlineStr">
        <is>
          <t xml:space="preserve">ERRORES EN LA MANIPULACIÓN: 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 
NOTA ACLARATORIA: Se constituyen un error en la manipulación aquellos casos citados en el concepto que no hayan comprometido o involucrado a un usuario, ya que en estos casos corresponderian a errores programaticos. </t>
        </is>
      </c>
    </row>
    <row r="45" ht="35.25" customHeight="1">
      <c r="A45" s="213" t="inlineStr">
        <is>
          <t xml:space="preserve">FECHA DE VENCIMIENTO (BIOLÓGICO O JERINGA): Registre el total de pérdidas por fechas de expiración según la etiqueta del producto.Soporte Acta de baja (día. Mes y año). </t>
        </is>
      </c>
    </row>
    <row r="46" ht="46.5" customHeight="1">
      <c r="A46" s="211" t="inlineStr">
        <is>
          <t xml:space="preserve">FARMACOVIGILANCIA Y TECNOVIGILANCIA:  Relacione las dosis o unidades pérdidas por :
A) Farmacovigilancia: Fallas de calidad con los biologicos o faltantes de viales en las cajas. Soporte Acta de baja. 
B) Tecnovigilancia: Incidentes relacionados con dispositivos medicos - fallas de fabricación. Soporte Acta de baja. </t>
        </is>
      </c>
    </row>
    <row r="47" ht="60" customHeight="1">
      <c r="A47" s="213" t="inlineStr">
        <is>
          <t xml:space="preserve">VÓMITO FRANCO: Registre el total de pérdidas de los casos en cuales el menor vomito el medicamento biologico (Rotavirus). “Vomito franco”: hace referencia a la expulsión violenta y espasmódica del contenido del estómago a través de la boca; escupir y regurgitar levemente la vacuna no requiere dosis de reemplazo.   Soporte Acta de baja </t>
        </is>
      </c>
    </row>
    <row r="48" ht="372.6" customHeight="1">
      <c r="A48" s="464" t="inlineStr">
        <is>
          <t>APLICACIÓN FUERA DE LA EDAD Y OTRAS*: Consigne el total de dosis que fueron administradas pero que no se reportaron en la Plantilla reporte mensual de dosis.
VACUNADO FUERA DE LA EDAD: Corresponde a la persona vacunada con la o las dosis de medicamentos biológicos a una EDAD diferente a la estipulada en el esquema nacional de vacunación vigente y que se encuentran dentro de las causas tipíficadas para este motivo: 
1- Viaje.
2- Orden médica.
3- Sentencia Judicial.
4- Autorización por el MSPS (Ministerio de Salud y Protección Social).
REVACUNADO: Corresponde a la persona vacunada con la o las dosis de medicamentos biológicos que contienen el mismo ANTÍGENO, en un intervalo de tiempo que no está considerado en el esquema nacional vigente o en el inserto del producto. Contiene tres opciones: 
1- Ausencia de registro de vacunas y/o dosis: cuando al verificar la información disponible al momento de realizar el procedimiento de vacunación, no se evidencian antecedente de datos de medicamentos biológicos ( dosis y fechas) administrados de acuerdo al esquema para la edad en el carné o aplicativos PAI WEB nacional.
2- Sin posibilidad de verificar datos en aplicativos: situaciónes en donde por falla de suministro eléctrico, interrupcion de la conectividad o en la extramuralidad (zonas de riesgo por seguridad) no hay posibilidad de verificar antecedente de vacunación de la persona.
3- Orden médica: menores o adultos que se vacunan con uno o varios medicamentos biológicos ya registrados en el aplicativo PAIWEB nacional, pero tiene indicación médica de administrar nuevamente. 
ERROR PRÓGRAMATICO: Corresponde al error humano de vacunar a una persona con la dosis o medicamentos biológicos NO indicados en el inserto del producto o en el esquema de vacunación nacional vigente: 
1- Error en correctos de vacunación: cuando al aplicar medicamento(s) biológico(s) NO se implementan los correctos en la administración, como son:  biológico y diluyente correcto, jeringa y aguja correcta, sitio anatómico de administración correcto,  via de administración correcta, reconstitución del medicamento biológico correcta y respetar las contraindicaciones correctas. 
2- Error en dosificación: cuando se administra  medicamento(s) biológico(s) en sobre-dosificación (más) o sub-dosificación (menos), de acuerdo con la indicación específica del inserto del laboratorio productor.</t>
        </is>
      </c>
    </row>
    <row r="49" ht="37.5" customHeight="1">
      <c r="A49" s="227" t="inlineStr">
        <is>
          <t>TOTAL DOSIS PÉRDIDAS: Realice la sumatoria de los datos consignados en cada causa de pérdida por medicamentos biológicos, dispositivo médico e insumos del PAI. Este dato debe corresponder con la información registrada en la columna pérdidas.</t>
        </is>
      </c>
    </row>
    <row r="51" ht="15.6" customHeight="1">
      <c r="A51" s="465" t="inlineStr">
        <is>
          <t>¿CÓMO  HABILITAMOS  LAS  MACROS?</t>
        </is>
      </c>
    </row>
    <row r="52" ht="409.6" customHeight="1">
      <c r="A52" s="466" t="inlineStr">
        <is>
          <t xml:space="preserve">Dependerá de la versión de Microsoft Excel que poseas; aquí vamos a ver cómo hacerlo para cada una de ellas:
Excel 365
A partir de abril de 2022, Microsoft ha implementado una nueva política en sus aplicaciones de Office, incluyendo Excel, que bloquea por defecto las macros de archivos descargados de Internet. 
Con este cambio, cuando los usuarios abran un archivo que proviene de Internet, como un archivo adjunto de correo electrónico, que contiene macros, se mostrará el siguiente mensaje:
Para activar las macros puedes realizar los siguientes pasos:
Sobre el archivo haz clic derecho con el mouse. Selecciona "Propiedades" y marca la casilla de verificación "Desbloquear" en la pestaña "General" y al abrir el archivo ya tienes las macros habilitadas.
</t>
        </is>
      </c>
    </row>
    <row r="53" ht="409.6" customHeight="1">
      <c r="A53" s="466" t="inlineStr">
        <is>
          <t>1. Habilitar las macros desde la barra de Mensajes 
Excel 2007
Cada vez que abrimos un archivo en Excel que contenga macros saldrá la Barra de Mensajes con un ícono de escudo el mensaje “Advertencia de seguridad”. Aquí debemos hacer click en “Opciones” y luego en la ventana que aparece seleccionar “Habilitar contenido”</t>
        </is>
      </c>
    </row>
    <row r="54" ht="263.1" customHeight="1">
      <c r="A54" s="466" t="inlineStr">
        <is>
          <t xml:space="preserve">Excel 2010, 2013, 2016, 2019
En Excel 2010, 2013, 2016, 2019 el ícono aparece con un signo de admiración. Para habilitar las macros debemos hacer click en “Habilitar Contenido”. Ahora podrás utilizar la hoja de cálculo con macros.
</t>
        </is>
      </c>
    </row>
    <row r="55" ht="409.5" customHeight="1">
      <c r="A55" s="466" t="inlineStr">
        <is>
          <t xml:space="preserve">2. Habilitar macros desde la pestaña Archivo
En el caso de que no te aparezca el cartel en la barra de mensajes o bien tienes una versión anterior a Excel 2007 puedes habilitarlo de otra manera:
Excel 2000 y 2003
1. Abrimos el archivo de Excel
2. Vamos al menú Herramientas &gt; Macros &gt; Seguridad                               
3. Seleccionamos nivel  Bajo y Aceptamos
4. Cerramos Excel y lo abrimos de nuevo para que se apliquen los cambios.
</t>
        </is>
      </c>
    </row>
    <row r="56" ht="373.5" customHeight="1">
      <c r="A56" s="466" t="inlineStr">
        <is>
          <t xml:space="preserve">Excel 2007
1. Abrimos el archivo de Excel
2. Hacemos click en el botón con el icono de Office de la parte superior izquierda, y abajo de ese menú accedemos a Opciones de Excel:
</t>
        </is>
      </c>
    </row>
    <row r="57" ht="384.6" customHeight="1">
      <c r="A57" s="466" t="inlineStr">
        <is>
          <t xml:space="preserve">3.  A continuación seleccionamos el menú de centro de confianza y accedemos a la Configuración.
</t>
        </is>
      </c>
    </row>
    <row r="58" ht="400.5" customHeight="1">
      <c r="A58" s="467" t="inlineStr">
        <is>
          <t xml:space="preserve">4. En el apartado Configuración de macros, marcamos la opción “Habilitar todas las macros...” y oprimimos aceptar:
</t>
        </is>
      </c>
    </row>
    <row r="59" ht="15.6" customHeight="1">
      <c r="A59" s="468" t="inlineStr">
        <is>
          <t xml:space="preserve">5. Cerramos el Excel y luego lo abrimos para que se apliquen los cambios                 </t>
        </is>
      </c>
    </row>
    <row r="60" ht="336.6" customHeight="1">
      <c r="A60" s="466" t="inlineStr">
        <is>
          <t>Excel 2010,2013,2016,2019
1. Abrimos el archivo de Excel, vamos a la solapa Archivo y pulsamos sobre Opciones:</t>
        </is>
      </c>
    </row>
    <row r="61" ht="315.6" customHeight="1">
      <c r="A61" s="466" t="inlineStr">
        <is>
          <t xml:space="preserve">2. A continuación seleccionamos el menú de centro de confianza y accedemos a la Configuración:
</t>
        </is>
      </c>
    </row>
    <row r="62" ht="306.6" customHeight="1">
      <c r="A62" s="466" t="inlineStr">
        <is>
          <t xml:space="preserve">3. En el apartado Configuración de macros, marcamos la opción “Habilitar todas las macros”, y luego hacemos click en aceptar:
</t>
        </is>
      </c>
    </row>
    <row r="63">
      <c r="A63" s="469" t="inlineStr">
        <is>
          <t>4. Cerramos Excel y lo abrimos de nuevo para que se apliquen los cambios.</t>
        </is>
      </c>
    </row>
  </sheetData>
  <sheetProtection selectLockedCells="0" selectUnlockedCells="0" algorithmName="SHA-512" sheet="1" objects="1" insertRows="1" insertHyperlinks="1" autoFilter="1" scenarios="1" formatColumns="1" deleteColumns="1" insertColumns="1" pivotTables="1" deleteRows="1" formatCells="1" saltValue="kaVeC/iXqTPi4N+NgKrrZQ==" formatRows="1" sort="1" spinCount="100000" hashValue="lFyFWWOOS7TcfseMOWoLRjDUUULWuYcnOyn7UOmf5qIxyHzpBAGaiHoutrCHRVsV3ENHuOUaDfOSNAUwZfuvAg=="/>
  <pageMargins left="0.7" right="0.7" top="0.75" bottom="0.75" header="0.3" footer="0.3"/>
  <pageSetup orientation="portrait" horizontalDpi="4294967294" verticalDpi="4294967294"/>
  <drawing xmlns:r="http://schemas.openxmlformats.org/officeDocument/2006/relationships" r:id="rId1"/>
</worksheet>
</file>

<file path=xl/worksheets/sheet6.xml><?xml version="1.0" encoding="utf-8"?>
<worksheet xmlns="http://schemas.openxmlformats.org/spreadsheetml/2006/main">
  <sheetPr codeName="Hoja13">
    <tabColor theme="9" tint="0.3999755851924192"/>
    <outlinePr summaryBelow="1" summaryRight="1"/>
    <pageSetUpPr/>
  </sheetPr>
  <dimension ref="A1:AZ919"/>
  <sheetViews>
    <sheetView topLeftCell="A277" zoomScale="50" zoomScaleNormal="50" workbookViewId="0">
      <selection activeCell="L359" sqref="L359:O362"/>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inlineStr">
        <is>
          <t>ENERO</t>
        </is>
      </c>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623"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731" t="n">
        <v>7870</v>
      </c>
      <c r="E13" s="731" t="n"/>
      <c r="F13" s="731" t="n"/>
      <c r="G13" s="730">
        <f>E13+F13</f>
        <v/>
      </c>
      <c r="H13" s="731" t="n"/>
      <c r="I13" s="731" t="n"/>
      <c r="J13" s="732">
        <f>AM13</f>
        <v/>
      </c>
      <c r="K13" s="738">
        <f>+(D13+G13)-(H13+I13+J13)</f>
        <v/>
      </c>
      <c r="L13" s="253" t="n">
        <v>1870</v>
      </c>
      <c r="M13" s="254" t="inlineStr">
        <is>
          <t>0374MA071</t>
        </is>
      </c>
      <c r="N13" s="254" t="n"/>
      <c r="O13" s="1183" t="inlineStr">
        <is>
          <t>31/12/2026</t>
        </is>
      </c>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inlineStr">
        <is>
          <t>AMAZONAS</t>
        </is>
      </c>
      <c r="AZ13" s="231" t="inlineStr">
        <is>
          <t>ENERO</t>
        </is>
      </c>
    </row>
    <row r="14" ht="18.75" customHeight="1">
      <c r="A14" s="973" t="n"/>
      <c r="B14" s="971" t="n"/>
      <c r="C14" s="972" t="n"/>
      <c r="D14" s="994" t="n"/>
      <c r="E14" s="994" t="n"/>
      <c r="F14" s="994" t="n"/>
      <c r="G14" s="973" t="n"/>
      <c r="H14" s="994" t="n"/>
      <c r="I14" s="994" t="n"/>
      <c r="J14" s="973" t="n"/>
      <c r="K14" s="973" t="n"/>
      <c r="L14" s="253" t="n">
        <v>6000</v>
      </c>
      <c r="M14" s="254" t="inlineStr">
        <is>
          <t>0374MA072</t>
        </is>
      </c>
      <c r="N14" s="254" t="n"/>
      <c r="O14" s="1183" t="inlineStr">
        <is>
          <t>31/12/2026</t>
        </is>
      </c>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inlineStr">
        <is>
          <t>ANTIOQUIA</t>
        </is>
      </c>
      <c r="AZ14" s="231" t="inlineStr">
        <is>
          <t>FEBRERO</t>
        </is>
      </c>
    </row>
    <row r="15" ht="18.75" customHeight="1">
      <c r="A15" s="973" t="n"/>
      <c r="B15" s="971" t="n"/>
      <c r="C15" s="972" t="n"/>
      <c r="D15" s="994" t="n"/>
      <c r="E15" s="994" t="n"/>
      <c r="F15" s="994" t="n"/>
      <c r="G15" s="973" t="n"/>
      <c r="H15" s="994" t="n"/>
      <c r="I15" s="994" t="n"/>
      <c r="J15" s="973" t="n"/>
      <c r="K15" s="973" t="n"/>
      <c r="L15" s="253" t="n"/>
      <c r="M15" s="254" t="n"/>
      <c r="N15" s="254" t="n"/>
      <c r="O15" s="1183" t="n"/>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94"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inlineStr">
        <is>
          <t>ATLANTICO</t>
        </is>
      </c>
      <c r="AZ16" s="231" t="inlineStr">
        <is>
          <t>ABRIL</t>
        </is>
      </c>
    </row>
    <row r="17" ht="18.75" customHeight="1">
      <c r="A17" s="973" t="n"/>
      <c r="B17" s="971" t="n"/>
      <c r="C17" s="972" t="n"/>
      <c r="D17" s="994"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inlineStr">
        <is>
          <t>BARRANQUILLA</t>
        </is>
      </c>
      <c r="AZ17" s="231" t="inlineStr">
        <is>
          <t>MAYO</t>
        </is>
      </c>
    </row>
    <row r="18" ht="18.75" customHeight="1">
      <c r="A18" s="975" t="n"/>
      <c r="B18" s="1182" t="n"/>
      <c r="C18" s="1103" t="n"/>
      <c r="D18" s="998"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JUNIO</t>
        </is>
      </c>
    </row>
    <row r="19" ht="18.75" customHeight="1">
      <c r="A19" s="741">
        <f>A13+1</f>
        <v/>
      </c>
      <c r="B19" s="733" t="inlineStr">
        <is>
          <t>Vacuna de Hepatitis B Recombinante Pediátrica - Liquida</t>
        </is>
      </c>
      <c r="C19" s="965" t="n"/>
      <c r="D19" s="731" t="n">
        <v>1841</v>
      </c>
      <c r="E19" s="731" t="n"/>
      <c r="F19" s="731" t="n"/>
      <c r="G19" s="730">
        <f>E19+F19</f>
        <v/>
      </c>
      <c r="H19" s="731" t="n"/>
      <c r="I19" s="731" t="n"/>
      <c r="J19" s="732">
        <f>AM19</f>
        <v/>
      </c>
      <c r="K19" s="738">
        <f>+(D19+G19)-(H19+I19+J19)</f>
        <v/>
      </c>
      <c r="L19" s="253" t="n">
        <v>91</v>
      </c>
      <c r="M19" s="254" t="inlineStr">
        <is>
          <t>0324L013A</t>
        </is>
      </c>
      <c r="N19" s="254" t="n"/>
      <c r="O19" s="1183" t="n"/>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inlineStr">
        <is>
          <t>BOLIVAR</t>
        </is>
      </c>
      <c r="AZ19" s="231" t="inlineStr">
        <is>
          <t>JULIO</t>
        </is>
      </c>
    </row>
    <row r="20" ht="18.75" customHeight="1">
      <c r="A20" s="973" t="n"/>
      <c r="B20" s="971" t="n"/>
      <c r="C20" s="972" t="n"/>
      <c r="D20" s="994" t="n"/>
      <c r="E20" s="994" t="n"/>
      <c r="F20" s="994" t="n"/>
      <c r="G20" s="973" t="n"/>
      <c r="H20" s="994" t="n"/>
      <c r="I20" s="994" t="n"/>
      <c r="J20" s="973" t="n"/>
      <c r="K20" s="973" t="n"/>
      <c r="L20" s="253" t="n">
        <v>1750</v>
      </c>
      <c r="M20" s="254" t="inlineStr">
        <is>
          <t>0324L013B</t>
        </is>
      </c>
      <c r="N20" s="254" t="n"/>
      <c r="O20" s="1183" t="n"/>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94" t="n"/>
      <c r="E21" s="994" t="n"/>
      <c r="F21" s="994" t="n"/>
      <c r="G21" s="973" t="n"/>
      <c r="H21" s="994" t="n"/>
      <c r="I21" s="994" t="n"/>
      <c r="J21" s="973" t="n"/>
      <c r="K21" s="973" t="n"/>
      <c r="L21" s="253" t="n"/>
      <c r="M21" s="254" t="n"/>
      <c r="N21" s="254" t="n"/>
      <c r="O21" s="1183" t="n"/>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inlineStr">
        <is>
          <t>CARTAGENA</t>
        </is>
      </c>
      <c r="AZ21" s="231" t="inlineStr">
        <is>
          <t>AGOSTO</t>
        </is>
      </c>
    </row>
    <row r="22" ht="18.75" customHeight="1">
      <c r="A22" s="973" t="n"/>
      <c r="B22" s="971" t="n"/>
      <c r="C22" s="972" t="n"/>
      <c r="D22" s="994" t="n"/>
      <c r="E22" s="994" t="n"/>
      <c r="F22" s="994" t="n"/>
      <c r="G22" s="973" t="n"/>
      <c r="H22" s="994" t="n"/>
      <c r="I22" s="994" t="n"/>
      <c r="J22" s="973" t="n"/>
      <c r="K22" s="973" t="n"/>
      <c r="L22" s="253" t="n"/>
      <c r="M22" s="254" t="n"/>
      <c r="N22" s="254" t="n"/>
      <c r="O22" s="1183" t="n"/>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inlineStr">
        <is>
          <t>BOYACA</t>
        </is>
      </c>
      <c r="AZ22" s="231" t="inlineStr">
        <is>
          <t>SEPTIEMBRE</t>
        </is>
      </c>
    </row>
    <row r="23" ht="18.75" customHeight="1">
      <c r="A23" s="973" t="n"/>
      <c r="B23" s="971" t="n"/>
      <c r="C23" s="972" t="n"/>
      <c r="D23" s="994"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inlineStr">
        <is>
          <t>CAQUETA</t>
        </is>
      </c>
      <c r="AZ23" s="231" t="inlineStr">
        <is>
          <t>NOVIEMBRE</t>
        </is>
      </c>
    </row>
    <row r="24" ht="18.75" customHeight="1">
      <c r="A24" s="975" t="n"/>
      <c r="B24" s="1182" t="n"/>
      <c r="C24" s="1103" t="n"/>
      <c r="D24" s="998"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731" t="n">
        <v>0</v>
      </c>
      <c r="E25" s="731" t="n"/>
      <c r="F25" s="731" t="n"/>
      <c r="G25" s="730">
        <f>E25+F25</f>
        <v/>
      </c>
      <c r="H25" s="731" t="n"/>
      <c r="I25" s="731" t="n"/>
      <c r="J25" s="732">
        <f>AM25</f>
        <v/>
      </c>
      <c r="K25" s="738">
        <f>+(D25+G25)-(H25+I25+J25)</f>
        <v/>
      </c>
      <c r="L25" s="253" t="n"/>
      <c r="M25" s="254" t="n"/>
      <c r="N25" s="254" t="n"/>
      <c r="O25" s="1183" t="n"/>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inlineStr">
        <is>
          <t>BOLIVAR</t>
        </is>
      </c>
    </row>
    <row r="26" ht="18.75" customHeight="1">
      <c r="A26" s="973" t="n"/>
      <c r="B26" s="971" t="n"/>
      <c r="C26" s="972" t="n"/>
      <c r="D26" s="994"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94"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inlineStr">
        <is>
          <t>CARTAGENA</t>
        </is>
      </c>
    </row>
    <row r="28" ht="18.75" customHeight="1">
      <c r="A28" s="973" t="n"/>
      <c r="B28" s="971" t="n"/>
      <c r="C28" s="972" t="n"/>
      <c r="D28" s="994"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inlineStr">
        <is>
          <t>BOYACA</t>
        </is>
      </c>
    </row>
    <row r="29" ht="18.75" customHeight="1">
      <c r="A29" s="973" t="n"/>
      <c r="B29" s="971" t="n"/>
      <c r="C29" s="972" t="n"/>
      <c r="D29" s="994"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inlineStr">
        <is>
          <t>CAQUETA</t>
        </is>
      </c>
    </row>
    <row r="30" ht="18.75" customHeight="1">
      <c r="A30" s="975" t="n"/>
      <c r="B30" s="1182" t="n"/>
      <c r="C30" s="1103" t="n"/>
      <c r="D30" s="998"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731" t="n">
        <v>13095</v>
      </c>
      <c r="E31" s="731" t="n"/>
      <c r="F31" s="731" t="n"/>
      <c r="G31" s="730">
        <f>E31+F31</f>
        <v/>
      </c>
      <c r="H31" s="731" t="n"/>
      <c r="I31" s="731" t="n"/>
      <c r="J31" s="732">
        <f>AM31</f>
        <v/>
      </c>
      <c r="K31" s="738">
        <f>+(D31+G31)-(H31+I31+J31)</f>
        <v/>
      </c>
      <c r="L31" s="253" t="n">
        <v>3295</v>
      </c>
      <c r="M31" s="254" t="inlineStr">
        <is>
          <t>2435007A</t>
        </is>
      </c>
      <c r="N31" s="254" t="n"/>
      <c r="O31" s="1183" t="inlineStr">
        <is>
          <t>14/05/2027</t>
        </is>
      </c>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inlineStr">
        <is>
          <t>CAUCA</t>
        </is>
      </c>
    </row>
    <row r="32" ht="18.75" customHeight="1">
      <c r="A32" s="973" t="n"/>
      <c r="B32" s="971" t="n"/>
      <c r="C32" s="972" t="n"/>
      <c r="D32" s="994" t="n"/>
      <c r="E32" s="994" t="n"/>
      <c r="F32" s="994" t="n"/>
      <c r="G32" s="973" t="n"/>
      <c r="H32" s="994" t="n"/>
      <c r="I32" s="994" t="n"/>
      <c r="J32" s="973" t="n"/>
      <c r="K32" s="973" t="n"/>
      <c r="L32" s="253" t="n">
        <v>9800</v>
      </c>
      <c r="M32" s="254" t="inlineStr">
        <is>
          <t>2522006A</t>
        </is>
      </c>
      <c r="N32" s="254" t="n"/>
      <c r="O32" s="1183" t="inlineStr">
        <is>
          <t>25/02/2028</t>
        </is>
      </c>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94" t="n"/>
      <c r="E33" s="994" t="n"/>
      <c r="F33" s="994" t="n"/>
      <c r="G33" s="973" t="n"/>
      <c r="H33" s="994" t="n"/>
      <c r="I33" s="994" t="n"/>
      <c r="J33" s="973" t="n"/>
      <c r="K33" s="973" t="n"/>
      <c r="L33" s="253" t="n"/>
      <c r="M33" s="254" t="n"/>
      <c r="N33" s="254" t="n"/>
      <c r="O33" s="1183" t="n"/>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inlineStr">
        <is>
          <t>CESAR</t>
        </is>
      </c>
    </row>
    <row r="34" ht="18.75" customHeight="1">
      <c r="A34" s="973" t="n"/>
      <c r="B34" s="971" t="n"/>
      <c r="C34" s="972" t="n"/>
      <c r="D34" s="994"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inlineStr">
        <is>
          <t>CHOCO</t>
        </is>
      </c>
    </row>
    <row r="35" ht="18.75" customHeight="1">
      <c r="A35" s="973" t="n"/>
      <c r="B35" s="971" t="n"/>
      <c r="C35" s="972" t="n"/>
      <c r="D35" s="994"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inlineStr">
        <is>
          <t>CORDOBA</t>
        </is>
      </c>
    </row>
    <row r="36" ht="18.75" customHeight="1">
      <c r="A36" s="975" t="n"/>
      <c r="B36" s="1182" t="n"/>
      <c r="C36" s="1103" t="n"/>
      <c r="D36" s="998"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731" t="n">
        <v>7550</v>
      </c>
      <c r="E37" s="731" t="n"/>
      <c r="F37" s="731" t="n"/>
      <c r="G37" s="730">
        <f>E37+F37</f>
        <v/>
      </c>
      <c r="H37" s="731" t="n">
        <v>50</v>
      </c>
      <c r="I37" s="731" t="n"/>
      <c r="J37" s="732">
        <f>AM37</f>
        <v/>
      </c>
      <c r="K37" s="738">
        <f>+(D37+G37)-(H37+I37+J37)</f>
        <v/>
      </c>
      <c r="L37" s="253" t="n">
        <v>850</v>
      </c>
      <c r="M37" s="254" t="inlineStr">
        <is>
          <t>2854X041B</t>
        </is>
      </c>
      <c r="N37" s="254" t="n"/>
      <c r="O37" s="1183" t="inlineStr">
        <is>
          <t>30/04/2027</t>
        </is>
      </c>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inlineStr">
        <is>
          <t>NARIÑO</t>
        </is>
      </c>
    </row>
    <row r="38" ht="19.5" customHeight="1">
      <c r="A38" s="973" t="n"/>
      <c r="B38" s="971" t="n"/>
      <c r="C38" s="972" t="n"/>
      <c r="D38" s="994" t="n"/>
      <c r="E38" s="994" t="n"/>
      <c r="F38" s="994" t="n"/>
      <c r="G38" s="973" t="n"/>
      <c r="H38" s="994" t="n"/>
      <c r="I38" s="994" t="n"/>
      <c r="J38" s="973" t="n"/>
      <c r="K38" s="973" t="n"/>
      <c r="L38" s="253" t="n">
        <v>6650</v>
      </c>
      <c r="M38" s="254" t="inlineStr">
        <is>
          <t>2855X001A</t>
        </is>
      </c>
      <c r="N38" s="254" t="n"/>
      <c r="O38" s="1183" t="inlineStr">
        <is>
          <t>30/06/2027</t>
        </is>
      </c>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94" t="n"/>
      <c r="E39" s="994" t="n"/>
      <c r="F39" s="994" t="n"/>
      <c r="G39" s="973" t="n"/>
      <c r="H39" s="994" t="n"/>
      <c r="I39" s="994" t="n"/>
      <c r="J39" s="973" t="n"/>
      <c r="K39" s="973" t="n"/>
      <c r="L39" s="253" t="n"/>
      <c r="M39" s="254" t="n"/>
      <c r="N39" s="254" t="n"/>
      <c r="O39" s="1183" t="n"/>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inlineStr">
        <is>
          <t>NORTE DE SANTANDER</t>
        </is>
      </c>
    </row>
    <row r="40" ht="19.5" customHeight="1">
      <c r="A40" s="973" t="n"/>
      <c r="B40" s="971" t="n"/>
      <c r="C40" s="972" t="n"/>
      <c r="D40" s="994"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94"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inlineStr">
        <is>
          <t>PUTUMAYO</t>
        </is>
      </c>
    </row>
    <row r="42" ht="19.5" customHeight="1">
      <c r="A42" s="975" t="n"/>
      <c r="B42" s="1182" t="n"/>
      <c r="C42" s="1103" t="n"/>
      <c r="D42" s="998"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731" t="n">
        <v>0</v>
      </c>
      <c r="E43" s="731" t="n"/>
      <c r="F43" s="731" t="n"/>
      <c r="G43" s="730">
        <f>E43+F43</f>
        <v/>
      </c>
      <c r="H43" s="731" t="n"/>
      <c r="I43" s="731" t="n"/>
      <c r="J43" s="732">
        <f>AM43</f>
        <v/>
      </c>
      <c r="K43" s="706">
        <f>+(D43+G43)-(H43+I43+J43)</f>
        <v/>
      </c>
      <c r="L43" s="253" t="n"/>
      <c r="M43" s="254" t="n"/>
      <c r="N43" s="254" t="n"/>
      <c r="O43" s="1183" t="n"/>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inlineStr">
        <is>
          <t>NARIÑO</t>
        </is>
      </c>
    </row>
    <row r="44" ht="19.5" customHeight="1">
      <c r="A44" s="973" t="n"/>
      <c r="B44" s="971" t="n"/>
      <c r="C44" s="972" t="n"/>
      <c r="D44" s="994"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94"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inlineStr">
        <is>
          <t>NORTE DE SANTANDER</t>
        </is>
      </c>
    </row>
    <row r="46" ht="19.5" customHeight="1">
      <c r="A46" s="973" t="n"/>
      <c r="B46" s="971" t="n"/>
      <c r="C46" s="972" t="n"/>
      <c r="D46" s="994"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inlineStr">
        <is>
          <t>PUTUMAYO</t>
        </is>
      </c>
    </row>
    <row r="47" ht="19.5" customHeight="1">
      <c r="A47" s="973" t="n"/>
      <c r="B47" s="971" t="n"/>
      <c r="C47" s="972" t="n"/>
      <c r="D47" s="994"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inlineStr">
        <is>
          <t>QUINDIO</t>
        </is>
      </c>
    </row>
    <row r="48" ht="19.5" customHeight="1">
      <c r="A48" s="975" t="n"/>
      <c r="B48" s="1182" t="n"/>
      <c r="C48" s="1103" t="n"/>
      <c r="D48" s="998"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731" t="n">
        <v>0</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inlineStr">
        <is>
          <t>NARIÑO</t>
        </is>
      </c>
    </row>
    <row r="50" ht="19.5" customHeight="1">
      <c r="A50" s="973" t="n"/>
      <c r="B50" s="971" t="n"/>
      <c r="C50" s="972" t="n"/>
      <c r="D50" s="994"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94"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inlineStr">
        <is>
          <t>NORTE DE SANTANDER</t>
        </is>
      </c>
    </row>
    <row r="52" ht="19.5" customHeight="1">
      <c r="A52" s="973" t="n"/>
      <c r="B52" s="971" t="n"/>
      <c r="C52" s="972" t="n"/>
      <c r="D52" s="994"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inlineStr">
        <is>
          <t>PUTUMAYO</t>
        </is>
      </c>
    </row>
    <row r="53" ht="19.5" customHeight="1">
      <c r="A53" s="973" t="n"/>
      <c r="B53" s="971" t="n"/>
      <c r="C53" s="972" t="n"/>
      <c r="D53" s="994"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inlineStr">
        <is>
          <t>QUINDIO</t>
        </is>
      </c>
    </row>
    <row r="54" ht="19.5" customHeight="1">
      <c r="A54" s="975" t="n"/>
      <c r="B54" s="1182" t="n"/>
      <c r="C54" s="1103" t="n"/>
      <c r="D54" s="998"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731" t="n">
        <v>2070</v>
      </c>
      <c r="E55" s="731" t="n"/>
      <c r="F55" s="731" t="n"/>
      <c r="G55" s="730">
        <f>E55+F55</f>
        <v/>
      </c>
      <c r="H55" s="731" t="n"/>
      <c r="I55" s="731" t="n"/>
      <c r="J55" s="732">
        <f>AM55</f>
        <v/>
      </c>
      <c r="K55" s="738">
        <f>+(D55+G55)-(H55+I55+J55)</f>
        <v/>
      </c>
      <c r="L55" s="253" t="n">
        <v>2070</v>
      </c>
      <c r="M55" s="254" t="inlineStr">
        <is>
          <t>221100624A</t>
        </is>
      </c>
      <c r="N55" s="254" t="n"/>
      <c r="O55" s="1183" t="inlineStr">
        <is>
          <t>30/11/2026</t>
        </is>
      </c>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inlineStr">
        <is>
          <t>SANTANDER</t>
        </is>
      </c>
    </row>
    <row r="56" ht="19.5" customHeight="1">
      <c r="A56" s="973" t="n"/>
      <c r="B56" s="971" t="n"/>
      <c r="C56" s="972" t="n"/>
      <c r="D56" s="994" t="n"/>
      <c r="E56" s="994" t="n"/>
      <c r="F56" s="994" t="n"/>
      <c r="G56" s="973" t="n"/>
      <c r="H56" s="994" t="n"/>
      <c r="I56" s="994" t="n"/>
      <c r="J56" s="973" t="n"/>
      <c r="K56" s="973" t="n"/>
      <c r="L56" s="253" t="n"/>
      <c r="M56" s="254" t="n"/>
      <c r="N56" s="254" t="n"/>
      <c r="O56" s="1183" t="n"/>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94"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inlineStr">
        <is>
          <t>SUCRE</t>
        </is>
      </c>
    </row>
    <row r="58" ht="19.5" customHeight="1">
      <c r="A58" s="973" t="n"/>
      <c r="B58" s="971" t="n"/>
      <c r="C58" s="972" t="n"/>
      <c r="D58" s="994"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inlineStr">
        <is>
          <t>TOLIMA</t>
        </is>
      </c>
    </row>
    <row r="59" ht="19.5" customHeight="1">
      <c r="A59" s="973" t="n"/>
      <c r="B59" s="971" t="n"/>
      <c r="C59" s="972" t="n"/>
      <c r="D59" s="994"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inlineStr">
        <is>
          <t>VALLE</t>
        </is>
      </c>
    </row>
    <row r="60" ht="19.5" customHeight="1">
      <c r="A60" s="975" t="n"/>
      <c r="B60" s="971" t="n"/>
      <c r="C60" s="972" t="n"/>
      <c r="D60" s="998"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731" t="n">
        <v>18</v>
      </c>
      <c r="E61" s="731" t="n"/>
      <c r="F61" s="731" t="n"/>
      <c r="G61" s="730">
        <f>E61+F61</f>
        <v/>
      </c>
      <c r="H61" s="731" t="n"/>
      <c r="I61" s="731" t="n"/>
      <c r="J61" s="732">
        <f>AM61</f>
        <v/>
      </c>
      <c r="K61" s="738">
        <f>+(D61+G61)-(H61+I61+J61)</f>
        <v/>
      </c>
      <c r="L61" s="253" t="n">
        <v>18</v>
      </c>
      <c r="M61" s="254" t="inlineStr">
        <is>
          <t>4CA03C1</t>
        </is>
      </c>
      <c r="N61" s="254" t="n"/>
      <c r="O61" s="1183" t="inlineStr">
        <is>
          <t>31/10/2026</t>
        </is>
      </c>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inlineStr">
        <is>
          <t>VICHADA</t>
        </is>
      </c>
    </row>
    <row r="62" ht="19.5" customHeight="1">
      <c r="A62" s="973" t="n"/>
      <c r="B62" s="971" t="n"/>
      <c r="C62" s="972" t="n"/>
      <c r="D62" s="994"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94"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94"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94"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98"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731" t="n">
        <v>2138</v>
      </c>
      <c r="E67" s="731" t="n"/>
      <c r="F67" s="731" t="n"/>
      <c r="G67" s="730">
        <f>E67+F67</f>
        <v/>
      </c>
      <c r="H67" s="731" t="n"/>
      <c r="I67" s="731" t="n"/>
      <c r="J67" s="732">
        <f>AM67</f>
        <v/>
      </c>
      <c r="K67" s="738">
        <f>+(D67+G67)-(H67+I67+J67)</f>
        <v/>
      </c>
      <c r="L67" s="253" t="n">
        <v>38</v>
      </c>
      <c r="M67" s="254" t="inlineStr">
        <is>
          <t>AROLE197AB</t>
        </is>
      </c>
      <c r="N67" s="254" t="n"/>
      <c r="O67" s="1183" t="inlineStr">
        <is>
          <t>28/02/2027</t>
        </is>
      </c>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94" t="n"/>
      <c r="E68" s="994" t="n"/>
      <c r="F68" s="994" t="n"/>
      <c r="G68" s="973" t="n"/>
      <c r="H68" s="994" t="n"/>
      <c r="I68" s="994" t="n"/>
      <c r="J68" s="973" t="n"/>
      <c r="K68" s="973" t="n"/>
      <c r="L68" s="253" t="n">
        <v>2100</v>
      </c>
      <c r="M68" s="254" t="inlineStr">
        <is>
          <t>AROLE203AC</t>
        </is>
      </c>
      <c r="N68" s="254" t="n"/>
      <c r="O68" s="1183" t="inlineStr">
        <is>
          <t>31/03/2027</t>
        </is>
      </c>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94" t="n"/>
      <c r="E69" s="994" t="n"/>
      <c r="F69" s="994" t="n"/>
      <c r="G69" s="973" t="n"/>
      <c r="H69" s="994" t="n"/>
      <c r="I69" s="994" t="n"/>
      <c r="J69" s="973" t="n"/>
      <c r="K69" s="973" t="n"/>
      <c r="L69" s="253" t="n"/>
      <c r="M69" s="254" t="n"/>
      <c r="N69" s="254" t="n"/>
      <c r="O69" s="1183" t="n"/>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94"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94"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98"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731" t="n">
        <v>3835</v>
      </c>
      <c r="E73" s="731" t="n"/>
      <c r="F73" s="731" t="n"/>
      <c r="G73" s="730">
        <f>E73+F73</f>
        <v/>
      </c>
      <c r="H73" s="731" t="n"/>
      <c r="I73" s="731" t="n"/>
      <c r="J73" s="732">
        <f>AM73</f>
        <v/>
      </c>
      <c r="K73" s="738">
        <f>+(D73+G73)-(H73+I73+J73)</f>
        <v/>
      </c>
      <c r="L73" s="253" t="n">
        <v>3835</v>
      </c>
      <c r="M73" s="254" t="inlineStr">
        <is>
          <t>LK3156</t>
        </is>
      </c>
      <c r="N73" s="254" t="n"/>
      <c r="O73" s="1183" t="inlineStr">
        <is>
          <t>31/05/2027</t>
        </is>
      </c>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94" t="n"/>
      <c r="E74" s="994" t="n"/>
      <c r="F74" s="994" t="n"/>
      <c r="G74" s="973" t="n"/>
      <c r="H74" s="994" t="n"/>
      <c r="I74" s="994" t="n"/>
      <c r="J74" s="973" t="n"/>
      <c r="K74" s="973" t="n"/>
      <c r="L74" s="253" t="n"/>
      <c r="M74" s="254" t="n"/>
      <c r="N74" s="254" t="n"/>
      <c r="O74" s="1183" t="n"/>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94" t="n"/>
      <c r="E75" s="994" t="n"/>
      <c r="F75" s="994" t="n"/>
      <c r="G75" s="973" t="n"/>
      <c r="H75" s="994" t="n"/>
      <c r="I75" s="994" t="n"/>
      <c r="J75" s="973" t="n"/>
      <c r="K75" s="973" t="n"/>
      <c r="L75" s="253" t="n"/>
      <c r="M75" s="254" t="n"/>
      <c r="N75" s="254" t="n"/>
      <c r="O75" s="1183" t="n"/>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94"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94"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98"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731" t="n">
        <v>0</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94"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94"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94"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94"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98"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731" t="n">
        <v>11678</v>
      </c>
      <c r="E85" s="731" t="n"/>
      <c r="F85" s="731" t="n"/>
      <c r="G85" s="730">
        <f>E85+F85</f>
        <v/>
      </c>
      <c r="H85" s="731" t="n"/>
      <c r="I85" s="731" t="n"/>
      <c r="J85" s="732">
        <f>AM85</f>
        <v/>
      </c>
      <c r="K85" s="738">
        <f>+(D85+G85)-(H85+I85+J85)</f>
        <v/>
      </c>
      <c r="L85" s="253" t="n">
        <v>1678</v>
      </c>
      <c r="M85" s="254" t="inlineStr">
        <is>
          <t>0133N146B</t>
        </is>
      </c>
      <c r="N85" s="254" t="n"/>
      <c r="O85" s="1183" t="inlineStr">
        <is>
          <t>30/09/2026</t>
        </is>
      </c>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94" t="n"/>
      <c r="E86" s="994" t="n"/>
      <c r="F86" s="994" t="n"/>
      <c r="G86" s="973" t="n"/>
      <c r="H86" s="994" t="n"/>
      <c r="I86" s="994" t="n"/>
      <c r="J86" s="973" t="n"/>
      <c r="K86" s="973" t="n"/>
      <c r="L86" s="253" t="n">
        <v>5000</v>
      </c>
      <c r="M86" s="254" t="inlineStr">
        <is>
          <t>0134N093A</t>
        </is>
      </c>
      <c r="N86" s="254" t="n"/>
      <c r="O86" s="1183" t="inlineStr">
        <is>
          <t>30/04/2027</t>
        </is>
      </c>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94" t="n"/>
      <c r="E87" s="994" t="n"/>
      <c r="F87" s="994" t="n"/>
      <c r="G87" s="973" t="n"/>
      <c r="H87" s="994" t="n"/>
      <c r="I87" s="994" t="n"/>
      <c r="J87" s="973" t="n"/>
      <c r="K87" s="973" t="n"/>
      <c r="L87" s="253" t="n">
        <v>5000</v>
      </c>
      <c r="M87" s="254" t="inlineStr">
        <is>
          <t>0134N096A</t>
        </is>
      </c>
      <c r="N87" s="254" t="n"/>
      <c r="O87" s="1183" t="inlineStr">
        <is>
          <t>30/04/2027</t>
        </is>
      </c>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94" t="n"/>
      <c r="E88" s="994" t="n"/>
      <c r="F88" s="994" t="n"/>
      <c r="G88" s="973" t="n"/>
      <c r="H88" s="994" t="n"/>
      <c r="I88" s="994" t="n"/>
      <c r="J88" s="973" t="n"/>
      <c r="K88" s="973" t="n"/>
      <c r="L88" s="253" t="n"/>
      <c r="M88" s="254" t="n"/>
      <c r="N88" s="254" t="n"/>
      <c r="O88" s="1183" t="n"/>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94"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98"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731" t="n">
        <v>0</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94"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94"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94"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94"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98"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731" t="n">
        <v>0</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94"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94"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94"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94"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98"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731" t="n">
        <v>5622</v>
      </c>
      <c r="E103" s="731" t="n"/>
      <c r="F103" s="731" t="n"/>
      <c r="G103" s="730">
        <f>E103+F103</f>
        <v/>
      </c>
      <c r="H103" s="731" t="n"/>
      <c r="I103" s="731" t="n"/>
      <c r="J103" s="732">
        <f>AM103</f>
        <v/>
      </c>
      <c r="K103" s="738">
        <f>+(D103+G103)-(H103+I103+J103)</f>
        <v/>
      </c>
      <c r="L103" s="253" t="n">
        <v>2397</v>
      </c>
      <c r="M103" s="254" t="inlineStr">
        <is>
          <t>0094W002</t>
        </is>
      </c>
      <c r="N103" s="254" t="n"/>
      <c r="O103" s="1183" t="inlineStr">
        <is>
          <t>30/11/2026</t>
        </is>
      </c>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94" t="n"/>
      <c r="E104" s="994" t="n"/>
      <c r="F104" s="994" t="n"/>
      <c r="G104" s="973" t="n"/>
      <c r="H104" s="994" t="n"/>
      <c r="I104" s="994" t="n"/>
      <c r="J104" s="973" t="n"/>
      <c r="K104" s="973" t="n"/>
      <c r="L104" s="253" t="n">
        <v>3225</v>
      </c>
      <c r="M104" s="254" t="inlineStr">
        <is>
          <t>0094W003</t>
        </is>
      </c>
      <c r="N104" s="254" t="n"/>
      <c r="O104" s="1183" t="inlineStr">
        <is>
          <t>31/01/2027</t>
        </is>
      </c>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94"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94"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94"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98"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731" t="n">
        <v>0</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94"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94"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94"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94"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98"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731" t="n">
        <v>0</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94"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94"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94"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94"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98"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731" t="n">
        <v>41400</v>
      </c>
      <c r="E121" s="731" t="n"/>
      <c r="F121" s="731" t="n"/>
      <c r="G121" s="730">
        <f>E121+F121</f>
        <v/>
      </c>
      <c r="H121" s="731" t="n"/>
      <c r="I121" s="731" t="n"/>
      <c r="J121" s="732">
        <f>AM121</f>
        <v/>
      </c>
      <c r="K121" s="738">
        <f>+(D121+G121)-(H121+I121+J121)</f>
        <v/>
      </c>
      <c r="L121" s="253" t="n">
        <v>11400</v>
      </c>
      <c r="M121" s="254" t="inlineStr">
        <is>
          <t>Y3D32</t>
        </is>
      </c>
      <c r="N121" s="254" t="n"/>
      <c r="O121" s="1183" t="inlineStr">
        <is>
          <t>30/04/2027</t>
        </is>
      </c>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94" t="n"/>
      <c r="E122" s="994" t="n"/>
      <c r="F122" s="994" t="n"/>
      <c r="G122" s="973" t="n"/>
      <c r="H122" s="994" t="n"/>
      <c r="I122" s="994" t="n"/>
      <c r="J122" s="973" t="n"/>
      <c r="K122" s="973" t="n"/>
      <c r="L122" s="253" t="n">
        <v>30000</v>
      </c>
      <c r="M122" s="254" t="inlineStr">
        <is>
          <t>Y3H33</t>
        </is>
      </c>
      <c r="N122" s="254" t="n"/>
      <c r="O122" s="1183" t="inlineStr">
        <is>
          <t>31/08/2027</t>
        </is>
      </c>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94" t="n"/>
      <c r="E123" s="994" t="n"/>
      <c r="F123" s="994" t="n"/>
      <c r="G123" s="973" t="n"/>
      <c r="H123" s="994" t="n"/>
      <c r="I123" s="994" t="n"/>
      <c r="J123" s="973" t="n"/>
      <c r="K123" s="973" t="n"/>
      <c r="L123" s="253" t="n"/>
      <c r="M123" s="254" t="n"/>
      <c r="N123" s="254" t="n"/>
      <c r="O123" s="1183" t="n"/>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94"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94"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98"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731" t="n">
        <v>2665</v>
      </c>
      <c r="E127" s="731" t="n"/>
      <c r="F127" s="731" t="n"/>
      <c r="G127" s="730">
        <f>E127+F127</f>
        <v/>
      </c>
      <c r="H127" s="731" t="n"/>
      <c r="I127" s="731" t="n"/>
      <c r="J127" s="732">
        <f>AM127</f>
        <v/>
      </c>
      <c r="K127" s="738">
        <f>+(D127+G127)-(H127+I127+J127)</f>
        <v/>
      </c>
      <c r="L127" s="253" t="n">
        <v>950</v>
      </c>
      <c r="M127" s="254" t="inlineStr">
        <is>
          <t>AB202403009</t>
        </is>
      </c>
      <c r="N127" s="254" t="n"/>
      <c r="O127" s="1183" t="inlineStr">
        <is>
          <t>04/09/2027</t>
        </is>
      </c>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94" t="n"/>
      <c r="E128" s="994" t="n"/>
      <c r="F128" s="994" t="n"/>
      <c r="G128" s="973" t="n"/>
      <c r="H128" s="994" t="n"/>
      <c r="I128" s="994" t="n"/>
      <c r="J128" s="973" t="n"/>
      <c r="K128" s="973" t="n"/>
      <c r="L128" s="253" t="n">
        <v>1715</v>
      </c>
      <c r="M128" s="254" t="inlineStr">
        <is>
          <t>AB202404013</t>
        </is>
      </c>
      <c r="N128" s="254" t="n"/>
      <c r="O128" s="1183" t="inlineStr">
        <is>
          <t>21/10/2027</t>
        </is>
      </c>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94" t="n"/>
      <c r="E129" s="994" t="n"/>
      <c r="F129" s="994" t="n"/>
      <c r="G129" s="973" t="n"/>
      <c r="H129" s="994" t="n"/>
      <c r="I129" s="994" t="n"/>
      <c r="J129" s="973" t="n"/>
      <c r="K129" s="973" t="n"/>
      <c r="L129" s="253" t="n"/>
      <c r="M129" s="254" t="n"/>
      <c r="N129" s="254" t="n"/>
      <c r="O129" s="1183" t="n"/>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94"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94"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98"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731" t="n">
        <v>3705</v>
      </c>
      <c r="E133" s="731" t="n"/>
      <c r="F133" s="731" t="n"/>
      <c r="G133" s="730">
        <f>E133+F133</f>
        <v/>
      </c>
      <c r="H133" s="731" t="n"/>
      <c r="I133" s="731" t="n"/>
      <c r="J133" s="732">
        <f>AM133</f>
        <v/>
      </c>
      <c r="K133" s="738">
        <f>+(D133+G133)-(H133+I133+J133)</f>
        <v/>
      </c>
      <c r="L133" s="253" t="n">
        <v>3705</v>
      </c>
      <c r="M133" s="254" t="inlineStr">
        <is>
          <t>BB202506051</t>
        </is>
      </c>
      <c r="N133" s="254" t="n"/>
      <c r="O133" s="1183" t="inlineStr">
        <is>
          <t>12/06/2027</t>
        </is>
      </c>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94" t="n"/>
      <c r="E134" s="994" t="n"/>
      <c r="F134" s="994" t="n"/>
      <c r="G134" s="973" t="n"/>
      <c r="H134" s="994" t="n"/>
      <c r="I134" s="994" t="n"/>
      <c r="J134" s="973" t="n"/>
      <c r="K134" s="973" t="n"/>
      <c r="L134" s="253" t="n"/>
      <c r="M134" s="254" t="n"/>
      <c r="N134" s="254" t="n"/>
      <c r="O134" s="1183" t="n"/>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94" t="n"/>
      <c r="E135" s="994" t="n"/>
      <c r="F135" s="994" t="n"/>
      <c r="G135" s="973" t="n"/>
      <c r="H135" s="994" t="n"/>
      <c r="I135" s="994" t="n"/>
      <c r="J135" s="973" t="n"/>
      <c r="K135" s="973" t="n"/>
      <c r="L135" s="253" t="n"/>
      <c r="M135" s="254" t="n"/>
      <c r="N135" s="254" t="n"/>
      <c r="O135" s="1183" t="n"/>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94"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94"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98"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731" t="n">
        <v>0</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94"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94"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94"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94"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98"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731" t="n">
        <v>4330</v>
      </c>
      <c r="E145" s="731" t="n"/>
      <c r="F145" s="731" t="n"/>
      <c r="G145" s="730">
        <f>E145+F145</f>
        <v/>
      </c>
      <c r="H145" s="731" t="n"/>
      <c r="I145" s="731" t="n"/>
      <c r="J145" s="732">
        <f>AM145</f>
        <v/>
      </c>
      <c r="K145" s="738">
        <f>+(D145+G145)-(H145+I145+J145)</f>
        <v/>
      </c>
      <c r="L145" s="253" t="n">
        <v>4330</v>
      </c>
      <c r="M145" s="254" t="inlineStr">
        <is>
          <t>2334L016E</t>
        </is>
      </c>
      <c r="N145" s="254" t="n"/>
      <c r="O145" s="1183" t="inlineStr">
        <is>
          <t>31/03/2027</t>
        </is>
      </c>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94" t="n"/>
      <c r="E146" s="994" t="n"/>
      <c r="F146" s="994" t="n"/>
      <c r="G146" s="973" t="n"/>
      <c r="H146" s="994" t="n"/>
      <c r="I146" s="994" t="n"/>
      <c r="J146" s="973" t="n"/>
      <c r="K146" s="973" t="n"/>
      <c r="L146" s="253" t="n"/>
      <c r="M146" s="254" t="n"/>
      <c r="N146" s="254" t="n"/>
      <c r="O146" s="1183" t="n"/>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94"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94"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94"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98"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731" t="n">
        <v>1234</v>
      </c>
      <c r="E151" s="731" t="n">
        <v>0</v>
      </c>
      <c r="F151" s="731" t="n"/>
      <c r="G151" s="730">
        <f>E151+F151</f>
        <v/>
      </c>
      <c r="H151" s="731" t="n">
        <v>50</v>
      </c>
      <c r="I151" s="731" t="n"/>
      <c r="J151" s="732">
        <f>AM151</f>
        <v/>
      </c>
      <c r="K151" s="738">
        <f>+(D151+G151)-(H151+I151+J151)</f>
        <v/>
      </c>
      <c r="L151" s="253" t="n">
        <v>1184</v>
      </c>
      <c r="M151" s="254" t="inlineStr">
        <is>
          <t>3CA50C1</t>
        </is>
      </c>
      <c r="N151" s="254" t="n"/>
      <c r="O151" s="1183" t="inlineStr">
        <is>
          <t>30/09/2027</t>
        </is>
      </c>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94" t="n"/>
      <c r="E152" s="994" t="n"/>
      <c r="F152" s="994" t="n"/>
      <c r="G152" s="973" t="n"/>
      <c r="H152" s="994" t="n"/>
      <c r="I152" s="994" t="n"/>
      <c r="J152" s="973" t="n"/>
      <c r="K152" s="973" t="n"/>
      <c r="L152" s="253" t="n"/>
      <c r="M152" s="254" t="n"/>
      <c r="N152" s="254" t="n"/>
      <c r="O152" s="1183" t="n"/>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94"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94"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94"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98"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731" t="n">
        <v>0</v>
      </c>
      <c r="E157" s="731" t="n"/>
      <c r="F157" s="731" t="n"/>
      <c r="G157" s="730">
        <f>E157+F157</f>
        <v/>
      </c>
      <c r="H157" s="731" t="n"/>
      <c r="I157" s="731" t="n"/>
      <c r="J157" s="732">
        <f>AM157</f>
        <v/>
      </c>
      <c r="K157" s="738">
        <f>+(D157+G157)-(H157+I157+J157)</f>
        <v/>
      </c>
      <c r="L157" s="253" t="n"/>
      <c r="M157" s="254" t="n"/>
      <c r="N157" s="254" t="n"/>
      <c r="O157" s="1183" t="n"/>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94"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94"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94"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94"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98"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731" t="n">
        <v>0</v>
      </c>
      <c r="E163" s="731" t="n"/>
      <c r="F163" s="731" t="n"/>
      <c r="G163" s="730">
        <f>E163+F163</f>
        <v/>
      </c>
      <c r="H163" s="731" t="n"/>
      <c r="I163" s="731" t="n"/>
      <c r="J163" s="732">
        <f>AM163</f>
        <v/>
      </c>
      <c r="K163" s="738">
        <f>+(D163+G163)-(H163+I163+J163)</f>
        <v/>
      </c>
      <c r="L163" s="253" t="n"/>
      <c r="M163" s="254" t="n"/>
      <c r="N163" s="254" t="n"/>
      <c r="O163" s="1183" t="n"/>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94" t="n"/>
      <c r="E164" s="994" t="n"/>
      <c r="F164" s="994" t="n"/>
      <c r="G164" s="973" t="n"/>
      <c r="H164" s="994" t="n"/>
      <c r="I164" s="994" t="n"/>
      <c r="J164" s="973" t="n"/>
      <c r="K164" s="973" t="n"/>
      <c r="L164" s="253" t="n"/>
      <c r="M164" s="254" t="n"/>
      <c r="N164" s="254" t="n"/>
      <c r="O164" s="1183" t="n"/>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94" t="n"/>
      <c r="E165" s="994" t="n"/>
      <c r="F165" s="994" t="n"/>
      <c r="G165" s="973" t="n"/>
      <c r="H165" s="994" t="n"/>
      <c r="I165" s="994" t="n"/>
      <c r="J165" s="973" t="n"/>
      <c r="K165" s="973" t="n"/>
      <c r="L165" s="253" t="n"/>
      <c r="M165" s="254" t="n"/>
      <c r="N165" s="254" t="n"/>
      <c r="O165" s="1183" t="n"/>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94"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94"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98"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731" t="n">
        <v>0</v>
      </c>
      <c r="E169" s="731" t="n"/>
      <c r="F169" s="731" t="n"/>
      <c r="G169" s="730">
        <f>E169+F169</f>
        <v/>
      </c>
      <c r="H169" s="731" t="n"/>
      <c r="I169" s="731" t="n"/>
      <c r="J169" s="732">
        <f>AM169</f>
        <v/>
      </c>
      <c r="K169" s="738">
        <f>+(D169+G169)-(H169+I169+J169)</f>
        <v/>
      </c>
      <c r="L169" s="253" t="n"/>
      <c r="M169" s="254" t="n"/>
      <c r="N169" s="254" t="n"/>
      <c r="O169" s="1183" t="n"/>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94" t="n"/>
      <c r="E170" s="994" t="n"/>
      <c r="F170" s="994" t="n"/>
      <c r="G170" s="973" t="n"/>
      <c r="H170" s="994" t="n"/>
      <c r="I170" s="994" t="n"/>
      <c r="J170" s="973" t="n"/>
      <c r="K170" s="973" t="n"/>
      <c r="L170" s="253" t="n"/>
      <c r="M170" s="254"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94"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94"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94"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98"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731" t="n">
        <v>2048</v>
      </c>
      <c r="E175" s="731" t="n"/>
      <c r="F175" s="731" t="n"/>
      <c r="G175" s="730">
        <f>E175+F175</f>
        <v/>
      </c>
      <c r="H175" s="731" t="n"/>
      <c r="I175" s="731" t="n"/>
      <c r="J175" s="732">
        <f>AM175</f>
        <v/>
      </c>
      <c r="K175" s="738">
        <f>+(D175+G175)-(H175+I175+J175)</f>
        <v/>
      </c>
      <c r="L175" s="253" t="n">
        <v>2048</v>
      </c>
      <c r="M175" s="254" t="inlineStr">
        <is>
          <t>Y014828</t>
        </is>
      </c>
      <c r="N175" s="254" t="n"/>
      <c r="O175" s="1183" t="inlineStr">
        <is>
          <t>31/05/2027</t>
        </is>
      </c>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94" t="n"/>
      <c r="E176" s="994" t="n"/>
      <c r="F176" s="994" t="n"/>
      <c r="G176" s="973" t="n"/>
      <c r="H176" s="994" t="n"/>
      <c r="I176" s="994" t="n"/>
      <c r="J176" s="973" t="n"/>
      <c r="K176" s="973" t="n"/>
      <c r="L176" s="253" t="n"/>
      <c r="M176" s="254" t="n"/>
      <c r="N176" s="254" t="n"/>
      <c r="O176" s="1183" t="n"/>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94" t="n"/>
      <c r="E177" s="994" t="n"/>
      <c r="F177" s="994" t="n"/>
      <c r="G177" s="973" t="n"/>
      <c r="H177" s="994" t="n"/>
      <c r="I177" s="994" t="n"/>
      <c r="J177" s="973" t="n"/>
      <c r="K177" s="973" t="n"/>
      <c r="L177" s="253" t="n"/>
      <c r="M177" s="254" t="n"/>
      <c r="N177" s="254" t="n"/>
      <c r="O177" s="1183" t="n"/>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94"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94"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98"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731" t="n">
        <v>0</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94"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94"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94"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94"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98"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731" t="n">
        <v>90</v>
      </c>
      <c r="E187" s="731" t="n"/>
      <c r="F187" s="731" t="n"/>
      <c r="G187" s="730">
        <f>E187+F187</f>
        <v/>
      </c>
      <c r="H187" s="731" t="n"/>
      <c r="I187" s="731" t="n"/>
      <c r="J187" s="732">
        <f>AM187</f>
        <v/>
      </c>
      <c r="K187" s="738">
        <f>+(D187+G187)-(H187+I187+J187)</f>
        <v/>
      </c>
      <c r="L187" s="253" t="n">
        <v>90</v>
      </c>
      <c r="M187" s="254" t="inlineStr">
        <is>
          <t>1484T128</t>
        </is>
      </c>
      <c r="N187" s="254" t="n"/>
      <c r="O187" s="1183" t="inlineStr">
        <is>
          <t>31/10/2027</t>
        </is>
      </c>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94" t="n"/>
      <c r="E188" s="994" t="n"/>
      <c r="F188" s="994" t="n"/>
      <c r="G188" s="973" t="n"/>
      <c r="H188" s="994" t="n"/>
      <c r="I188" s="994" t="n"/>
      <c r="J188" s="973" t="n"/>
      <c r="K188" s="973" t="n"/>
      <c r="L188" s="253" t="n"/>
      <c r="M188" s="254" t="n"/>
      <c r="N188" s="254" t="n"/>
      <c r="O188" s="1183" t="n"/>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94"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94"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94"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98"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731" t="n">
        <v>78</v>
      </c>
      <c r="E193" s="731" t="n"/>
      <c r="F193" s="731" t="n"/>
      <c r="G193" s="730">
        <f>E193+F193</f>
        <v/>
      </c>
      <c r="H193" s="731" t="n"/>
      <c r="I193" s="731" t="n"/>
      <c r="J193" s="732">
        <f>AM193</f>
        <v/>
      </c>
      <c r="K193" s="738">
        <f>+(D193+G193)-(H193+I193+J193)</f>
        <v/>
      </c>
      <c r="L193" s="253" t="n">
        <v>78</v>
      </c>
      <c r="M193" s="254" t="inlineStr">
        <is>
          <t>P100819448</t>
        </is>
      </c>
      <c r="N193" s="254" t="n"/>
      <c r="O193" s="1183" t="inlineStr">
        <is>
          <t>24/03/2028</t>
        </is>
      </c>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94"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94"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94"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94"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98"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731" t="n">
        <v>356</v>
      </c>
      <c r="E199" s="731" t="n"/>
      <c r="F199" s="731" t="n"/>
      <c r="G199" s="730">
        <f>E199+F199</f>
        <v/>
      </c>
      <c r="H199" s="731" t="n">
        <v>12</v>
      </c>
      <c r="I199" s="731" t="n"/>
      <c r="J199" s="732">
        <f>AM199</f>
        <v/>
      </c>
      <c r="K199" s="738">
        <f>+(D199+G199)-(H199+I199+J199)</f>
        <v/>
      </c>
      <c r="L199" s="253" t="n">
        <v>344</v>
      </c>
      <c r="M199" s="254" t="inlineStr">
        <is>
          <t>08AR25015</t>
        </is>
      </c>
      <c r="N199" s="254" t="n"/>
      <c r="O199" s="1183" t="inlineStr">
        <is>
          <t>31/05/2027</t>
        </is>
      </c>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94" t="n"/>
      <c r="E200" s="994" t="n"/>
      <c r="F200" s="994" t="n"/>
      <c r="G200" s="973" t="n"/>
      <c r="H200" s="994" t="n"/>
      <c r="I200" s="994" t="n"/>
      <c r="J200" s="973" t="n"/>
      <c r="K200" s="973" t="n"/>
      <c r="L200" s="253" t="n"/>
      <c r="M200" s="254" t="n"/>
      <c r="N200" s="254" t="n"/>
      <c r="O200" s="1183" t="n"/>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94"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94"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94"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98"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731" t="n">
        <v>43</v>
      </c>
      <c r="E205" s="731" t="n"/>
      <c r="F205" s="731" t="n"/>
      <c r="G205" s="730">
        <f>E205+F205</f>
        <v/>
      </c>
      <c r="H205" s="731" t="n"/>
      <c r="I205" s="731" t="n"/>
      <c r="J205" s="732">
        <f>AM205</f>
        <v/>
      </c>
      <c r="K205" s="738">
        <f>+(D205+G205)-(H205+I205+J205)</f>
        <v/>
      </c>
      <c r="L205" s="253" t="n">
        <v>43</v>
      </c>
      <c r="M205" s="254" t="inlineStr">
        <is>
          <t>P100756726</t>
        </is>
      </c>
      <c r="N205" s="254" t="n"/>
      <c r="O205" s="1183" t="inlineStr">
        <is>
          <t>09/10/2027</t>
        </is>
      </c>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94"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94"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94"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94"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98"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731" t="n">
        <v>0</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94"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94"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94"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94"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98"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731" t="n">
        <v>0</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94"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94"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94"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94"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98"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731" t="n">
        <v>0</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94"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94"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94"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94"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98"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731" t="n">
        <v>8230</v>
      </c>
      <c r="E230" s="731" t="n"/>
      <c r="F230" s="731" t="n"/>
      <c r="G230" s="730">
        <f>E230+F230</f>
        <v/>
      </c>
      <c r="H230" s="731" t="n"/>
      <c r="I230" s="731" t="n"/>
      <c r="J230" s="732">
        <f>AM230</f>
        <v/>
      </c>
      <c r="K230" s="738">
        <f>+(D230+G230)-(H230+I230+J230)</f>
        <v/>
      </c>
      <c r="L230" s="253" t="n">
        <v>8230</v>
      </c>
      <c r="M230" s="521" t="inlineStr">
        <is>
          <t>0704S4011</t>
        </is>
      </c>
      <c r="N230" s="254" t="n"/>
      <c r="O230" s="1183" t="inlineStr">
        <is>
          <t>31/12/2026</t>
        </is>
      </c>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94" t="n"/>
      <c r="E231" s="994" t="n"/>
      <c r="F231" s="994" t="n"/>
      <c r="G231" s="973" t="n"/>
      <c r="H231" s="994" t="n"/>
      <c r="I231" s="994" t="n"/>
      <c r="J231" s="973" t="n"/>
      <c r="K231" s="973" t="n"/>
      <c r="L231" s="253" t="n"/>
      <c r="M231" s="254" t="n"/>
      <c r="N231" s="254" t="n"/>
      <c r="O231" s="1183" t="inlineStr">
        <is>
          <t>31/12/2026</t>
        </is>
      </c>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94" t="n"/>
      <c r="E232" s="994" t="n"/>
      <c r="F232" s="994" t="n"/>
      <c r="G232" s="973" t="n"/>
      <c r="H232" s="994" t="n"/>
      <c r="I232" s="994" t="n"/>
      <c r="J232" s="973" t="n"/>
      <c r="K232" s="973" t="n"/>
      <c r="L232" s="253" t="n"/>
      <c r="M232" s="254" t="n"/>
      <c r="N232" s="254" t="n"/>
      <c r="O232" s="1183" t="n"/>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94"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94"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98" t="n"/>
      <c r="E235" s="998" t="n"/>
      <c r="F235" s="998" t="n"/>
      <c r="G235" s="975" t="n"/>
      <c r="H235" s="998" t="n"/>
      <c r="I235" s="998" t="n"/>
      <c r="J235" s="975" t="n"/>
      <c r="K235" s="1189">
        <f>K230=L235</f>
        <v/>
      </c>
      <c r="L235" s="491">
        <f>SUM(L230:L234)</f>
        <v/>
      </c>
      <c r="M235" s="1190" t="inlineStr">
        <is>
          <t xml:space="preserve">“Verdadero” indica que la cantidad por lote, coincide con el saldo que inicia al mes siguiente. "Falso" no coinicide. </t>
        </is>
      </c>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731" t="n">
        <v>14793</v>
      </c>
      <c r="E236" s="731" t="n"/>
      <c r="F236" s="731" t="n"/>
      <c r="G236" s="730">
        <f>E236+F236</f>
        <v/>
      </c>
      <c r="H236" s="731" t="n"/>
      <c r="I236" s="731" t="n"/>
      <c r="J236" s="732">
        <f>AM236</f>
        <v/>
      </c>
      <c r="K236" s="738">
        <f>+(D236+G236)-(H236+I236+J236)</f>
        <v/>
      </c>
      <c r="L236" s="253" t="n">
        <v>4793</v>
      </c>
      <c r="M236" s="254" t="inlineStr">
        <is>
          <t>0643S1010</t>
        </is>
      </c>
      <c r="N236" s="254" t="n"/>
      <c r="O236" s="1183" t="inlineStr">
        <is>
          <t>30/04/2028</t>
        </is>
      </c>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94" t="n"/>
      <c r="E237" s="994" t="n"/>
      <c r="F237" s="994" t="n"/>
      <c r="G237" s="973" t="n"/>
      <c r="H237" s="994" t="n"/>
      <c r="I237" s="994" t="n"/>
      <c r="J237" s="973" t="n"/>
      <c r="K237" s="973" t="n"/>
      <c r="L237" s="253" t="n">
        <v>10000</v>
      </c>
      <c r="M237" s="254" t="inlineStr">
        <is>
          <t>0644S4011</t>
        </is>
      </c>
      <c r="N237" s="254" t="n"/>
      <c r="O237" s="1183" t="inlineStr">
        <is>
          <t>30/06/2029</t>
        </is>
      </c>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94" t="n"/>
      <c r="E238" s="994" t="n"/>
      <c r="F238" s="994" t="n"/>
      <c r="G238" s="973" t="n"/>
      <c r="H238" s="994" t="n"/>
      <c r="I238" s="994" t="n"/>
      <c r="J238" s="973" t="n"/>
      <c r="K238" s="973" t="n"/>
      <c r="L238" s="253" t="n"/>
      <c r="M238" s="254" t="n"/>
      <c r="N238" s="254" t="n"/>
      <c r="O238" s="1183" t="n"/>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94"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94"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98" t="n"/>
      <c r="E241" s="998" t="n"/>
      <c r="F241" s="998" t="n"/>
      <c r="G241" s="975" t="n"/>
      <c r="H241" s="998" t="n"/>
      <c r="I241" s="998" t="n"/>
      <c r="J241" s="975" t="n"/>
      <c r="K241" s="1189">
        <f>K236=L241</f>
        <v/>
      </c>
      <c r="L241" s="491">
        <f>SUM(L236:L240)</f>
        <v/>
      </c>
      <c r="M241" s="1190" t="inlineStr">
        <is>
          <t xml:space="preserve">“Verdadero” indica que la cantidad por lote, coincide con el saldo que inicia al mes siguiente. "Falso" no coinicide. </t>
        </is>
      </c>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731" t="n">
        <v>0</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94"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94"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94"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94"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98" t="n"/>
      <c r="E247" s="998" t="n"/>
      <c r="F247" s="998" t="n"/>
      <c r="G247" s="975" t="n"/>
      <c r="H247" s="998" t="n"/>
      <c r="I247" s="998" t="n"/>
      <c r="J247" s="975" t="n"/>
      <c r="K247" s="1189">
        <f>K242=L247</f>
        <v/>
      </c>
      <c r="L247" s="491">
        <f>SUM(L242:L246)</f>
        <v/>
      </c>
      <c r="M247" s="1190" t="inlineStr">
        <is>
          <t xml:space="preserve">“Verdadero” indica que la cantidad por lote, coincide con el saldo que inicia al mes siguiente. "Falso" no coinicide. </t>
        </is>
      </c>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731" t="n">
        <v>0</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94"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94"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94"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94"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98" t="n"/>
      <c r="E253" s="998" t="n"/>
      <c r="F253" s="998" t="n"/>
      <c r="G253" s="975" t="n"/>
      <c r="H253" s="998" t="n"/>
      <c r="I253" s="998" t="n"/>
      <c r="J253" s="975" t="n"/>
      <c r="K253" s="1189">
        <f>K248=L253</f>
        <v/>
      </c>
      <c r="L253" s="491">
        <f>SUM(L248:L252)</f>
        <v/>
      </c>
      <c r="M253" s="1190" t="inlineStr">
        <is>
          <t xml:space="preserve">“Verdadero” indica que la cantidad por lote, coincide con el saldo que inicia al mes siguiente. "Falso" no coinicide. </t>
        </is>
      </c>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731" t="n">
        <v>5939</v>
      </c>
      <c r="E254" s="731" t="n"/>
      <c r="F254" s="731" t="n"/>
      <c r="G254" s="730">
        <f>E254+F254</f>
        <v/>
      </c>
      <c r="H254" s="731" t="n"/>
      <c r="I254" s="731" t="n"/>
      <c r="J254" s="732">
        <f>AM254</f>
        <v/>
      </c>
      <c r="K254" s="738">
        <f>+(D254+G254)-(H254+I254+J254)</f>
        <v/>
      </c>
      <c r="L254" s="253" t="n">
        <v>39</v>
      </c>
      <c r="M254" s="254" t="inlineStr">
        <is>
          <t>0643S4002</t>
        </is>
      </c>
      <c r="N254" s="254" t="n"/>
      <c r="O254" s="1183" t="inlineStr">
        <is>
          <t>30/04/2028</t>
        </is>
      </c>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94" t="n"/>
      <c r="E255" s="994" t="n"/>
      <c r="F255" s="994" t="n"/>
      <c r="G255" s="973" t="n"/>
      <c r="H255" s="994" t="n"/>
      <c r="I255" s="994" t="n"/>
      <c r="J255" s="973" t="n"/>
      <c r="K255" s="973" t="n"/>
      <c r="L255" s="253" t="n">
        <v>5900</v>
      </c>
      <c r="M255" s="254" t="inlineStr">
        <is>
          <t>0643S4003</t>
        </is>
      </c>
      <c r="N255" s="254" t="n"/>
      <c r="O255" s="1183" t="inlineStr">
        <is>
          <t>31/08/2028</t>
        </is>
      </c>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94" t="n"/>
      <c r="E256" s="994" t="n"/>
      <c r="F256" s="994" t="n"/>
      <c r="G256" s="973" t="n"/>
      <c r="H256" s="994" t="n"/>
      <c r="I256" s="994" t="n"/>
      <c r="J256" s="973" t="n"/>
      <c r="K256" s="973" t="n"/>
      <c r="L256" s="253" t="n"/>
      <c r="M256" s="254" t="n"/>
      <c r="N256" s="254" t="n"/>
      <c r="O256" s="1183" t="n"/>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94" t="n"/>
      <c r="E257" s="994" t="n"/>
      <c r="F257" s="994" t="n"/>
      <c r="G257" s="973" t="n"/>
      <c r="H257" s="994" t="n"/>
      <c r="I257" s="994" t="n"/>
      <c r="J257" s="973" t="n"/>
      <c r="K257" s="973" t="n"/>
      <c r="L257" s="253" t="n"/>
      <c r="M257" s="254" t="n"/>
      <c r="N257" s="254" t="n"/>
      <c r="O257" s="1183" t="n"/>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94"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98" t="n"/>
      <c r="E259" s="998" t="n"/>
      <c r="F259" s="998" t="n"/>
      <c r="G259" s="975" t="n"/>
      <c r="H259" s="998" t="n"/>
      <c r="I259" s="998" t="n"/>
      <c r="J259" s="975" t="n"/>
      <c r="K259" s="1189">
        <f>K254=L259</f>
        <v/>
      </c>
      <c r="L259" s="491">
        <f>SUM(L254:L258)</f>
        <v/>
      </c>
      <c r="M259" s="1190" t="inlineStr">
        <is>
          <t xml:space="preserve">“Verdadero” indica que la cantidad por lote, coincide con el saldo que inicia al mes siguiente. "Falso" no coinicide. </t>
        </is>
      </c>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731" t="n">
        <v>0</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94"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94"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94"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94"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98" t="n"/>
      <c r="E265" s="998" t="n"/>
      <c r="F265" s="998" t="n"/>
      <c r="G265" s="975" t="n"/>
      <c r="H265" s="998" t="n"/>
      <c r="I265" s="998" t="n"/>
      <c r="J265" s="975" t="n"/>
      <c r="K265" s="1189">
        <f>K260=L265</f>
        <v/>
      </c>
      <c r="L265" s="491">
        <f>SUM(L260:L264)</f>
        <v/>
      </c>
      <c r="M265" s="1190" t="inlineStr">
        <is>
          <t xml:space="preserve">“Verdadero” indica que la cantidad por lote, coincide con el saldo que inicia al mes siguiente. "Falso" no coinicide. </t>
        </is>
      </c>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731" t="n">
        <v>0</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94"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94"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94"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94"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98" t="n"/>
      <c r="E271" s="998" t="n"/>
      <c r="F271" s="998" t="n"/>
      <c r="G271" s="975" t="n"/>
      <c r="H271" s="998" t="n"/>
      <c r="I271" s="998" t="n"/>
      <c r="J271" s="975" t="n"/>
      <c r="K271" s="1189">
        <f>K266=L271</f>
        <v/>
      </c>
      <c r="L271" s="491">
        <f>SUM(L266:L270)</f>
        <v/>
      </c>
      <c r="M271" s="1190" t="inlineStr">
        <is>
          <t xml:space="preserve">“Verdadero” indica que la cantidad por lote, coincide con el saldo que inicia al mes siguiente. "Falso" no coinicide. </t>
        </is>
      </c>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731" t="n">
        <v>42000</v>
      </c>
      <c r="E272" s="731" t="n"/>
      <c r="F272" s="731" t="n"/>
      <c r="G272" s="730">
        <f>E272+F272</f>
        <v/>
      </c>
      <c r="H272" s="731" t="n"/>
      <c r="I272" s="731" t="n"/>
      <c r="J272" s="732">
        <f>AM272</f>
        <v/>
      </c>
      <c r="K272" s="738">
        <f>+(D272+G272)-(H272+I272+J272)</f>
        <v/>
      </c>
      <c r="L272" s="253" t="n">
        <v>12000</v>
      </c>
      <c r="M272" s="254" t="inlineStr">
        <is>
          <t>Y4X16</t>
        </is>
      </c>
      <c r="N272" s="254" t="n"/>
      <c r="O272" s="1183" t="inlineStr">
        <is>
          <t>30/06/2027</t>
        </is>
      </c>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94" t="n"/>
      <c r="E273" s="994" t="n"/>
      <c r="F273" s="994" t="n"/>
      <c r="G273" s="973" t="n"/>
      <c r="H273" s="994" t="n"/>
      <c r="I273" s="994" t="n"/>
      <c r="J273" s="973" t="n"/>
      <c r="K273" s="973" t="n"/>
      <c r="L273" s="253" t="n">
        <v>30000</v>
      </c>
      <c r="M273" s="254" t="inlineStr">
        <is>
          <t>Y4X19</t>
        </is>
      </c>
      <c r="N273" s="254" t="n"/>
      <c r="O273" s="1183" t="inlineStr">
        <is>
          <t>31/08/2027</t>
        </is>
      </c>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94" t="n"/>
      <c r="E274" s="994" t="n"/>
      <c r="F274" s="994" t="n"/>
      <c r="G274" s="973" t="n"/>
      <c r="H274" s="994" t="n"/>
      <c r="I274" s="994" t="n"/>
      <c r="J274" s="973" t="n"/>
      <c r="K274" s="973" t="n"/>
      <c r="L274" s="253" t="n"/>
      <c r="M274" s="254" t="n"/>
      <c r="N274" s="254" t="n"/>
      <c r="O274" s="1183" t="n"/>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94"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94"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98" t="n"/>
      <c r="E277" s="998" t="n"/>
      <c r="F277" s="998" t="n"/>
      <c r="G277" s="975" t="n"/>
      <c r="H277" s="998" t="n"/>
      <c r="I277" s="998" t="n"/>
      <c r="J277" s="975" t="n"/>
      <c r="K277" s="1189">
        <f>K272=L277</f>
        <v/>
      </c>
      <c r="L277" s="491">
        <f>SUM(L272:L276)</f>
        <v/>
      </c>
      <c r="M277" s="1190" t="inlineStr">
        <is>
          <t xml:space="preserve">“Verdadero” indica que la cantidad por lote, coincide con el saldo que inicia al mes siguiente. "Falso" no coinicide. </t>
        </is>
      </c>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731" t="n">
        <v>3695</v>
      </c>
      <c r="E278" s="731" t="n"/>
      <c r="F278" s="731" t="n"/>
      <c r="G278" s="730">
        <f>E278+F278</f>
        <v/>
      </c>
      <c r="H278" s="731" t="n"/>
      <c r="I278" s="731" t="n"/>
      <c r="J278" s="732">
        <f>AM278</f>
        <v/>
      </c>
      <c r="K278" s="738">
        <f>+(D278+G278)-(H278+I278+J278)</f>
        <v/>
      </c>
      <c r="L278" s="253" t="n">
        <v>3695</v>
      </c>
      <c r="M278" s="254" t="inlineStr">
        <is>
          <t>90250603-1</t>
        </is>
      </c>
      <c r="N278" s="254" t="n"/>
      <c r="O278" s="1183" t="inlineStr">
        <is>
          <t>05/06/2029</t>
        </is>
      </c>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94" t="n"/>
      <c r="E279" s="994" t="n"/>
      <c r="F279" s="994" t="n"/>
      <c r="G279" s="973" t="n"/>
      <c r="H279" s="994" t="n"/>
      <c r="I279" s="994" t="n"/>
      <c r="J279" s="973" t="n"/>
      <c r="K279" s="973" t="n"/>
      <c r="L279" s="253" t="n"/>
      <c r="M279" s="254" t="n"/>
      <c r="N279" s="254" t="n"/>
      <c r="O279" s="1183" t="n"/>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94"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94"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94"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98" t="n"/>
      <c r="E283" s="998" t="n"/>
      <c r="F283" s="998" t="n"/>
      <c r="G283" s="975" t="n"/>
      <c r="H283" s="998" t="n"/>
      <c r="I283" s="998" t="n"/>
      <c r="J283" s="975" t="n"/>
      <c r="K283" s="1189">
        <f>K278=L283</f>
        <v/>
      </c>
      <c r="L283" s="491">
        <f>SUM(L278:L282)</f>
        <v/>
      </c>
      <c r="M283" s="1190" t="inlineStr">
        <is>
          <t xml:space="preserve">“Verdadero” indica que la cantidad por lote, coincide con el saldo que inicia al mes siguiente. "Falso" no coinicide. </t>
        </is>
      </c>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731" t="n">
        <v>0</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94"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94"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94"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94"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98" t="n"/>
      <c r="E289" s="998" t="n"/>
      <c r="F289" s="998" t="n"/>
      <c r="G289" s="975" t="n"/>
      <c r="H289" s="998" t="n"/>
      <c r="I289" s="998" t="n"/>
      <c r="J289" s="975" t="n"/>
      <c r="K289" s="1189">
        <f>K284=L289</f>
        <v/>
      </c>
      <c r="L289" s="491">
        <f>SUM(L284:L288)</f>
        <v/>
      </c>
      <c r="M289" s="1190" t="inlineStr">
        <is>
          <t xml:space="preserve">“Verdadero” indica que la cantidad por lote, coincide con el saldo que inicia al mes siguiente. "Falso" no coinicide. </t>
        </is>
      </c>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731" t="n">
        <v>70</v>
      </c>
      <c r="E290" s="731" t="n"/>
      <c r="F290" s="731" t="n"/>
      <c r="G290" s="730">
        <f>E290+F290</f>
        <v/>
      </c>
      <c r="H290" s="731" t="n"/>
      <c r="I290" s="731" t="n"/>
      <c r="J290" s="732">
        <f>AM290</f>
        <v/>
      </c>
      <c r="K290" s="738">
        <f>+(D290+G290)-(H290+I290+J290)</f>
        <v/>
      </c>
      <c r="L290" s="253" t="n">
        <v>70</v>
      </c>
      <c r="M290" s="254" t="inlineStr">
        <is>
          <t>0654S4015</t>
        </is>
      </c>
      <c r="N290" s="254" t="n"/>
      <c r="O290" s="1183" t="inlineStr">
        <is>
          <t>31/07/2029</t>
        </is>
      </c>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94" t="n"/>
      <c r="E291" s="994" t="n"/>
      <c r="F291" s="994" t="n"/>
      <c r="G291" s="973" t="n"/>
      <c r="H291" s="994" t="n"/>
      <c r="I291" s="994" t="n"/>
      <c r="J291" s="973" t="n"/>
      <c r="K291" s="973" t="n"/>
      <c r="L291" s="253" t="n"/>
      <c r="M291" s="254" t="n"/>
      <c r="N291" s="254" t="n"/>
      <c r="O291" s="1183" t="n"/>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94"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94"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94"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98" t="n"/>
      <c r="E295" s="998" t="n"/>
      <c r="F295" s="998" t="n"/>
      <c r="G295" s="975" t="n"/>
      <c r="H295" s="998" t="n"/>
      <c r="I295" s="998" t="n"/>
      <c r="J295" s="975" t="n"/>
      <c r="K295" s="1189">
        <f>K290=L295</f>
        <v/>
      </c>
      <c r="L295" s="491">
        <f>SUM(L290:L294)</f>
        <v/>
      </c>
      <c r="M295" s="1190" t="inlineStr">
        <is>
          <t xml:space="preserve">“Verdadero” indica que la cantidad por lote, coincide con el saldo que inicia al mes siguiente. "Falso" no coinicide. </t>
        </is>
      </c>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731" t="n">
        <v>0</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94"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94"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94"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94"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98" t="n"/>
      <c r="E301" s="998" t="n"/>
      <c r="F301" s="998" t="n"/>
      <c r="G301" s="975" t="n"/>
      <c r="H301" s="998" t="n"/>
      <c r="I301" s="998" t="n"/>
      <c r="J301" s="975" t="n"/>
      <c r="K301" s="1189">
        <f>K296=L301</f>
        <v/>
      </c>
      <c r="L301" s="491">
        <f>SUM(L296:L300)</f>
        <v/>
      </c>
      <c r="M301" s="1190" t="inlineStr">
        <is>
          <t xml:space="preserve">“Verdadero” indica que la cantidad por lote, coincide con el saldo que inicia al mes siguiente. "Falso" no coinicide. </t>
        </is>
      </c>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957" t="inlineStr">
        <is>
          <t>JERINGAS</t>
        </is>
      </c>
      <c r="C302" s="967" t="n"/>
      <c r="D302" s="1203"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731" t="n">
        <v>14960</v>
      </c>
      <c r="E303" s="731" t="n"/>
      <c r="F303" s="731" t="n"/>
      <c r="G303" s="730">
        <f>E303+F303</f>
        <v/>
      </c>
      <c r="H303" s="731" t="n"/>
      <c r="I303" s="731" t="n"/>
      <c r="J303" s="732">
        <f>+AM303</f>
        <v/>
      </c>
      <c r="K303" s="706">
        <f>+(D303+G303)-(H303+I303+J303)</f>
        <v/>
      </c>
      <c r="L303" s="253" t="n">
        <v>20</v>
      </c>
      <c r="M303" s="254" t="inlineStr">
        <is>
          <t>192104</t>
        </is>
      </c>
      <c r="N303" s="254" t="n"/>
      <c r="O303" s="1183" t="inlineStr">
        <is>
          <t>31/05/2026</t>
        </is>
      </c>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94" t="n"/>
      <c r="E304" s="994" t="n"/>
      <c r="F304" s="994" t="n"/>
      <c r="G304" s="973" t="n"/>
      <c r="H304" s="994" t="n"/>
      <c r="I304" s="994" t="n"/>
      <c r="J304" s="973" t="n"/>
      <c r="K304" s="973" t="n"/>
      <c r="L304" s="253" t="n">
        <v>40</v>
      </c>
      <c r="M304" s="254" t="inlineStr">
        <is>
          <t>202102</t>
        </is>
      </c>
      <c r="N304" s="254" t="n"/>
      <c r="O304" s="1183" t="inlineStr">
        <is>
          <t>30/09/2026</t>
        </is>
      </c>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94" t="n"/>
      <c r="E305" s="994" t="n"/>
      <c r="F305" s="994" t="n"/>
      <c r="G305" s="973" t="n"/>
      <c r="H305" s="994" t="n"/>
      <c r="I305" s="994" t="n"/>
      <c r="J305" s="973" t="n"/>
      <c r="K305" s="973" t="n"/>
      <c r="L305" s="253" t="n">
        <v>14900</v>
      </c>
      <c r="M305" s="254" t="inlineStr">
        <is>
          <t>252216</t>
        </is>
      </c>
      <c r="N305" s="254" t="n"/>
      <c r="O305" s="1183" t="inlineStr">
        <is>
          <t>30/08/2027</t>
        </is>
      </c>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94"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94"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94"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98" t="n"/>
      <c r="E309" s="998" t="n"/>
      <c r="F309" s="998" t="n"/>
      <c r="G309" s="975" t="n"/>
      <c r="H309" s="998" t="n"/>
      <c r="I309" s="998" t="n"/>
      <c r="J309" s="975" t="n"/>
      <c r="K309" s="1189">
        <f>K303=L309</f>
        <v/>
      </c>
      <c r="L309" s="491">
        <f>SUM(L303:L308)</f>
        <v/>
      </c>
      <c r="M309" s="1190" t="inlineStr">
        <is>
          <t xml:space="preserve">“Verdadero” indica que la cantidad por lote, coincide con el saldo que inicia al mes siguiente. "Falso" no coinicide. </t>
        </is>
      </c>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731" t="n">
        <v>0</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94"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94"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94"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94"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94"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98" t="n"/>
      <c r="E316" s="998" t="n"/>
      <c r="F316" s="998" t="n"/>
      <c r="G316" s="975" t="n"/>
      <c r="H316" s="998" t="n"/>
      <c r="I316" s="998" t="n"/>
      <c r="J316" s="975" t="n"/>
      <c r="K316" s="1189">
        <f>K310=L316</f>
        <v/>
      </c>
      <c r="L316" s="491">
        <f>SUM(L310:L315)</f>
        <v/>
      </c>
      <c r="M316" s="1190" t="inlineStr">
        <is>
          <t xml:space="preserve">“Verdadero” indica que la cantidad por lote, coincide con el saldo que inicia al mes siguiente. "Falso" no coinicide. </t>
        </is>
      </c>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731" t="n">
        <v>12020</v>
      </c>
      <c r="E317" s="731" t="n"/>
      <c r="F317" s="731" t="n"/>
      <c r="G317" s="730">
        <f>E317+F317</f>
        <v/>
      </c>
      <c r="H317" s="731" t="n"/>
      <c r="I317" s="731" t="n"/>
      <c r="J317" s="732">
        <f>+AM317</f>
        <v/>
      </c>
      <c r="K317" s="706">
        <f>+(D317+G317)-(H317+I317+J317)</f>
        <v/>
      </c>
      <c r="L317" s="253" t="n">
        <v>9000</v>
      </c>
      <c r="M317" s="254" t="inlineStr">
        <is>
          <t>AR13095</t>
        </is>
      </c>
      <c r="N317" s="254" t="n"/>
      <c r="O317" s="1183" t="inlineStr">
        <is>
          <t>30/09/2026</t>
        </is>
      </c>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94" t="n"/>
      <c r="E318" s="994" t="n"/>
      <c r="F318" s="994" t="n"/>
      <c r="G318" s="973" t="n"/>
      <c r="H318" s="994" t="n"/>
      <c r="I318" s="994" t="n"/>
      <c r="J318" s="973" t="n"/>
      <c r="K318" s="973" t="n"/>
      <c r="L318" s="253" t="n">
        <v>3020</v>
      </c>
      <c r="M318" s="254" t="inlineStr">
        <is>
          <t>AR13158</t>
        </is>
      </c>
      <c r="N318" s="254" t="n"/>
      <c r="O318" s="1183" t="inlineStr">
        <is>
          <t>31/03/2027</t>
        </is>
      </c>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94" t="n"/>
      <c r="E319" s="994" t="n"/>
      <c r="F319" s="994" t="n"/>
      <c r="G319" s="973" t="n"/>
      <c r="H319" s="994" t="n"/>
      <c r="I319" s="994" t="n"/>
      <c r="J319" s="973" t="n"/>
      <c r="K319" s="973" t="n"/>
      <c r="L319" s="253" t="n"/>
      <c r="M319" s="254" t="n"/>
      <c r="N319" s="254" t="n"/>
      <c r="O319" s="1183" t="n"/>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94"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94"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94"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98" t="n"/>
      <c r="E323" s="998" t="n"/>
      <c r="F323" s="998" t="n"/>
      <c r="G323" s="975" t="n"/>
      <c r="H323" s="998" t="n"/>
      <c r="I323" s="998" t="n"/>
      <c r="J323" s="975" t="n"/>
      <c r="K323" s="1189">
        <f>K317=L323</f>
        <v/>
      </c>
      <c r="L323" s="491">
        <f>SUM(L317:L322)</f>
        <v/>
      </c>
      <c r="M323" s="1190" t="inlineStr">
        <is>
          <t xml:space="preserve">“Verdadero” indica que la cantidad por lote, coincide con el saldo que inicia al mes siguiente. "Falso" no coinicide. </t>
        </is>
      </c>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731" t="n">
        <v>0</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94"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94"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94"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94"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94"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98"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731" t="n">
        <v>0</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94"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94"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94"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94"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94"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98" t="n"/>
      <c r="E337" s="998" t="n"/>
      <c r="F337" s="998" t="n"/>
      <c r="G337" s="975" t="n"/>
      <c r="H337" s="998" t="n"/>
      <c r="I337" s="998" t="n"/>
      <c r="J337" s="975" t="n"/>
      <c r="K337" s="1189">
        <f>K331=L337</f>
        <v/>
      </c>
      <c r="L337" s="491">
        <f>SUM(L331:L336)</f>
        <v/>
      </c>
      <c r="M337" s="1190" t="inlineStr">
        <is>
          <t xml:space="preserve">“Verdadero” indica que la cantidad por lote, coincide con el saldo que inicia al mes siguiente. "Falso" no coinicide. </t>
        </is>
      </c>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731" t="n">
        <v>2320</v>
      </c>
      <c r="E338" s="731" t="n"/>
      <c r="F338" s="731" t="n">
        <v>15000</v>
      </c>
      <c r="G338" s="730">
        <f>E338+F338</f>
        <v/>
      </c>
      <c r="H338" s="731" t="n">
        <v>5500</v>
      </c>
      <c r="I338" s="731" t="n"/>
      <c r="J338" s="732">
        <f>+AM338</f>
        <v/>
      </c>
      <c r="K338" s="706">
        <f>+(D338+G338)-(H338+I338+J338)</f>
        <v/>
      </c>
      <c r="L338" s="253" t="n"/>
      <c r="M338" s="254" t="n"/>
      <c r="N338" s="254" t="n"/>
      <c r="O338" s="1183" t="n"/>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94" t="n"/>
      <c r="E339" s="994" t="n"/>
      <c r="F339" s="994" t="n"/>
      <c r="G339" s="973" t="n"/>
      <c r="H339" s="994" t="n"/>
      <c r="I339" s="994" t="n"/>
      <c r="J339" s="973" t="n"/>
      <c r="K339" s="973" t="n"/>
      <c r="L339" s="253" t="n">
        <v>2820</v>
      </c>
      <c r="M339" s="254" t="inlineStr">
        <is>
          <t>CW13132-4</t>
        </is>
      </c>
      <c r="N339" s="254" t="n"/>
      <c r="O339" s="1183" t="inlineStr">
        <is>
          <t>31/01/2027</t>
        </is>
      </c>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94" t="n"/>
      <c r="E340" s="994" t="n"/>
      <c r="F340" s="994" t="n"/>
      <c r="G340" s="973" t="n"/>
      <c r="H340" s="994" t="n"/>
      <c r="I340" s="994" t="n"/>
      <c r="J340" s="973" t="n"/>
      <c r="K340" s="973" t="n"/>
      <c r="L340" s="253" t="n">
        <v>9000</v>
      </c>
      <c r="M340" s="254" t="inlineStr">
        <is>
          <t>CW13132-5</t>
        </is>
      </c>
      <c r="N340" s="254" t="n"/>
      <c r="O340" s="1183" t="inlineStr">
        <is>
          <t>31/01/2027</t>
        </is>
      </c>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94"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94"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94"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98" t="n"/>
      <c r="E344" s="998" t="n"/>
      <c r="F344" s="998" t="n"/>
      <c r="G344" s="975" t="n"/>
      <c r="H344" s="998" t="n"/>
      <c r="I344" s="998" t="n"/>
      <c r="J344" s="975" t="n"/>
      <c r="K344" s="1189">
        <f>K338=L344</f>
        <v/>
      </c>
      <c r="L344" s="491">
        <f>SUM(L338:L343)</f>
        <v/>
      </c>
      <c r="M344" s="1190" t="inlineStr">
        <is>
          <t xml:space="preserve">“Verdadero” indica que la cantidad por lote, coincide con el saldo que inicia al mes siguiente. "Falso" no coinicide. </t>
        </is>
      </c>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731" t="n">
        <v>0</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94"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94"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94"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94"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94"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98" t="n"/>
      <c r="E351" s="998" t="n"/>
      <c r="F351" s="998" t="n"/>
      <c r="G351" s="975" t="n"/>
      <c r="H351" s="998" t="n"/>
      <c r="I351" s="998" t="n"/>
      <c r="J351" s="975" t="n"/>
      <c r="K351" s="1189">
        <f>K345=L351</f>
        <v/>
      </c>
      <c r="L351" s="491">
        <f>SUM(L345:L350)</f>
        <v/>
      </c>
      <c r="M351" s="1190" t="inlineStr">
        <is>
          <t xml:space="preserve">“Verdadero” indica que la cantidad por lote, coincide con el saldo que inicia al mes siguiente. "Falso" no coinicide. </t>
        </is>
      </c>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731" t="n">
        <v>32848</v>
      </c>
      <c r="E352" s="731" t="n"/>
      <c r="F352" s="731" t="n"/>
      <c r="G352" s="730">
        <f>E352+F352</f>
        <v/>
      </c>
      <c r="H352" s="731" t="n"/>
      <c r="I352" s="731" t="n"/>
      <c r="J352" s="732">
        <f>AM352</f>
        <v/>
      </c>
      <c r="K352" s="706">
        <f>+(D352+G352)-(H352+I352+J352)</f>
        <v/>
      </c>
      <c r="L352" s="253" t="n">
        <v>32800</v>
      </c>
      <c r="M352" s="254" t="inlineStr">
        <is>
          <t>20250903</t>
        </is>
      </c>
      <c r="N352" s="254" t="n"/>
      <c r="O352" s="1183" t="inlineStr">
        <is>
          <t>02/09/2030</t>
        </is>
      </c>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94" t="n"/>
      <c r="E353" s="994" t="n"/>
      <c r="F353" s="994" t="n"/>
      <c r="G353" s="973" t="n"/>
      <c r="H353" s="994" t="n"/>
      <c r="I353" s="994" t="n"/>
      <c r="J353" s="973" t="n"/>
      <c r="K353" s="973" t="n"/>
      <c r="L353" s="253" t="n">
        <v>48</v>
      </c>
      <c r="M353" s="254" t="inlineStr">
        <is>
          <t>23FA1</t>
        </is>
      </c>
      <c r="N353" s="254" t="n"/>
      <c r="O353" s="1183" t="inlineStr">
        <is>
          <t>31/05/2028</t>
        </is>
      </c>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94" t="n"/>
      <c r="E354" s="994" t="n"/>
      <c r="F354" s="994" t="n"/>
      <c r="G354" s="973" t="n"/>
      <c r="H354" s="994" t="n"/>
      <c r="I354" s="994" t="n"/>
      <c r="J354" s="973" t="n"/>
      <c r="K354" s="973" t="n"/>
      <c r="L354" s="253" t="n"/>
      <c r="M354" s="254" t="n"/>
      <c r="N354" s="254" t="n"/>
      <c r="O354" s="1183" t="n"/>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94"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94"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94"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98" t="n"/>
      <c r="E358" s="998" t="n"/>
      <c r="F358" s="998" t="n"/>
      <c r="G358" s="975" t="n"/>
      <c r="H358" s="998" t="n"/>
      <c r="I358" s="998" t="n"/>
      <c r="J358" s="975" t="n"/>
      <c r="K358" s="1189">
        <f>K352=L358</f>
        <v/>
      </c>
      <c r="L358" s="491">
        <f>SUM(L352:L357)</f>
        <v/>
      </c>
      <c r="M358" s="1190" t="inlineStr">
        <is>
          <t xml:space="preserve">“Verdadero” indica que la cantidad por lote, coincide con el saldo que inicia al mes siguiente. "Falso" no coinicide. </t>
        </is>
      </c>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731" t="n">
        <v>16600</v>
      </c>
      <c r="E359" s="731" t="n"/>
      <c r="F359" s="731" t="n"/>
      <c r="G359" s="730">
        <f>E359+F359</f>
        <v/>
      </c>
      <c r="H359" s="731" t="n"/>
      <c r="I359" s="731" t="n"/>
      <c r="J359" s="732">
        <f>AM359</f>
        <v/>
      </c>
      <c r="K359" s="706">
        <f>+(D359+G359)-(H359+I359+J359)</f>
        <v/>
      </c>
      <c r="L359" s="253" t="n">
        <v>5100</v>
      </c>
      <c r="M359" s="254" t="inlineStr">
        <is>
          <t>622204</t>
        </is>
      </c>
      <c r="N359" s="254" t="n"/>
      <c r="O359" s="1183" t="inlineStr">
        <is>
          <t>28/02/2027</t>
        </is>
      </c>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94" t="n"/>
      <c r="E360" s="994" t="n"/>
      <c r="F360" s="994" t="n"/>
      <c r="G360" s="973" t="n"/>
      <c r="H360" s="994" t="n"/>
      <c r="I360" s="994" t="n"/>
      <c r="J360" s="973" t="n"/>
      <c r="K360" s="973" t="n"/>
      <c r="L360" s="253" t="n">
        <v>5500</v>
      </c>
      <c r="M360" s="254" t="inlineStr">
        <is>
          <t>662202</t>
        </is>
      </c>
      <c r="N360" s="254" t="n"/>
      <c r="O360" s="1183" t="inlineStr">
        <is>
          <t>30/09/2027</t>
        </is>
      </c>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94" t="n"/>
      <c r="E361" s="994" t="n"/>
      <c r="F361" s="994" t="n"/>
      <c r="G361" s="973" t="n"/>
      <c r="H361" s="994" t="n"/>
      <c r="I361" s="994" t="n"/>
      <c r="J361" s="973" t="n"/>
      <c r="K361" s="973" t="n"/>
      <c r="L361" s="253" t="n">
        <v>3000</v>
      </c>
      <c r="M361" s="254" t="inlineStr">
        <is>
          <t>662203</t>
        </is>
      </c>
      <c r="N361" s="254" t="n"/>
      <c r="O361" s="1183" t="inlineStr">
        <is>
          <t>30/09/2027</t>
        </is>
      </c>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94" t="n"/>
      <c r="E362" s="994" t="n"/>
      <c r="F362" s="994" t="n"/>
      <c r="G362" s="973" t="n"/>
      <c r="H362" s="994" t="n"/>
      <c r="I362" s="994" t="n"/>
      <c r="J362" s="973" t="n"/>
      <c r="K362" s="973" t="n"/>
      <c r="L362" s="253" t="n">
        <v>3000</v>
      </c>
      <c r="M362" s="254" t="inlineStr">
        <is>
          <t>712401</t>
        </is>
      </c>
      <c r="N362" s="254" t="n"/>
      <c r="O362" s="1183" t="inlineStr">
        <is>
          <t>30/03/2029</t>
        </is>
      </c>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94"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94"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98" t="n"/>
      <c r="E365" s="998" t="n"/>
      <c r="F365" s="998" t="n"/>
      <c r="G365" s="975" t="n"/>
      <c r="H365" s="998" t="n"/>
      <c r="I365" s="998" t="n"/>
      <c r="J365" s="975" t="n"/>
      <c r="K365" s="1189">
        <f>K359=L365</f>
        <v/>
      </c>
      <c r="L365" s="491">
        <f>SUM(L359:L364)</f>
        <v/>
      </c>
      <c r="M365" s="1190" t="inlineStr">
        <is>
          <t xml:space="preserve">“Verdadero” indica que la cantidad por lote, coincide con el saldo que inicia al mes siguiente. "Falso" no coinicide. </t>
        </is>
      </c>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731" t="n">
        <v>0</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94"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94"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94"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94"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94"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98"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731" t="n">
        <v>7770</v>
      </c>
      <c r="E373" s="731" t="n"/>
      <c r="F373" s="731" t="n"/>
      <c r="G373" s="730">
        <f>E373+F373</f>
        <v/>
      </c>
      <c r="H373" s="731" t="n"/>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731" t="n">
        <v>16400</v>
      </c>
      <c r="E374" s="731" t="n"/>
      <c r="F374" s="731" t="n"/>
      <c r="G374" s="730">
        <f>E374+F374</f>
        <v/>
      </c>
      <c r="H374" s="731" t="n"/>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731" t="n"/>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731" t="n">
        <v>2375</v>
      </c>
      <c r="E376" s="731" t="n"/>
      <c r="F376" s="731" t="n"/>
      <c r="G376" s="730">
        <f>E376+F376</f>
        <v/>
      </c>
      <c r="H376" s="731" t="n">
        <v>50</v>
      </c>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731" t="n"/>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731" t="n"/>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731" t="n"/>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623" t="inlineStr">
        <is>
          <t>ÍTEM</t>
        </is>
      </c>
      <c r="B381" s="719" t="inlineStr">
        <is>
          <t>VACUNA COVID-19</t>
        </is>
      </c>
      <c r="C381" s="965" t="n"/>
      <c r="D381" s="716" t="inlineStr">
        <is>
          <t>SALDO MES ANTERIOR</t>
        </is>
      </c>
      <c r="E381" s="1179" t="inlineStr">
        <is>
          <t>ENTRADA</t>
        </is>
      </c>
      <c r="F381" s="1180" t="n"/>
      <c r="G381" s="965" t="n"/>
      <c r="H381" s="715" t="inlineStr">
        <is>
          <t>SALIDAS</t>
        </is>
      </c>
      <c r="I381" s="968" t="n"/>
      <c r="J381" s="967" t="n"/>
      <c r="K381" s="623" t="inlineStr">
        <is>
          <t>SALDO QUE INICIA EL MES SIGUIENTE</t>
        </is>
      </c>
      <c r="L381" s="623" t="inlineStr">
        <is>
          <t>DOSIS POR LOTES</t>
        </is>
      </c>
      <c r="M381" s="623" t="inlineStr">
        <is>
          <t xml:space="preserve">No. LOTE </t>
        </is>
      </c>
      <c r="N381" s="623" t="inlineStr">
        <is>
          <t>LABORATORIO</t>
        </is>
      </c>
      <c r="O381" s="623" t="inlineStr">
        <is>
          <t>FECHA DE VENCIMIENTO</t>
        </is>
      </c>
      <c r="P381" s="623" t="inlineStr">
        <is>
          <t>SEMAFORIZACION VIDA  ÚTIL DEL BIOLÓGICO</t>
        </is>
      </c>
      <c r="Q381" s="623" t="inlineStr">
        <is>
          <t>CONDICIÓN FINAL DEL BIOLÓGICO, DILUYENTE Y CARNET</t>
        </is>
      </c>
      <c r="R381" s="613" t="inlineStr">
        <is>
          <t>DOSIS EN CUARENTENA</t>
        </is>
      </c>
      <c r="S381" s="613" t="inlineStr">
        <is>
          <t>LABORATORIO</t>
        </is>
      </c>
      <c r="T381" s="613" t="inlineStr">
        <is>
          <t>No. LOTE</t>
        </is>
      </c>
      <c r="U381" s="613" t="inlineStr">
        <is>
          <t>FECHA DE VENCIMEINTO</t>
        </is>
      </c>
      <c r="V381" s="613" t="inlineStr">
        <is>
          <t>FECHA DE INICIO CUARENTENA</t>
        </is>
      </c>
      <c r="W381" s="613" t="inlineStr">
        <is>
          <t>OBSERVACIONES</t>
        </is>
      </c>
      <c r="X381" s="250" t="n"/>
      <c r="Z381" s="1221" t="inlineStr">
        <is>
          <t>MOTIVOS DE NO USO DE VACUNAS CONTRA LA COVID-19
RESOLUCIÓN 0118 DEL 27 DE ENERO DE 2026
DISPONIBLE EN EL SIGUIENTE LINK: https://www.minsalud.gov.co/Normatividad_Nuevo/Resolucion%20No%20118%20de%202026.pdf</t>
        </is>
      </c>
      <c r="AA381" s="968" t="n"/>
      <c r="AB381" s="968" t="n"/>
      <c r="AC381" s="968" t="n"/>
      <c r="AD381" s="968" t="n"/>
      <c r="AE381" s="968" t="n"/>
      <c r="AF381" s="968" t="n"/>
      <c r="AG381" s="968" t="n"/>
      <c r="AH381" s="968" t="n"/>
      <c r="AI381" s="968" t="n"/>
      <c r="AJ381" s="968" t="n"/>
      <c r="AK381" s="968" t="n"/>
      <c r="AL381" s="967" t="n"/>
      <c r="AM381" s="532" t="inlineStr">
        <is>
          <t xml:space="preserve">TOTAL DOSIS PERDIDAS        </t>
        </is>
      </c>
      <c r="AN381" s="478" t="n"/>
      <c r="AO381" s="368" t="n"/>
      <c r="AU381" s="251" t="n"/>
      <c r="AV381" s="251" t="n"/>
    </row>
    <row r="382" ht="28.5" customHeight="1">
      <c r="A382" s="973" t="n"/>
      <c r="B382" s="971" t="n"/>
      <c r="C382" s="972" t="n"/>
      <c r="D382" s="973" t="n"/>
      <c r="E382" s="623" t="inlineStr">
        <is>
          <t>DOSIS RECIBIDAS DEL ALMACÉN CENTRAL DEL MSPS</t>
        </is>
      </c>
      <c r="F382" s="623" t="inlineStr">
        <is>
          <t>DOSIS RECIBIDAS X TRASLADO DEL CA DEPARTAMENTAL O DISTRITAL</t>
        </is>
      </c>
      <c r="G382" s="623" t="inlineStr">
        <is>
          <t>TOTAL ENTRADAS</t>
        </is>
      </c>
      <c r="H382" s="711" t="inlineStr">
        <is>
          <t>DOSIS DESPACHADAS A LOS MUNICIPIOS / DISTRITOS A IPS</t>
        </is>
      </c>
      <c r="I382" s="711" t="inlineStr">
        <is>
          <t>DOSIS TRASLADADAS A OTROS DEPARTAMENTOS O DISTRITOS</t>
        </is>
      </c>
      <c r="J382" s="716" t="inlineStr">
        <is>
          <t>DOSIS PERDIDAS</t>
        </is>
      </c>
      <c r="K382" s="973" t="n"/>
      <c r="L382" s="973" t="n"/>
      <c r="M382" s="973" t="n"/>
      <c r="N382" s="973" t="n"/>
      <c r="O382" s="973" t="n"/>
      <c r="P382" s="973" t="n"/>
      <c r="Q382" s="973" t="n"/>
      <c r="R382" s="973" t="n"/>
      <c r="S382" s="973" t="n"/>
      <c r="T382" s="973" t="n"/>
      <c r="U382" s="973" t="n"/>
      <c r="V382" s="973" t="n"/>
      <c r="W382" s="973" t="n"/>
      <c r="X382" s="250" t="n"/>
      <c r="Y382" s="252" t="n"/>
      <c r="Z382" s="533" t="n">
        <v>1</v>
      </c>
      <c r="AA382" s="967" t="n"/>
      <c r="AB382" s="533" t="n">
        <v>2</v>
      </c>
      <c r="AC382" s="533" t="n">
        <v>3</v>
      </c>
      <c r="AD382" s="533" t="n">
        <v>4</v>
      </c>
      <c r="AE382" s="533" t="n">
        <v>5</v>
      </c>
      <c r="AF382" s="533" t="n">
        <v>6</v>
      </c>
      <c r="AG382" s="533" t="n">
        <v>7</v>
      </c>
      <c r="AH382" s="533" t="n">
        <v>8</v>
      </c>
      <c r="AI382" s="533" t="n">
        <v>9</v>
      </c>
      <c r="AJ382" s="533" t="n">
        <v>10</v>
      </c>
      <c r="AK382" s="533" t="n">
        <v>11</v>
      </c>
      <c r="AL382" s="533" t="n">
        <v>12</v>
      </c>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inlineStr">
        <is>
          <t>POLÍTICA DE FRASCOS ABIERTO</t>
        </is>
      </c>
      <c r="AA383" s="967" t="n"/>
      <c r="AB383" s="1222" t="inlineStr">
        <is>
          <t>INTERRUPCIÓN DE LA CADENA DE FRÍO</t>
        </is>
      </c>
      <c r="AC383" s="537" t="inlineStr">
        <is>
          <t>CONTAMINACIÓN DEL BIOLÓGICO</t>
        </is>
      </c>
      <c r="AD383" s="1222" t="inlineStr">
        <is>
          <t>ERROR EN LA MANIPULACIÓN</t>
        </is>
      </c>
      <c r="AE383" s="537" t="inlineStr">
        <is>
          <t>ERROR EN LA RECONSTITUCIÓN/DILUCIÓN</t>
        </is>
      </c>
      <c r="AF383" s="1222" t="inlineStr">
        <is>
          <t>ERROR EN LA DOSIFICACIÓN</t>
        </is>
      </c>
      <c r="AG383" s="537" t="inlineStr">
        <is>
          <t>VACUNA QUE EXCEDE EL TIEMPO DE ALMACENAMIENTO EN REFRIGERACIÓN</t>
        </is>
      </c>
      <c r="AH383" s="1222" t="inlineStr">
        <is>
          <t>VENCIMIENTO DEL BIOLÓGICO</t>
        </is>
      </c>
      <c r="AI383" s="537" t="inlineStr">
        <is>
          <t>FRASCO VIAL ROTO</t>
        </is>
      </c>
      <c r="AJ383" s="1222" t="inlineStr">
        <is>
          <t>FALLAS DE FABRICACIÓN/CALIDAD</t>
        </is>
      </c>
      <c r="AK383" s="537" t="inlineStr">
        <is>
          <t>SINIESTRO / ACCIDENTE</t>
        </is>
      </c>
      <c r="AL383" s="1222" t="inlineStr">
        <is>
          <t>ROBO/HURTO BIOLÓGICO</t>
        </is>
      </c>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731" t="n">
        <v>0</v>
      </c>
      <c r="E385" s="731" t="n"/>
      <c r="F385" s="731" t="n"/>
      <c r="G385" s="730">
        <f>E385+F385</f>
        <v/>
      </c>
      <c r="H385" s="731" t="n"/>
      <c r="I385" s="731" t="n"/>
      <c r="J385" s="732">
        <f>AM385</f>
        <v/>
      </c>
      <c r="K385" s="706">
        <f>+(D385+G385)-(H385+I385+J385)</f>
        <v/>
      </c>
      <c r="L385" s="486" t="n"/>
      <c r="M385" s="487" t="n"/>
      <c r="N385" s="487" t="n"/>
      <c r="O385" s="1223" t="n"/>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94"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94"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94"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98" t="n"/>
      <c r="E389" s="998" t="n"/>
      <c r="F389" s="998" t="n"/>
      <c r="G389" s="975" t="n"/>
      <c r="H389" s="998" t="n"/>
      <c r="I389" s="998" t="n"/>
      <c r="J389" s="975" t="n"/>
      <c r="K389" s="1189">
        <f>K385=L389</f>
        <v/>
      </c>
      <c r="L389" s="491">
        <f>SUM(L385:L388)</f>
        <v/>
      </c>
      <c r="M389" s="1190" t="inlineStr">
        <is>
          <t xml:space="preserve">“Verdadero” indica que la cantidad por lote, coincide con el saldo que inicia al mes siguiente. "Falso" no coinicide. </t>
        </is>
      </c>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731" t="n">
        <v>0</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94"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94"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94"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98" t="n"/>
      <c r="E394" s="998" t="n"/>
      <c r="F394" s="998" t="n"/>
      <c r="G394" s="975" t="n"/>
      <c r="H394" s="998" t="n"/>
      <c r="I394" s="998" t="n"/>
      <c r="J394" s="975" t="n"/>
      <c r="K394" s="1189">
        <f>K390=L394</f>
        <v/>
      </c>
      <c r="L394" s="491">
        <f>SUM(L390:L393)</f>
        <v/>
      </c>
      <c r="M394" s="1190" t="inlineStr">
        <is>
          <t xml:space="preserve">“Verdadero” indica que la cantidad por lote, coincide con el saldo que inicia al mes siguiente. "Falso" no coinicide. </t>
        </is>
      </c>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731" t="n">
        <v>0</v>
      </c>
      <c r="E395" s="731" t="n"/>
      <c r="F395" s="731" t="n"/>
      <c r="G395" s="730">
        <f>E395+F395</f>
        <v/>
      </c>
      <c r="H395" s="731" t="n"/>
      <c r="I395" s="731" t="n"/>
      <c r="J395" s="732">
        <f>AM395</f>
        <v/>
      </c>
      <c r="K395" s="706">
        <f>+(D395+G395)-(H395+I395+J395)</f>
        <v/>
      </c>
      <c r="L395" s="486" t="n"/>
      <c r="M395" s="487" t="n"/>
      <c r="N395" s="487" t="n"/>
      <c r="O395" s="1223" t="n"/>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94"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94"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94"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98" t="n"/>
      <c r="E399" s="998" t="n"/>
      <c r="F399" s="998" t="n"/>
      <c r="G399" s="975" t="n"/>
      <c r="H399" s="998" t="n"/>
      <c r="I399" s="998" t="n"/>
      <c r="J399" s="975" t="n"/>
      <c r="K399" s="1189">
        <f>K395=L399</f>
        <v/>
      </c>
      <c r="L399" s="491">
        <f>SUM(L395:L398)</f>
        <v/>
      </c>
      <c r="M399" s="1190" t="inlineStr">
        <is>
          <t xml:space="preserve">“Verdadero” indica que la cantidad por lote, coincide con el saldo que inicia al mes siguiente. "Falso" no coinicide. </t>
        </is>
      </c>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731" t="n">
        <v>0</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94"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94"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94"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98" t="n"/>
      <c r="E404" s="998" t="n"/>
      <c r="F404" s="998" t="n"/>
      <c r="G404" s="975" t="n"/>
      <c r="H404" s="998" t="n"/>
      <c r="I404" s="998" t="n"/>
      <c r="J404" s="975" t="n"/>
      <c r="K404" s="1189">
        <f>K400=L404</f>
        <v/>
      </c>
      <c r="L404" s="491">
        <f>SUM(L400:L403)</f>
        <v/>
      </c>
      <c r="M404" s="1190" t="inlineStr">
        <is>
          <t xml:space="preserve">“Verdadero” indica que la cantidad por lote, coincide con el saldo que inicia al mes siguiente. "Falso" no coinicide. </t>
        </is>
      </c>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731" t="n">
        <v>0</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94"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94"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94"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98" t="n"/>
      <c r="E409" s="998" t="n"/>
      <c r="F409" s="998" t="n"/>
      <c r="G409" s="975" t="n"/>
      <c r="H409" s="998" t="n"/>
      <c r="I409" s="998" t="n"/>
      <c r="J409" s="975" t="n"/>
      <c r="K409" s="1189">
        <f>K405=L409</f>
        <v/>
      </c>
      <c r="L409" s="491">
        <f>SUM(L405:L408)</f>
        <v/>
      </c>
      <c r="M409" s="1190" t="inlineStr">
        <is>
          <t xml:space="preserve">“Verdadero” indica que la cantidad por lote, coincide con el saldo que inicia al mes siguiente. "Falso" no coinicide. </t>
        </is>
      </c>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961" t="inlineStr">
        <is>
          <t>ÍTEM</t>
        </is>
      </c>
      <c r="B413" s="569" t="inlineStr">
        <is>
          <t>INSUMOS</t>
        </is>
      </c>
      <c r="C413" s="965" t="n"/>
      <c r="D413" s="1231" t="inlineStr">
        <is>
          <t>SALDO MES ANTERIOR</t>
        </is>
      </c>
      <c r="E413" s="961" t="inlineStr">
        <is>
          <t>BIOLÓGICO RECIBIDO DEL CENTRO DE ACOPIO DEPARTAMENTAL / DISTRITAL</t>
        </is>
      </c>
      <c r="F413" s="1231" t="inlineStr">
        <is>
          <t>DOSIS APLICADAS</t>
        </is>
      </c>
      <c r="G413" s="967" t="n"/>
      <c r="H413" s="1232" t="inlineStr">
        <is>
          <t>TOTAL DOSIS APLICADAS</t>
        </is>
      </c>
      <c r="I413" s="961" t="inlineStr">
        <is>
          <t>DOSIS PERDIDAS</t>
        </is>
      </c>
      <c r="J413" s="1231" t="inlineStr">
        <is>
          <t>TOTAL DOSIS ÚTILIZADAS EN EL MES</t>
        </is>
      </c>
      <c r="K413" s="623" t="inlineStr">
        <is>
          <t>SALDO QUE INICIA EL MES SIGUIENTE (SOLO MUNICIPIOS)</t>
        </is>
      </c>
      <c r="L413" s="623" t="inlineStr">
        <is>
          <t>DOSIS POR LOTES</t>
        </is>
      </c>
      <c r="M413" s="623" t="inlineStr">
        <is>
          <t xml:space="preserve">No. LOTE </t>
        </is>
      </c>
      <c r="N413" s="1233" t="inlineStr">
        <is>
          <t>LABORATORIO</t>
        </is>
      </c>
      <c r="O413" s="623" t="inlineStr">
        <is>
          <t>FECHA DE VENCIMIENTO</t>
        </is>
      </c>
      <c r="P413" s="623" t="inlineStr">
        <is>
          <t>SEMAFORIZACION VIDA  ÚTIL DEL BIOLÓGICO</t>
        </is>
      </c>
      <c r="Q413" s="623" t="inlineStr">
        <is>
          <t>CONDICIÓN FINAL DEL BIOLÓGICO, DILUYENTE Y CARNET</t>
        </is>
      </c>
      <c r="R413" s="613" t="inlineStr">
        <is>
          <t>DOSIS EN CUARENTENA</t>
        </is>
      </c>
      <c r="S413" s="613" t="inlineStr">
        <is>
          <t>LABORATORIO</t>
        </is>
      </c>
      <c r="T413" s="613" t="inlineStr">
        <is>
          <t>No. LOTE</t>
        </is>
      </c>
      <c r="U413" s="613" t="inlineStr">
        <is>
          <t>FECHA DE VENCIMEINTO</t>
        </is>
      </c>
      <c r="V413" s="613" t="inlineStr">
        <is>
          <t>FECHA DE INICIO CUARENTENA</t>
        </is>
      </c>
      <c r="W413" s="961" t="inlineStr">
        <is>
          <t>PORCENTAJE DE PERDIDA DEL MES</t>
        </is>
      </c>
      <c r="X413" s="961" t="inlineStr">
        <is>
          <t>OBSERVACIONES</t>
        </is>
      </c>
      <c r="Y413" s="232" t="n"/>
      <c r="Z413" s="400" t="inlineStr">
        <is>
          <t>CAUSAS PERDIDA DE BIOLÓGICOS (Remítase a la primera hoja donde se especifica la clasificación de las perdidas)</t>
        </is>
      </c>
      <c r="AA413" s="400" t="n"/>
      <c r="AB413" s="400" t="n"/>
      <c r="AC413" s="400" t="n"/>
      <c r="AD413" s="400" t="n"/>
      <c r="AE413" s="400" t="n"/>
      <c r="AF413" s="400" t="n"/>
      <c r="AG413" s="400" t="n"/>
      <c r="AH413" s="400" t="n"/>
      <c r="AI413" s="400" t="n"/>
      <c r="AJ413" s="400" t="n"/>
      <c r="AK413" s="400" t="n"/>
      <c r="AL413" s="400" t="n"/>
      <c r="AM413" s="1181" t="inlineStr">
        <is>
          <t xml:space="preserve">TOTAL DOSIS PERDIDAS        </t>
        </is>
      </c>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inlineStr">
        <is>
          <t>POLÍTICA DE FRASCOS ABIERTO</t>
        </is>
      </c>
      <c r="AA415" s="968" t="n"/>
      <c r="AB415" s="967" t="n"/>
      <c r="AC415" s="330" t="inlineStr">
        <is>
          <t>INTERRUPCIÓN DE CADENA DE FRÍO</t>
        </is>
      </c>
      <c r="AD415" s="566" t="inlineStr">
        <is>
          <t>CONTAMINACION DEL BIOLÓGICO/DISPOSITIVO MÉDICO</t>
        </is>
      </c>
      <c r="AE415" s="533" t="inlineStr">
        <is>
          <t>VIAL ROTO</t>
        </is>
      </c>
      <c r="AF415" s="566" t="inlineStr">
        <is>
          <t>ERRORES EN LA MANIPULACIÓN</t>
        </is>
      </c>
      <c r="AG415" s="533" t="inlineStr">
        <is>
          <t>VENCIMIENTO DEL BIOLÓGICO O JERINGA</t>
        </is>
      </c>
      <c r="AH415" s="566" t="inlineStr">
        <is>
          <t>FARMACOVIGILANCIA / TECNOVIGILANCIA</t>
        </is>
      </c>
      <c r="AI415" s="533" t="inlineStr">
        <is>
          <t>VOMITO FRANCO</t>
        </is>
      </c>
      <c r="AJ415" s="533" t="inlineStr">
        <is>
          <t>APLICACIÓN FUERA DE LA EDAD</t>
        </is>
      </c>
      <c r="AK415" s="533" t="inlineStr">
        <is>
          <t>POR DECISIÓN FINAL DEL PACIENTE DE NO VACUNACIÓN</t>
        </is>
      </c>
      <c r="AL415" s="566" t="inlineStr">
        <is>
          <t>SINIESTRO O ROBO</t>
        </is>
      </c>
      <c r="AM415" s="973" t="n"/>
      <c r="AN415" s="333" t="n"/>
      <c r="AQ415" s="332" t="n"/>
      <c r="AR415" s="332" t="n"/>
      <c r="AS415" s="332" t="n"/>
      <c r="AT415" s="332" t="n"/>
      <c r="AU415" s="332" t="n"/>
      <c r="AV415" s="566" t="inlineStr">
        <is>
          <t>Dosis reportadas Plantilla Cero</t>
        </is>
      </c>
      <c r="AW415" s="566" t="inlineStr">
        <is>
          <t>Diferencia dosis aplicadas vs dosis reportadas plantilla cero</t>
        </is>
      </c>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inlineStr">
        <is>
          <t>INSTITUCIONAL</t>
        </is>
      </c>
      <c r="AA416" s="533" t="inlineStr">
        <is>
          <t>EXTRAMURAL</t>
        </is>
      </c>
      <c r="AB416" s="533" t="inlineStr">
        <is>
          <t>TOTAL</t>
        </is>
      </c>
      <c r="AC416" s="975" t="n"/>
      <c r="AD416" s="975" t="n"/>
      <c r="AE416" s="975" t="n"/>
      <c r="AF416" s="975" t="n"/>
      <c r="AG416" s="975" t="n"/>
      <c r="AH416" s="975" t="n"/>
      <c r="AI416" s="975" t="n"/>
      <c r="AJ416" s="975" t="n"/>
      <c r="AK416" s="975" t="n"/>
      <c r="AL416" s="975" t="n"/>
      <c r="AM416" s="975" t="n"/>
      <c r="AN416" s="333" t="n"/>
      <c r="AQ416" s="546" t="inlineStr">
        <is>
          <t>PORCENTAJE DE PERDIDA DEL MES
%</t>
        </is>
      </c>
      <c r="AR416" s="546" t="inlineStr">
        <is>
          <t>FACTOR DE PERDIDA DEL MES</t>
        </is>
      </c>
      <c r="AS416" s="420" t="inlineStr">
        <is>
          <t>% DE PERDIDA DEL MSPS</t>
        </is>
      </c>
      <c r="AT416" s="420" t="inlineStr">
        <is>
          <t>DOSIS POR VIAL</t>
        </is>
      </c>
      <c r="AU416" s="332" t="n"/>
      <c r="AV416" s="975" t="n"/>
      <c r="AW416" s="975" t="n"/>
    </row>
    <row r="417" ht="17.25" customHeight="1">
      <c r="A417" s="585" t="n">
        <v>1</v>
      </c>
      <c r="B417" s="640" t="inlineStr">
        <is>
          <t>Vacuna de BCG (Bacilo de Calmette y Guérin) Liofilizada</t>
        </is>
      </c>
      <c r="C417" s="965" t="n"/>
      <c r="D417" s="338" t="n">
        <v>3950</v>
      </c>
      <c r="E417" s="339">
        <f>H13</f>
        <v/>
      </c>
      <c r="F417" s="338" t="n">
        <v>611</v>
      </c>
      <c r="G417" s="338" t="n">
        <v>37</v>
      </c>
      <c r="H417" s="1235">
        <f>+F417+G417</f>
        <v/>
      </c>
      <c r="I417" s="340">
        <f>+AM417</f>
        <v/>
      </c>
      <c r="J417" s="341">
        <f>+H417+I417</f>
        <v/>
      </c>
      <c r="K417" s="583">
        <f>+(D417+E417)-(J417)</f>
        <v/>
      </c>
      <c r="L417" s="253" t="n">
        <v>20</v>
      </c>
      <c r="M417" s="254" t="inlineStr">
        <is>
          <t>0703S1005</t>
        </is>
      </c>
      <c r="N417" s="254" t="n"/>
      <c r="O417" s="1183" t="inlineStr">
        <is>
          <t>28/02/2027</t>
        </is>
      </c>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v>957</v>
      </c>
      <c r="AA417" s="648" t="n">
        <v>366</v>
      </c>
      <c r="AB417" s="649">
        <f>+Z417+AA417</f>
        <v/>
      </c>
      <c r="AC417" s="648" t="n">
        <v>0</v>
      </c>
      <c r="AD417" s="648" t="n">
        <v>0</v>
      </c>
      <c r="AE417" s="648" t="n">
        <v>0</v>
      </c>
      <c r="AF417" s="648" t="n">
        <v>0</v>
      </c>
      <c r="AG417" s="648" t="n">
        <v>0</v>
      </c>
      <c r="AH417" s="648" t="n">
        <v>0</v>
      </c>
      <c r="AI417" s="648" t="n">
        <v>0</v>
      </c>
      <c r="AJ417" s="648" t="n">
        <v>0</v>
      </c>
      <c r="AK417" s="648" t="n">
        <v>0</v>
      </c>
      <c r="AL417" s="648" t="n">
        <v>0</v>
      </c>
      <c r="AM417" s="421">
        <f>SUM(AB417:AL421)</f>
        <v/>
      </c>
      <c r="AN417" s="726" t="n"/>
      <c r="AQ417" s="1238">
        <f>IFERROR(I417/J417*100,"0")</f>
        <v/>
      </c>
      <c r="AR417" s="343">
        <f>IFERROR(1/(1-(AQ417/100)),"0")</f>
        <v/>
      </c>
      <c r="AS417" s="1239" t="n">
        <v>75</v>
      </c>
      <c r="AT417" s="345" t="n">
        <v>20</v>
      </c>
      <c r="AU417" s="1240" t="n"/>
      <c r="AV417" s="1241" t="n"/>
      <c r="AW417" s="1242">
        <f>+H417-AV417</f>
        <v/>
      </c>
    </row>
    <row r="418" ht="17.25" customHeight="1">
      <c r="A418" s="973" t="n"/>
      <c r="B418" s="971" t="n"/>
      <c r="C418" s="972" t="n"/>
      <c r="D418" s="994" t="n"/>
      <c r="E418" s="973" t="n"/>
      <c r="F418" s="994" t="n"/>
      <c r="G418" s="994" t="n"/>
      <c r="H418" s="973" t="n"/>
      <c r="I418" s="973" t="n"/>
      <c r="J418" s="973" t="n"/>
      <c r="K418" s="973" t="n"/>
      <c r="L418" s="253" t="n">
        <v>389</v>
      </c>
      <c r="M418" s="254" t="inlineStr">
        <is>
          <t>0704S4001</t>
        </is>
      </c>
      <c r="N418" s="254" t="n"/>
      <c r="O418" s="1183" t="inlineStr">
        <is>
          <t>31/12/2027</t>
        </is>
      </c>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94" t="n"/>
      <c r="E419" s="973" t="n"/>
      <c r="F419" s="994" t="n"/>
      <c r="G419" s="994" t="n"/>
      <c r="H419" s="973" t="n"/>
      <c r="I419" s="973" t="n"/>
      <c r="J419" s="973" t="n"/>
      <c r="K419" s="973" t="n"/>
      <c r="L419" s="253" t="n">
        <v>1570</v>
      </c>
      <c r="M419" s="254" t="inlineStr">
        <is>
          <t>0704S4011</t>
        </is>
      </c>
      <c r="N419" s="254" t="n"/>
      <c r="O419" s="1183" t="inlineStr">
        <is>
          <t>30/06/2028</t>
        </is>
      </c>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94" t="n"/>
      <c r="E420" s="973" t="n"/>
      <c r="F420" s="994" t="n"/>
      <c r="G420" s="994" t="n"/>
      <c r="H420" s="973" t="n"/>
      <c r="I420" s="973" t="n"/>
      <c r="J420" s="973" t="n"/>
      <c r="K420" s="973" t="n"/>
      <c r="L420" s="253" t="n"/>
      <c r="M420" s="254" t="n"/>
      <c r="N420" s="254" t="n"/>
      <c r="O420" s="1183" t="n"/>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94"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98" t="n"/>
      <c r="E422" s="975" t="n"/>
      <c r="F422" s="998" t="n"/>
      <c r="G422" s="998" t="n"/>
      <c r="H422" s="975" t="n"/>
      <c r="I422" s="975" t="n"/>
      <c r="J422" s="975" t="n"/>
      <c r="K422" s="1189">
        <f>K417=L422</f>
        <v/>
      </c>
      <c r="L422" s="491">
        <f>SUM(L417:L421)</f>
        <v/>
      </c>
      <c r="M422" s="1190" t="inlineStr">
        <is>
          <t xml:space="preserve">“Verdadero” indica que la cantidad por lote, coincide con el saldo que inicia al mes siguiente. "Falso" no coinicide. </t>
        </is>
      </c>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338" t="n">
        <v>1625</v>
      </c>
      <c r="E423" s="339">
        <f>H19</f>
        <v/>
      </c>
      <c r="F423" s="338" t="n">
        <v>594</v>
      </c>
      <c r="G423" s="338" t="n">
        <v>38</v>
      </c>
      <c r="H423" s="1235">
        <f>+F423+G423</f>
        <v/>
      </c>
      <c r="I423" s="340">
        <f>+AM423</f>
        <v/>
      </c>
      <c r="J423" s="341">
        <f>+H423+I423</f>
        <v/>
      </c>
      <c r="K423" s="583">
        <f>+(D423+E423)-(J423)</f>
        <v/>
      </c>
      <c r="L423" s="253" t="n">
        <v>12</v>
      </c>
      <c r="M423" s="254" t="inlineStr">
        <is>
          <t xml:space="preserve">0323Q014A </t>
        </is>
      </c>
      <c r="N423" s="254" t="n"/>
      <c r="O423" s="1183" t="inlineStr">
        <is>
          <t>30/04/2026</t>
        </is>
      </c>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v>0</v>
      </c>
      <c r="AA423" s="648" t="n">
        <v>0</v>
      </c>
      <c r="AB423" s="649">
        <f>+Z423+AA423</f>
        <v/>
      </c>
      <c r="AC423" s="648" t="n">
        <v>0</v>
      </c>
      <c r="AD423" s="648" t="n">
        <v>0</v>
      </c>
      <c r="AE423" s="648" t="n">
        <v>0</v>
      </c>
      <c r="AF423" s="648" t="n">
        <v>0</v>
      </c>
      <c r="AG423" s="648" t="n">
        <v>0</v>
      </c>
      <c r="AH423" s="648" t="n">
        <v>0</v>
      </c>
      <c r="AI423" s="648" t="n">
        <v>0</v>
      </c>
      <c r="AJ423" s="648" t="n">
        <v>0</v>
      </c>
      <c r="AK423" s="648" t="n">
        <v>0</v>
      </c>
      <c r="AL423" s="648" t="n">
        <v>0</v>
      </c>
      <c r="AM423" s="421">
        <f>SUM(AB423:AL427)</f>
        <v/>
      </c>
      <c r="AN423" s="726" t="n"/>
      <c r="AQ423" s="1238">
        <f>IFERROR(I423/J423*100,"0")</f>
        <v/>
      </c>
      <c r="AR423" s="343">
        <f>IFERROR(1/(1-(AQ423/100)),"0")</f>
        <v/>
      </c>
      <c r="AS423" s="1239" t="n">
        <v>0</v>
      </c>
      <c r="AT423" s="345" t="n">
        <v>1</v>
      </c>
      <c r="AU423" s="1240" t="n"/>
      <c r="AV423" s="1241" t="n"/>
      <c r="AW423" s="1242">
        <f>+H423-AV423</f>
        <v/>
      </c>
    </row>
    <row r="424" ht="17.25" customHeight="1">
      <c r="A424" s="973" t="n"/>
      <c r="B424" s="971" t="n"/>
      <c r="C424" s="972" t="n"/>
      <c r="D424" s="994" t="n"/>
      <c r="E424" s="973" t="n"/>
      <c r="F424" s="994" t="n"/>
      <c r="G424" s="994" t="n"/>
      <c r="H424" s="973" t="n"/>
      <c r="I424" s="973" t="n"/>
      <c r="J424" s="973" t="n"/>
      <c r="K424" s="973" t="n"/>
      <c r="L424" s="253" t="n">
        <v>147</v>
      </c>
      <c r="M424" s="254" t="inlineStr">
        <is>
          <t>0323X019E</t>
        </is>
      </c>
      <c r="N424" s="254" t="n"/>
      <c r="O424" s="1183" t="inlineStr">
        <is>
          <t>31/05/2026</t>
        </is>
      </c>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94" t="n"/>
      <c r="E425" s="973" t="n"/>
      <c r="F425" s="994" t="n"/>
      <c r="G425" s="994" t="n"/>
      <c r="H425" s="973" t="n"/>
      <c r="I425" s="973" t="n"/>
      <c r="J425" s="973" t="n"/>
      <c r="K425" s="973" t="n"/>
      <c r="L425" s="253" t="n">
        <v>303</v>
      </c>
      <c r="M425" s="254" t="inlineStr">
        <is>
          <t>0324L013A</t>
        </is>
      </c>
      <c r="N425" s="254" t="n"/>
      <c r="O425" s="1183" t="inlineStr">
        <is>
          <t>30/11/2027</t>
        </is>
      </c>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94" t="n"/>
      <c r="E426" s="973" t="n"/>
      <c r="F426" s="994" t="n"/>
      <c r="G426" s="994" t="n"/>
      <c r="H426" s="973" t="n"/>
      <c r="I426" s="973" t="n"/>
      <c r="J426" s="973" t="n"/>
      <c r="K426" s="973" t="n"/>
      <c r="L426" s="253" t="n">
        <v>514</v>
      </c>
      <c r="M426" s="254" t="inlineStr">
        <is>
          <t>0324L013B</t>
        </is>
      </c>
      <c r="N426" s="254" t="n"/>
      <c r="O426" s="1183" t="inlineStr">
        <is>
          <t>30/11/2027</t>
        </is>
      </c>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94" t="n"/>
      <c r="E427" s="973" t="n"/>
      <c r="F427" s="994" t="n"/>
      <c r="G427" s="994" t="n"/>
      <c r="H427" s="973" t="n"/>
      <c r="I427" s="973" t="n"/>
      <c r="J427" s="973" t="n"/>
      <c r="K427" s="975" t="n"/>
      <c r="L427" s="253" t="n">
        <v>17</v>
      </c>
      <c r="M427" s="254" t="inlineStr">
        <is>
          <t>0324Q002D</t>
        </is>
      </c>
      <c r="N427" s="254" t="n"/>
      <c r="O427" s="1183" t="inlineStr">
        <is>
          <t>31/05/2027</t>
        </is>
      </c>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98" t="n"/>
      <c r="E428" s="975" t="n"/>
      <c r="F428" s="998" t="n"/>
      <c r="G428" s="998" t="n"/>
      <c r="H428" s="975" t="n"/>
      <c r="I428" s="975" t="n"/>
      <c r="J428" s="975" t="n"/>
      <c r="K428" s="1189">
        <f>K423=L428</f>
        <v/>
      </c>
      <c r="L428" s="491">
        <f>SUM(L423:L427)</f>
        <v/>
      </c>
      <c r="M428" s="1190" t="inlineStr">
        <is>
          <t xml:space="preserve">“Verdadero” indica que la cantidad por lote, coincide con el saldo que inicia al mes siguiente. "Falso" no coinicide. </t>
        </is>
      </c>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338" t="n">
        <v>550</v>
      </c>
      <c r="E429" s="339">
        <f>H25</f>
        <v/>
      </c>
      <c r="F429" s="338" t="n">
        <v>73</v>
      </c>
      <c r="G429" s="338" t="n">
        <v>0</v>
      </c>
      <c r="H429" s="1235">
        <f>+F429+G429</f>
        <v/>
      </c>
      <c r="I429" s="340">
        <f>+AM429</f>
        <v/>
      </c>
      <c r="J429" s="341">
        <f>+H429+I429</f>
        <v/>
      </c>
      <c r="K429" s="583">
        <f>+(D429+E429)-(J429)</f>
        <v/>
      </c>
      <c r="L429" s="253" t="n">
        <v>62</v>
      </c>
      <c r="M429" s="254" t="inlineStr">
        <is>
          <t>0343Q005A</t>
        </is>
      </c>
      <c r="N429" s="254" t="n"/>
      <c r="O429" s="1183" t="inlineStr">
        <is>
          <t>30/04/2026</t>
        </is>
      </c>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v>0</v>
      </c>
      <c r="AA429" s="648" t="n">
        <v>0</v>
      </c>
      <c r="AB429" s="649">
        <f>+Z429+AA429</f>
        <v/>
      </c>
      <c r="AC429" s="648" t="n">
        <v>0</v>
      </c>
      <c r="AD429" s="648" t="n">
        <v>0</v>
      </c>
      <c r="AE429" s="648" t="n">
        <v>0</v>
      </c>
      <c r="AF429" s="648" t="n">
        <v>0</v>
      </c>
      <c r="AG429" s="648" t="n">
        <v>0</v>
      </c>
      <c r="AH429" s="648" t="n">
        <v>0</v>
      </c>
      <c r="AI429" s="648" t="n">
        <v>0</v>
      </c>
      <c r="AJ429" s="648" t="n">
        <v>0</v>
      </c>
      <c r="AK429" s="648" t="n">
        <v>0</v>
      </c>
      <c r="AL429" s="648" t="n">
        <v>0</v>
      </c>
      <c r="AM429" s="421">
        <f>SUM(AB429:AL433)</f>
        <v/>
      </c>
      <c r="AN429" s="726" t="n"/>
      <c r="AQ429" s="1238">
        <f>IFERROR(I429/J429*100,"0")</f>
        <v/>
      </c>
      <c r="AR429" s="343">
        <f>IFERROR(1/(1-(AQ429/100)),"0")</f>
        <v/>
      </c>
      <c r="AS429" s="1239" t="n">
        <v>0</v>
      </c>
      <c r="AT429" s="345" t="n">
        <v>1</v>
      </c>
      <c r="AU429" s="1240" t="n"/>
      <c r="AV429" s="1241" t="n"/>
      <c r="AW429" s="1242">
        <f>+H429-AV429</f>
        <v/>
      </c>
    </row>
    <row r="430" ht="17.25" customHeight="1">
      <c r="A430" s="973" t="n"/>
      <c r="B430" s="971" t="n"/>
      <c r="C430" s="972" t="n"/>
      <c r="D430" s="994" t="n"/>
      <c r="E430" s="973" t="n"/>
      <c r="F430" s="994" t="n"/>
      <c r="G430" s="994" t="n"/>
      <c r="H430" s="973" t="n"/>
      <c r="I430" s="973" t="n"/>
      <c r="J430" s="973" t="n"/>
      <c r="K430" s="973" t="n"/>
      <c r="L430" s="253" t="n">
        <v>186</v>
      </c>
      <c r="M430" s="254" t="inlineStr">
        <is>
          <t>0343Q010C</t>
        </is>
      </c>
      <c r="N430" s="254" t="n"/>
      <c r="O430" s="1183" t="inlineStr">
        <is>
          <t>31/07/2026</t>
        </is>
      </c>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94" t="n"/>
      <c r="E431" s="973" t="n"/>
      <c r="F431" s="994" t="n"/>
      <c r="G431" s="994" t="n"/>
      <c r="H431" s="973" t="n"/>
      <c r="I431" s="973" t="n"/>
      <c r="J431" s="973" t="n"/>
      <c r="K431" s="973" t="n"/>
      <c r="L431" s="253" t="n">
        <v>229</v>
      </c>
      <c r="M431" s="254" t="inlineStr">
        <is>
          <t>0344X002C</t>
        </is>
      </c>
      <c r="N431" s="254" t="n"/>
      <c r="O431" s="1183" t="inlineStr">
        <is>
          <t>30/06/2027</t>
        </is>
      </c>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94" t="n"/>
      <c r="E432" s="973" t="n"/>
      <c r="F432" s="994" t="n"/>
      <c r="G432" s="994" t="n"/>
      <c r="H432" s="973" t="n"/>
      <c r="I432" s="973" t="n"/>
      <c r="J432" s="973" t="n"/>
      <c r="K432" s="973" t="n"/>
      <c r="L432" s="253" t="n"/>
      <c r="M432" s="254" t="n"/>
      <c r="N432" s="254" t="n"/>
      <c r="O432" s="1183" t="n"/>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94"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98" t="n"/>
      <c r="E434" s="975" t="n"/>
      <c r="F434" s="998" t="n"/>
      <c r="G434" s="998" t="n"/>
      <c r="H434" s="975" t="n"/>
      <c r="I434" s="975" t="n"/>
      <c r="J434" s="975" t="n"/>
      <c r="K434" s="1189">
        <f>K429=L434</f>
        <v/>
      </c>
      <c r="L434" s="491">
        <f>SUM(L429:L433)</f>
        <v/>
      </c>
      <c r="M434" s="1190" t="inlineStr">
        <is>
          <t xml:space="preserve">“Verdadero” indica que la cantidad por lote, coincide con el saldo que inicia al mes siguiente. "Falso" no coinicide. </t>
        </is>
      </c>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338" t="n">
        <v>7442</v>
      </c>
      <c r="E435" s="339">
        <f>H31</f>
        <v/>
      </c>
      <c r="F435" s="338" t="n">
        <v>3552</v>
      </c>
      <c r="G435" s="338" t="n">
        <v>30</v>
      </c>
      <c r="H435" s="1235">
        <f>+F435+G435</f>
        <v/>
      </c>
      <c r="I435" s="340">
        <f>+AM435</f>
        <v/>
      </c>
      <c r="J435" s="341">
        <f>+H435+I435</f>
        <v/>
      </c>
      <c r="K435" s="583">
        <f>+(D435+E435)-(J435)</f>
        <v/>
      </c>
      <c r="L435" s="253" t="n">
        <v>16</v>
      </c>
      <c r="M435" s="254" t="inlineStr">
        <is>
          <t>2328006A</t>
        </is>
      </c>
      <c r="N435" s="254" t="n"/>
      <c r="O435" s="1183" t="inlineStr">
        <is>
          <t>30/05/2026</t>
        </is>
      </c>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v>13</v>
      </c>
      <c r="AA435" s="648" t="n">
        <v>32</v>
      </c>
      <c r="AB435" s="649">
        <f>+Z435+AA435</f>
        <v/>
      </c>
      <c r="AC435" s="648" t="n">
        <v>0</v>
      </c>
      <c r="AD435" s="648" t="n">
        <v>0</v>
      </c>
      <c r="AE435" s="648" t="n">
        <v>0</v>
      </c>
      <c r="AF435" s="648" t="n">
        <v>0</v>
      </c>
      <c r="AG435" s="648" t="n">
        <v>0</v>
      </c>
      <c r="AH435" s="648" t="n">
        <v>0</v>
      </c>
      <c r="AI435" s="648" t="n">
        <v>0</v>
      </c>
      <c r="AJ435" s="648" t="n">
        <v>0</v>
      </c>
      <c r="AK435" s="648" t="n">
        <v>0</v>
      </c>
      <c r="AL435" s="648" t="n">
        <v>0</v>
      </c>
      <c r="AM435" s="421">
        <f>SUM(AB435:AL439)</f>
        <v/>
      </c>
      <c r="AN435" s="726" t="n"/>
      <c r="AQ435" s="1238">
        <f>IFERROR(I435/J435*100,"0")</f>
        <v/>
      </c>
      <c r="AR435" s="343">
        <f>IFERROR(1/(1-(AQ435/100)),"0")</f>
        <v/>
      </c>
      <c r="AS435" s="1239" t="n">
        <v>15</v>
      </c>
      <c r="AT435" s="345" t="n">
        <v>5</v>
      </c>
      <c r="AU435" s="1240" t="n"/>
      <c r="AV435" s="1241" t="n"/>
      <c r="AW435" s="1242">
        <f>+H435-AV435</f>
        <v/>
      </c>
    </row>
    <row r="436" ht="17.25" customHeight="1">
      <c r="A436" s="973" t="n"/>
      <c r="B436" s="971" t="n"/>
      <c r="C436" s="972" t="n"/>
      <c r="D436" s="994" t="n"/>
      <c r="E436" s="973" t="n"/>
      <c r="F436" s="994" t="n"/>
      <c r="G436" s="994" t="n"/>
      <c r="H436" s="973" t="n"/>
      <c r="I436" s="973" t="n"/>
      <c r="J436" s="973" t="n"/>
      <c r="K436" s="973" t="n"/>
      <c r="L436" s="253" t="n">
        <v>709</v>
      </c>
      <c r="M436" s="254" t="inlineStr">
        <is>
          <t>2429006A</t>
        </is>
      </c>
      <c r="N436" s="254" t="n"/>
      <c r="O436" s="1183" t="inlineStr">
        <is>
          <t>04/03/2027</t>
        </is>
      </c>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94" t="n"/>
      <c r="E437" s="973" t="n"/>
      <c r="F437" s="994" t="n"/>
      <c r="G437" s="994" t="n"/>
      <c r="H437" s="973" t="n"/>
      <c r="I437" s="973" t="n"/>
      <c r="J437" s="973" t="n"/>
      <c r="K437" s="973" t="n"/>
      <c r="L437" s="253" t="n">
        <v>3090</v>
      </c>
      <c r="M437" s="254" t="inlineStr">
        <is>
          <t>2435007A</t>
        </is>
      </c>
      <c r="N437" s="254" t="n"/>
      <c r="O437" s="1183" t="inlineStr">
        <is>
          <t>14/05/2027</t>
        </is>
      </c>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94" t="n"/>
      <c r="E438" s="973" t="n"/>
      <c r="F438" s="994" t="n"/>
      <c r="G438" s="994" t="n"/>
      <c r="H438" s="973" t="n"/>
      <c r="I438" s="973" t="n"/>
      <c r="J438" s="973" t="n"/>
      <c r="K438" s="973" t="n"/>
      <c r="L438" s="253" t="n"/>
      <c r="M438" s="254" t="n"/>
      <c r="N438" s="254" t="n"/>
      <c r="O438" s="1183" t="n"/>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94" t="n"/>
      <c r="E439" s="973" t="n"/>
      <c r="F439" s="994" t="n"/>
      <c r="G439" s="994" t="n"/>
      <c r="H439" s="973" t="n"/>
      <c r="I439" s="973" t="n"/>
      <c r="J439" s="973" t="n"/>
      <c r="K439" s="975" t="n"/>
      <c r="L439" s="253" t="n"/>
      <c r="M439" s="254" t="n"/>
      <c r="N439" s="254" t="n"/>
      <c r="O439" s="1183" t="n"/>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98" t="n"/>
      <c r="E440" s="975" t="n"/>
      <c r="F440" s="998" t="n"/>
      <c r="G440" s="998" t="n"/>
      <c r="H440" s="975" t="n"/>
      <c r="I440" s="975" t="n"/>
      <c r="J440" s="975" t="n"/>
      <c r="K440" s="1189">
        <f>K435=L440</f>
        <v/>
      </c>
      <c r="L440" s="491">
        <f>SUM(L435:L439)</f>
        <v/>
      </c>
      <c r="M440" s="1190" t="inlineStr">
        <is>
          <t xml:space="preserve">“Verdadero” indica que la cantidad por lote, coincide con el saldo que inicia al mes siguiente. "Falso" no coinicide. </t>
        </is>
      </c>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338" t="n">
        <v>4912</v>
      </c>
      <c r="E441" s="339">
        <f>H37</f>
        <v/>
      </c>
      <c r="F441" s="338" t="n">
        <v>2543</v>
      </c>
      <c r="G441" s="338" t="n">
        <v>14</v>
      </c>
      <c r="H441" s="1235">
        <f>+F441+G441</f>
        <v/>
      </c>
      <c r="I441" s="340">
        <f>+AM441</f>
        <v/>
      </c>
      <c r="J441" s="341">
        <f>+H441+I441</f>
        <v/>
      </c>
      <c r="K441" s="583">
        <f>+(D441+E441)-(J441)</f>
        <v/>
      </c>
      <c r="L441" s="253" t="n">
        <v>100</v>
      </c>
      <c r="M441" s="254" t="inlineStr">
        <is>
          <t>2853X020B</t>
        </is>
      </c>
      <c r="N441" s="254" t="n"/>
      <c r="O441" s="1183" t="inlineStr">
        <is>
          <t>30/04/2026</t>
        </is>
      </c>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v>0</v>
      </c>
      <c r="AA441" s="648" t="n">
        <v>0</v>
      </c>
      <c r="AB441" s="649">
        <f>+Z441+AA441</f>
        <v/>
      </c>
      <c r="AC441" s="648" t="n">
        <v>0</v>
      </c>
      <c r="AD441" s="648" t="n">
        <v>0</v>
      </c>
      <c r="AE441" s="648" t="n">
        <v>0</v>
      </c>
      <c r="AF441" s="648" t="n">
        <v>0</v>
      </c>
      <c r="AG441" s="648" t="n">
        <v>0</v>
      </c>
      <c r="AH441" s="648" t="n">
        <v>0</v>
      </c>
      <c r="AI441" s="648" t="n">
        <v>0</v>
      </c>
      <c r="AJ441" s="648" t="n">
        <v>0</v>
      </c>
      <c r="AK441" s="648" t="n">
        <v>0</v>
      </c>
      <c r="AL441" s="648" t="n">
        <v>0</v>
      </c>
      <c r="AM441" s="421">
        <f>SUM(AB441:AL445)</f>
        <v/>
      </c>
      <c r="AN441" s="726" t="n"/>
      <c r="AQ441" s="1238">
        <f>IFERROR(I441/J441*100,"0")</f>
        <v/>
      </c>
      <c r="AR441" s="343">
        <f>IFERROR(1/(1-(AQ441/100)),"0")</f>
        <v/>
      </c>
      <c r="AS441" s="1239" t="n">
        <v>0</v>
      </c>
      <c r="AT441" s="345" t="n">
        <v>1</v>
      </c>
      <c r="AU441" s="1240" t="n"/>
      <c r="AV441" s="1241" t="n"/>
      <c r="AW441" s="1242">
        <f>+H441-AV441</f>
        <v/>
      </c>
    </row>
    <row r="442" ht="17.25" customHeight="1">
      <c r="A442" s="973" t="n"/>
      <c r="B442" s="971" t="n"/>
      <c r="C442" s="972" t="n"/>
      <c r="D442" s="994" t="n"/>
      <c r="E442" s="973" t="n"/>
      <c r="F442" s="994" t="n"/>
      <c r="G442" s="994" t="n"/>
      <c r="H442" s="973" t="n"/>
      <c r="I442" s="973" t="n"/>
      <c r="J442" s="973" t="n"/>
      <c r="K442" s="973" t="n"/>
      <c r="L442" s="253" t="n">
        <v>251</v>
      </c>
      <c r="M442" s="254" t="inlineStr">
        <is>
          <t>2854X013D</t>
        </is>
      </c>
      <c r="N442" s="254" t="n"/>
      <c r="O442" s="1183" t="inlineStr">
        <is>
          <t>30/11/2026</t>
        </is>
      </c>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94" t="n"/>
      <c r="E443" s="973" t="n"/>
      <c r="F443" s="994" t="n"/>
      <c r="G443" s="994" t="n"/>
      <c r="H443" s="973" t="n"/>
      <c r="I443" s="973" t="n"/>
      <c r="J443" s="973" t="n"/>
      <c r="K443" s="973" t="n"/>
      <c r="L443" s="253" t="n">
        <v>1878</v>
      </c>
      <c r="M443" s="254" t="inlineStr">
        <is>
          <t>2854X041B</t>
        </is>
      </c>
      <c r="N443" s="254" t="n"/>
      <c r="O443" s="1183" t="inlineStr">
        <is>
          <t>30/04/2027</t>
        </is>
      </c>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94" t="n"/>
      <c r="E444" s="973" t="n"/>
      <c r="F444" s="994" t="n"/>
      <c r="G444" s="994" t="n"/>
      <c r="H444" s="973" t="n"/>
      <c r="I444" s="973" t="n"/>
      <c r="J444" s="973" t="n"/>
      <c r="K444" s="973" t="n"/>
      <c r="L444" s="253" t="n">
        <v>176</v>
      </c>
      <c r="M444" s="254" t="inlineStr">
        <is>
          <t>2855X001A</t>
        </is>
      </c>
      <c r="N444" s="254" t="n"/>
      <c r="O444" s="1183" t="inlineStr">
        <is>
          <t>30/06/2027</t>
        </is>
      </c>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94"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98" t="n"/>
      <c r="E446" s="975" t="n"/>
      <c r="F446" s="998" t="n"/>
      <c r="G446" s="998" t="n"/>
      <c r="H446" s="975" t="n"/>
      <c r="I446" s="975" t="n"/>
      <c r="J446" s="975" t="n"/>
      <c r="K446" s="1189">
        <f>K441=L446</f>
        <v/>
      </c>
      <c r="L446" s="491">
        <f>SUM(L441:L445)</f>
        <v/>
      </c>
      <c r="M446" s="1190" t="inlineStr">
        <is>
          <t xml:space="preserve">“Verdadero” indica que la cantidad por lote, coincide con el saldo que inicia al mes siguiente. "Falso" no coinicide. </t>
        </is>
      </c>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338" t="n">
        <v>153</v>
      </c>
      <c r="E447" s="339">
        <f>H43</f>
        <v/>
      </c>
      <c r="F447" s="338" t="n">
        <v>26</v>
      </c>
      <c r="G447" s="338" t="n">
        <v>0</v>
      </c>
      <c r="H447" s="1235">
        <f>+F447+G447</f>
        <v/>
      </c>
      <c r="I447" s="340">
        <f>+AM447</f>
        <v/>
      </c>
      <c r="J447" s="341">
        <f>+H447+I447</f>
        <v/>
      </c>
      <c r="K447" s="583">
        <f>+(D447+E447)-(J447)</f>
        <v/>
      </c>
      <c r="L447" s="253" t="n">
        <v>40</v>
      </c>
      <c r="M447" s="254" t="inlineStr">
        <is>
          <t>2854X041B</t>
        </is>
      </c>
      <c r="N447" s="254" t="n"/>
      <c r="O447" s="1183" t="inlineStr">
        <is>
          <t>30/04/2027</t>
        </is>
      </c>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v>0</v>
      </c>
      <c r="AA447" s="648" t="n">
        <v>0</v>
      </c>
      <c r="AB447" s="649">
        <f>+Z447+AA447</f>
        <v/>
      </c>
      <c r="AC447" s="648" t="n">
        <v>0</v>
      </c>
      <c r="AD447" s="648" t="n">
        <v>0</v>
      </c>
      <c r="AE447" s="648" t="n">
        <v>0</v>
      </c>
      <c r="AF447" s="648" t="n">
        <v>0</v>
      </c>
      <c r="AG447" s="648" t="n">
        <v>0</v>
      </c>
      <c r="AH447" s="648" t="n">
        <v>0</v>
      </c>
      <c r="AI447" s="648" t="n">
        <v>0</v>
      </c>
      <c r="AJ447" s="648" t="n">
        <v>0</v>
      </c>
      <c r="AK447" s="648" t="n">
        <v>0</v>
      </c>
      <c r="AL447" s="648" t="n">
        <v>0</v>
      </c>
      <c r="AM447" s="421">
        <f>SUM(AB447:AL451)</f>
        <v/>
      </c>
      <c r="AN447" s="726" t="n"/>
      <c r="AQ447" s="1238">
        <f>IFERROR(I447/J447*100,"0")</f>
        <v/>
      </c>
      <c r="AR447" s="343">
        <f>IFERROR(1/(1-(AQ447/100)),"0")</f>
        <v/>
      </c>
      <c r="AS447" s="1239" t="n">
        <v>0</v>
      </c>
      <c r="AT447" s="345" t="n">
        <v>1</v>
      </c>
      <c r="AU447" s="1240" t="n"/>
      <c r="AV447" s="1241" t="n"/>
      <c r="AW447" s="1242">
        <f>+H447-AV447</f>
        <v/>
      </c>
    </row>
    <row r="448" ht="17.25" customHeight="1">
      <c r="A448" s="973" t="n"/>
      <c r="B448" s="971" t="n"/>
      <c r="C448" s="972" t="n"/>
      <c r="D448" s="994" t="n"/>
      <c r="E448" s="973" t="n"/>
      <c r="F448" s="994" t="n"/>
      <c r="G448" s="994" t="n"/>
      <c r="H448" s="973" t="n"/>
      <c r="I448" s="973" t="n"/>
      <c r="J448" s="973" t="n"/>
      <c r="K448" s="973" t="n"/>
      <c r="L448" s="253" t="n">
        <v>87</v>
      </c>
      <c r="M448" s="254" t="inlineStr">
        <is>
          <t>Y3C49</t>
        </is>
      </c>
      <c r="N448" s="254" t="n"/>
      <c r="O448" s="1183" t="inlineStr">
        <is>
          <t>29/02/2028</t>
        </is>
      </c>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94" t="n"/>
      <c r="E449" s="973" t="n"/>
      <c r="F449" s="994" t="n"/>
      <c r="G449" s="994" t="n"/>
      <c r="H449" s="973" t="n"/>
      <c r="I449" s="973" t="n"/>
      <c r="J449" s="973" t="n"/>
      <c r="K449" s="973" t="n"/>
      <c r="L449" s="253" t="n"/>
      <c r="M449" s="254" t="n"/>
      <c r="N449" s="254" t="n"/>
      <c r="O449" s="1183" t="n"/>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94" t="n"/>
      <c r="E450" s="973" t="n"/>
      <c r="F450" s="994" t="n"/>
      <c r="G450" s="994" t="n"/>
      <c r="H450" s="973" t="n"/>
      <c r="I450" s="973" t="n"/>
      <c r="J450" s="973" t="n"/>
      <c r="K450" s="973" t="n"/>
      <c r="L450" s="253" t="n"/>
      <c r="M450" s="254" t="n"/>
      <c r="N450" s="254" t="n"/>
      <c r="O450" s="1183" t="n"/>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94" t="n"/>
      <c r="E451" s="973" t="n"/>
      <c r="F451" s="994" t="n"/>
      <c r="G451" s="994" t="n"/>
      <c r="H451" s="973" t="n"/>
      <c r="I451" s="973" t="n"/>
      <c r="J451" s="973" t="n"/>
      <c r="K451" s="975" t="n"/>
      <c r="L451" s="253" t="n"/>
      <c r="M451" s="254" t="n"/>
      <c r="N451" s="254" t="n"/>
      <c r="O451" s="1183" t="n"/>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98" t="n"/>
      <c r="E452" s="975" t="n"/>
      <c r="F452" s="998" t="n"/>
      <c r="G452" s="998" t="n"/>
      <c r="H452" s="975" t="n"/>
      <c r="I452" s="975" t="n"/>
      <c r="J452" s="975" t="n"/>
      <c r="K452" s="1189">
        <f>K447=L452</f>
        <v/>
      </c>
      <c r="L452" s="491">
        <f>SUM(L447:L451)</f>
        <v/>
      </c>
      <c r="M452" s="1190" t="inlineStr">
        <is>
          <t xml:space="preserve">“Verdadero” indica que la cantidad por lote, coincide con el saldo que inicia al mes siguiente. "Falso" no coinicide. </t>
        </is>
      </c>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338" t="n">
        <v>0</v>
      </c>
      <c r="E453" s="339">
        <f>H49</f>
        <v/>
      </c>
      <c r="F453" s="338" t="n">
        <v>0</v>
      </c>
      <c r="G453" s="338" t="n">
        <v>0</v>
      </c>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v>0</v>
      </c>
      <c r="AA453" s="648" t="n">
        <v>0</v>
      </c>
      <c r="AB453" s="649">
        <f>+Z453+AA453</f>
        <v/>
      </c>
      <c r="AC453" s="648" t="n">
        <v>0</v>
      </c>
      <c r="AD453" s="648" t="n">
        <v>0</v>
      </c>
      <c r="AE453" s="648" t="n">
        <v>0</v>
      </c>
      <c r="AF453" s="648" t="n">
        <v>0</v>
      </c>
      <c r="AG453" s="648" t="n">
        <v>0</v>
      </c>
      <c r="AH453" s="648" t="n">
        <v>0</v>
      </c>
      <c r="AI453" s="648" t="n">
        <v>0</v>
      </c>
      <c r="AJ453" s="648" t="n">
        <v>0</v>
      </c>
      <c r="AK453" s="648" t="n">
        <v>0</v>
      </c>
      <c r="AL453" s="648" t="n">
        <v>0</v>
      </c>
      <c r="AM453" s="421">
        <f>SUM(AB453:AL457)</f>
        <v/>
      </c>
      <c r="AN453" s="726" t="n"/>
      <c r="AQ453" s="1238">
        <f>IFERROR(I453/J453*100,"0")</f>
        <v/>
      </c>
      <c r="AR453" s="343">
        <f>IFERROR(1/(1-(AQ453/100)),"0")</f>
        <v/>
      </c>
      <c r="AS453" s="1239" t="n">
        <v>0</v>
      </c>
      <c r="AT453" s="345" t="n">
        <v>1</v>
      </c>
      <c r="AU453" s="1240" t="n"/>
      <c r="AV453" s="1241" t="n"/>
      <c r="AW453" s="1242">
        <f>+H453-AV453</f>
        <v/>
      </c>
    </row>
    <row r="454" ht="17.25" customHeight="1">
      <c r="A454" s="973" t="n"/>
      <c r="B454" s="971" t="n"/>
      <c r="C454" s="972" t="n"/>
      <c r="D454" s="994"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94"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94"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94"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98" t="n"/>
      <c r="E458" s="975" t="n"/>
      <c r="F458" s="998" t="n"/>
      <c r="G458" s="998" t="n"/>
      <c r="H458" s="975" t="n"/>
      <c r="I458" s="975" t="n"/>
      <c r="J458" s="975" t="n"/>
      <c r="K458" s="1189">
        <f>K453=L458</f>
        <v/>
      </c>
      <c r="L458" s="491">
        <f>SUM(L453:L457)</f>
        <v/>
      </c>
      <c r="M458" s="1190" t="inlineStr">
        <is>
          <t xml:space="preserve">“Verdadero” indica que la cantidad por lote, coincide con el saldo que inicia al mes siguiente. "Falso" no coinicide. </t>
        </is>
      </c>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338" t="n">
        <v>3326</v>
      </c>
      <c r="E459" s="339">
        <f>H55</f>
        <v/>
      </c>
      <c r="F459" s="338" t="n">
        <v>988</v>
      </c>
      <c r="G459" s="338" t="n">
        <v>15</v>
      </c>
      <c r="H459" s="1235">
        <f>+F459+G459</f>
        <v/>
      </c>
      <c r="I459" s="340">
        <f>+AM459</f>
        <v/>
      </c>
      <c r="J459" s="341">
        <f>+H459+I459</f>
        <v/>
      </c>
      <c r="K459" s="583">
        <f>+(D459+E459)-(J459)</f>
        <v/>
      </c>
      <c r="L459" s="253" t="n">
        <v>2131</v>
      </c>
      <c r="M459" s="254" t="inlineStr">
        <is>
          <t>221100624A</t>
        </is>
      </c>
      <c r="N459" s="254" t="n"/>
      <c r="O459" s="1183" t="inlineStr">
        <is>
          <t>30/11/2026</t>
        </is>
      </c>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v>76</v>
      </c>
      <c r="AA459" s="648" t="n">
        <v>116</v>
      </c>
      <c r="AB459" s="649">
        <f>+Z459+AA459</f>
        <v/>
      </c>
      <c r="AC459" s="648" t="n">
        <v>0</v>
      </c>
      <c r="AD459" s="648" t="n">
        <v>0</v>
      </c>
      <c r="AE459" s="648" t="n">
        <v>0</v>
      </c>
      <c r="AF459" s="648" t="n">
        <v>0</v>
      </c>
      <c r="AG459" s="648" t="n">
        <v>0</v>
      </c>
      <c r="AH459" s="648" t="n">
        <v>0</v>
      </c>
      <c r="AI459" s="648" t="n">
        <v>0</v>
      </c>
      <c r="AJ459" s="648" t="n">
        <v>0</v>
      </c>
      <c r="AK459" s="648" t="n">
        <v>0</v>
      </c>
      <c r="AL459" s="648" t="n">
        <v>0</v>
      </c>
      <c r="AM459" s="421">
        <f>SUM(AB459:AL463)</f>
        <v/>
      </c>
      <c r="AN459" s="726" t="n"/>
      <c r="AQ459" s="1238">
        <f>IFERROR(I459/J459*100,"0")</f>
        <v/>
      </c>
      <c r="AR459" s="343">
        <f>IFERROR(1/(1-(AQ459/100)),"0")</f>
        <v/>
      </c>
      <c r="AS459" s="1239" t="n">
        <v>30</v>
      </c>
      <c r="AT459" s="345" t="n">
        <v>10</v>
      </c>
      <c r="AU459" s="1240" t="n"/>
      <c r="AV459" s="1241" t="n"/>
      <c r="AW459" s="1242">
        <f>+H459-AV459</f>
        <v/>
      </c>
    </row>
    <row r="460" ht="17.25" customHeight="1">
      <c r="A460" s="973" t="n"/>
      <c r="B460" s="971" t="n"/>
      <c r="C460" s="972" t="n"/>
      <c r="D460" s="994" t="n"/>
      <c r="E460" s="973" t="n"/>
      <c r="F460" s="994" t="n"/>
      <c r="G460" s="994" t="n"/>
      <c r="H460" s="973" t="n"/>
      <c r="I460" s="973" t="n"/>
      <c r="J460" s="973" t="n"/>
      <c r="K460" s="973" t="n"/>
      <c r="L460" s="253" t="n"/>
      <c r="M460" s="254" t="n"/>
      <c r="N460" s="254" t="n"/>
      <c r="O460" s="1183" t="n"/>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94"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94"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94"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98" t="n"/>
      <c r="E464" s="975" t="n"/>
      <c r="F464" s="998" t="n"/>
      <c r="G464" s="998" t="n"/>
      <c r="H464" s="975" t="n"/>
      <c r="I464" s="975" t="n"/>
      <c r="J464" s="975" t="n"/>
      <c r="K464" s="1189">
        <f>K459=L464</f>
        <v/>
      </c>
      <c r="L464" s="491">
        <f>SUM(L459:L463)</f>
        <v/>
      </c>
      <c r="M464" s="1190" t="inlineStr">
        <is>
          <t xml:space="preserve">“Verdadero” indica que la cantidad por lote, coincide con el saldo que inicia al mes siguiente. "Falso" no coinicide. </t>
        </is>
      </c>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338" t="n">
        <v>56</v>
      </c>
      <c r="E465" s="339">
        <f>H61</f>
        <v/>
      </c>
      <c r="F465" s="338" t="n">
        <v>6</v>
      </c>
      <c r="G465" s="338" t="n">
        <v>0</v>
      </c>
      <c r="H465" s="1235">
        <f>+F465+G465</f>
        <v/>
      </c>
      <c r="I465" s="340">
        <f>+AM465</f>
        <v/>
      </c>
      <c r="J465" s="341">
        <f>+H465+I465</f>
        <v/>
      </c>
      <c r="K465" s="583">
        <f>+(D465+E465)-(J465)</f>
        <v/>
      </c>
      <c r="L465" s="253" t="n">
        <v>50</v>
      </c>
      <c r="M465" s="254" t="inlineStr">
        <is>
          <t>4CA03C1</t>
        </is>
      </c>
      <c r="N465" s="254" t="n"/>
      <c r="O465" s="1183" t="inlineStr">
        <is>
          <t>31/10/2026</t>
        </is>
      </c>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v>0</v>
      </c>
      <c r="AA465" s="648" t="n">
        <v>0</v>
      </c>
      <c r="AB465" s="649">
        <f>+Z465+AA465</f>
        <v/>
      </c>
      <c r="AC465" s="648" t="n">
        <v>0</v>
      </c>
      <c r="AD465" s="648" t="n">
        <v>0</v>
      </c>
      <c r="AE465" s="648" t="n">
        <v>0</v>
      </c>
      <c r="AF465" s="648" t="n">
        <v>0</v>
      </c>
      <c r="AG465" s="648" t="n">
        <v>0</v>
      </c>
      <c r="AH465" s="648" t="n">
        <v>0</v>
      </c>
      <c r="AI465" s="648" t="n">
        <v>0</v>
      </c>
      <c r="AJ465" s="648" t="n">
        <v>0</v>
      </c>
      <c r="AK465" s="648" t="n">
        <v>0</v>
      </c>
      <c r="AL465" s="648" t="n">
        <v>0</v>
      </c>
      <c r="AM465" s="421">
        <f>SUM(AB465:AL469)</f>
        <v/>
      </c>
      <c r="AN465" s="726" t="n"/>
      <c r="AQ465" s="1238">
        <f>IFERROR(I465/J465*100,"0")</f>
        <v/>
      </c>
      <c r="AR465" s="343">
        <f>IFERROR(1/(1-(AQ465/100)),"0")</f>
        <v/>
      </c>
      <c r="AS465" s="1239" t="n">
        <v>0</v>
      </c>
      <c r="AT465" s="345" t="n">
        <v>1</v>
      </c>
      <c r="AU465" s="1240" t="n"/>
      <c r="AV465" s="1241" t="n"/>
      <c r="AW465" s="1242">
        <f>+H465-AV465</f>
        <v/>
      </c>
    </row>
    <row r="466" ht="17.25" customHeight="1">
      <c r="A466" s="973" t="n"/>
      <c r="B466" s="971" t="n"/>
      <c r="C466" s="972" t="n"/>
      <c r="D466" s="994" t="n"/>
      <c r="E466" s="973" t="n"/>
      <c r="F466" s="994" t="n"/>
      <c r="G466" s="994" t="n"/>
      <c r="H466" s="973" t="n"/>
      <c r="I466" s="973" t="n"/>
      <c r="J466" s="973" t="n"/>
      <c r="K466" s="973" t="n"/>
      <c r="L466" s="253" t="n"/>
      <c r="M466" s="254" t="n"/>
      <c r="N466" s="254" t="n"/>
      <c r="O466" s="1183" t="n"/>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94" t="n"/>
      <c r="E467" s="973" t="n"/>
      <c r="F467" s="994" t="n"/>
      <c r="G467" s="994" t="n"/>
      <c r="H467" s="973" t="n"/>
      <c r="I467" s="973" t="n"/>
      <c r="J467" s="973" t="n"/>
      <c r="K467" s="973" t="n"/>
      <c r="L467" s="253" t="n"/>
      <c r="M467" s="254" t="n"/>
      <c r="N467" s="254" t="n"/>
      <c r="O467" s="1183" t="n"/>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94" t="n"/>
      <c r="E468" s="973" t="n"/>
      <c r="F468" s="994" t="n"/>
      <c r="G468" s="994" t="n"/>
      <c r="H468" s="973" t="n"/>
      <c r="I468" s="973" t="n"/>
      <c r="J468" s="973" t="n"/>
      <c r="K468" s="973" t="n"/>
      <c r="L468" s="253" t="n"/>
      <c r="M468" s="254" t="n"/>
      <c r="N468" s="254" t="n"/>
      <c r="O468" s="1183" t="n"/>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94"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98" t="n"/>
      <c r="E470" s="975" t="n"/>
      <c r="F470" s="998" t="n"/>
      <c r="G470" s="998" t="n"/>
      <c r="H470" s="975" t="n"/>
      <c r="I470" s="975" t="n"/>
      <c r="J470" s="975" t="n"/>
      <c r="K470" s="1189">
        <f>K465=L470</f>
        <v/>
      </c>
      <c r="L470" s="491">
        <f>SUM(L465:L469)</f>
        <v/>
      </c>
      <c r="M470" s="1190" t="inlineStr">
        <is>
          <t xml:space="preserve">“Verdadero” indica que la cantidad por lote, coincide con el saldo que inicia al mes siguiente. "Falso" no coinicide. </t>
        </is>
      </c>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338" t="n">
        <v>3022</v>
      </c>
      <c r="E471" s="339">
        <f>H67</f>
        <v/>
      </c>
      <c r="F471" s="338" t="n">
        <v>1498</v>
      </c>
      <c r="G471" s="338" t="n">
        <v>2</v>
      </c>
      <c r="H471" s="1235">
        <f>+F471+G471</f>
        <v/>
      </c>
      <c r="I471" s="340">
        <f>+AM471</f>
        <v/>
      </c>
      <c r="J471" s="341">
        <f>+H471+I471</f>
        <v/>
      </c>
      <c r="K471" s="583">
        <f>+(D471+E471)-(J471)</f>
        <v/>
      </c>
      <c r="L471" s="253" t="n">
        <v>30</v>
      </c>
      <c r="M471" s="254" t="inlineStr">
        <is>
          <t>AROLE054AA</t>
        </is>
      </c>
      <c r="N471" s="254" t="n"/>
      <c r="O471" s="1183" t="inlineStr">
        <is>
          <t>31/10/2026</t>
        </is>
      </c>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v>1</v>
      </c>
      <c r="AA471" s="648" t="n">
        <v>0</v>
      </c>
      <c r="AB471" s="649">
        <f>+Z471+AA471</f>
        <v/>
      </c>
      <c r="AC471" s="648" t="n">
        <v>0</v>
      </c>
      <c r="AD471" s="648" t="n">
        <v>0</v>
      </c>
      <c r="AE471" s="648" t="n">
        <v>0</v>
      </c>
      <c r="AF471" s="648" t="n">
        <v>0</v>
      </c>
      <c r="AG471" s="648" t="n">
        <v>0</v>
      </c>
      <c r="AH471" s="648" t="n">
        <v>0</v>
      </c>
      <c r="AI471" s="648" t="n">
        <v>1</v>
      </c>
      <c r="AJ471" s="648" t="n">
        <v>0</v>
      </c>
      <c r="AK471" s="648" t="n">
        <v>0</v>
      </c>
      <c r="AL471" s="648" t="n">
        <v>0</v>
      </c>
      <c r="AM471" s="421">
        <f>SUM(AB471:AL475)</f>
        <v/>
      </c>
      <c r="AN471" s="726" t="n"/>
      <c r="AQ471" s="1238">
        <f>IFERROR(I471/J471*100,"0")</f>
        <v/>
      </c>
      <c r="AR471" s="343">
        <f>IFERROR(1/(1-(AQ471/100)),"0")</f>
        <v/>
      </c>
      <c r="AS471" s="1239" t="n">
        <v>0</v>
      </c>
      <c r="AT471" s="345" t="n">
        <v>1</v>
      </c>
      <c r="AU471" s="1240" t="n"/>
      <c r="AV471" s="1241" t="n"/>
      <c r="AW471" s="1242">
        <f>+H471-AV471</f>
        <v/>
      </c>
    </row>
    <row r="472" ht="17.25" customHeight="1">
      <c r="A472" s="973" t="n"/>
      <c r="B472" s="971" t="n"/>
      <c r="C472" s="972" t="n"/>
      <c r="D472" s="994" t="n"/>
      <c r="E472" s="973" t="n"/>
      <c r="F472" s="994" t="n"/>
      <c r="G472" s="994" t="n"/>
      <c r="H472" s="973" t="n"/>
      <c r="I472" s="973" t="n"/>
      <c r="J472" s="973" t="n"/>
      <c r="K472" s="973" t="n"/>
      <c r="L472" s="253" t="n">
        <v>47</v>
      </c>
      <c r="M472" s="254" t="inlineStr">
        <is>
          <t>AROLE075AA</t>
        </is>
      </c>
      <c r="N472" s="254" t="n"/>
      <c r="O472" s="1183" t="inlineStr">
        <is>
          <t>31/10/2026</t>
        </is>
      </c>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94" t="n"/>
      <c r="E473" s="973" t="n"/>
      <c r="F473" s="994" t="n"/>
      <c r="G473" s="994" t="n"/>
      <c r="H473" s="973" t="n"/>
      <c r="I473" s="973" t="n"/>
      <c r="J473" s="973" t="n"/>
      <c r="K473" s="973" t="n"/>
      <c r="L473" s="253" t="n">
        <v>21</v>
      </c>
      <c r="M473" s="254" t="inlineStr">
        <is>
          <t>AROLE193AA</t>
        </is>
      </c>
      <c r="N473" s="254" t="n"/>
      <c r="O473" s="1183" t="inlineStr">
        <is>
          <t>31/01/2027</t>
        </is>
      </c>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94" t="n"/>
      <c r="E474" s="973" t="n"/>
      <c r="F474" s="994" t="n"/>
      <c r="G474" s="994" t="n"/>
      <c r="H474" s="973" t="n"/>
      <c r="I474" s="973" t="n"/>
      <c r="J474" s="973" t="n"/>
      <c r="K474" s="973" t="n"/>
      <c r="L474" s="253" t="n">
        <v>1122</v>
      </c>
      <c r="M474" s="254" t="inlineStr">
        <is>
          <t>AROLE197AB</t>
        </is>
      </c>
      <c r="N474" s="254" t="n"/>
      <c r="O474" s="1183" t="inlineStr">
        <is>
          <t>28/02/2027</t>
        </is>
      </c>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94" t="n"/>
      <c r="E475" s="973" t="n"/>
      <c r="F475" s="994" t="n"/>
      <c r="G475" s="994" t="n"/>
      <c r="H475" s="973" t="n"/>
      <c r="I475" s="973" t="n"/>
      <c r="J475" s="973" t="n"/>
      <c r="K475" s="975" t="n"/>
      <c r="L475" s="253" t="n">
        <v>300</v>
      </c>
      <c r="M475" s="254" t="inlineStr">
        <is>
          <t>AROLE203AC</t>
        </is>
      </c>
      <c r="N475" s="254" t="n"/>
      <c r="O475" s="1183" t="inlineStr">
        <is>
          <t>31/03/2027</t>
        </is>
      </c>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98" t="n"/>
      <c r="E476" s="975" t="n"/>
      <c r="F476" s="998" t="n"/>
      <c r="G476" s="998" t="n"/>
      <c r="H476" s="975" t="n"/>
      <c r="I476" s="975" t="n"/>
      <c r="J476" s="975" t="n"/>
      <c r="K476" s="1189">
        <f>K471=L476</f>
        <v/>
      </c>
      <c r="L476" s="491">
        <f>SUM(L471:L475)</f>
        <v/>
      </c>
      <c r="M476" s="1190" t="inlineStr">
        <is>
          <t xml:space="preserve">“Verdadero” indica que la cantidad por lote, coincide con el saldo que inicia al mes siguiente. "Falso" no coinicide. </t>
        </is>
      </c>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338" t="n">
        <v>5043</v>
      </c>
      <c r="E477" s="339">
        <f>H73</f>
        <v/>
      </c>
      <c r="F477" s="338" t="n">
        <v>2163</v>
      </c>
      <c r="G477" s="338" t="n">
        <v>14</v>
      </c>
      <c r="H477" s="1235">
        <f>+F477+G477</f>
        <v/>
      </c>
      <c r="I477" s="340">
        <f>+AM477</f>
        <v/>
      </c>
      <c r="J477" s="341">
        <f>+H477+I477</f>
        <v/>
      </c>
      <c r="K477" s="583">
        <f>+(D477+E477)-(J477)</f>
        <v/>
      </c>
      <c r="L477" s="253" t="n">
        <v>26</v>
      </c>
      <c r="M477" s="254" t="inlineStr">
        <is>
          <t>HJ5276</t>
        </is>
      </c>
      <c r="N477" s="254" t="n"/>
      <c r="O477" s="1183" t="inlineStr">
        <is>
          <t>31/07/2026</t>
        </is>
      </c>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v>1</v>
      </c>
      <c r="AA477" s="648" t="n">
        <v>0</v>
      </c>
      <c r="AB477" s="649">
        <f>+Z477+AA477</f>
        <v/>
      </c>
      <c r="AC477" s="648" t="n">
        <v>0</v>
      </c>
      <c r="AD477" s="648" t="n">
        <v>0</v>
      </c>
      <c r="AE477" s="648" t="n">
        <v>0</v>
      </c>
      <c r="AF477" s="648" t="n">
        <v>0</v>
      </c>
      <c r="AG477" s="648" t="n">
        <v>0</v>
      </c>
      <c r="AH477" s="648" t="n">
        <v>0</v>
      </c>
      <c r="AI477" s="648" t="n">
        <v>0</v>
      </c>
      <c r="AJ477" s="648" t="n">
        <v>0</v>
      </c>
      <c r="AK477" s="648" t="n">
        <v>0</v>
      </c>
      <c r="AL477" s="648" t="n">
        <v>0</v>
      </c>
      <c r="AM477" s="421">
        <f>SUM(AB477:AL481)</f>
        <v/>
      </c>
      <c r="AN477" s="726" t="n"/>
      <c r="AQ477" s="1238">
        <f>IFERROR(I477/J477*100,"0")</f>
        <v/>
      </c>
      <c r="AR477" s="343">
        <f>IFERROR(1/(1-(AQ477/100)),"0")</f>
        <v/>
      </c>
      <c r="AS477" s="1239" t="n">
        <v>0</v>
      </c>
      <c r="AT477" s="345" t="n">
        <v>1</v>
      </c>
      <c r="AU477" s="1240" t="n"/>
      <c r="AV477" s="1241" t="n"/>
      <c r="AW477" s="1242">
        <f>+H477-AV477</f>
        <v/>
      </c>
    </row>
    <row r="478" ht="17.25" customHeight="1">
      <c r="A478" s="973" t="n"/>
      <c r="B478" s="971" t="n"/>
      <c r="C478" s="972" t="n"/>
      <c r="D478" s="994" t="n"/>
      <c r="E478" s="973" t="n"/>
      <c r="F478" s="994" t="n"/>
      <c r="G478" s="994" t="n"/>
      <c r="H478" s="973" t="n"/>
      <c r="I478" s="973" t="n"/>
      <c r="J478" s="973" t="n"/>
      <c r="K478" s="973" t="n"/>
      <c r="L478" s="253" t="n">
        <v>100</v>
      </c>
      <c r="M478" s="254" t="inlineStr">
        <is>
          <t>HJ5277</t>
        </is>
      </c>
      <c r="N478" s="254" t="n"/>
      <c r="O478" s="1183" t="inlineStr">
        <is>
          <t>30/06/2026</t>
        </is>
      </c>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94" t="n"/>
      <c r="E479" s="973" t="n"/>
      <c r="F479" s="994" t="n"/>
      <c r="G479" s="994" t="n"/>
      <c r="H479" s="973" t="n"/>
      <c r="I479" s="973" t="n"/>
      <c r="J479" s="973" t="n"/>
      <c r="K479" s="973" t="n"/>
      <c r="L479" s="253" t="n">
        <v>20</v>
      </c>
      <c r="M479" s="254" t="inlineStr">
        <is>
          <t>HW2963</t>
        </is>
      </c>
      <c r="N479" s="254" t="n"/>
      <c r="O479" s="1183" t="inlineStr">
        <is>
          <t>30/11/2026</t>
        </is>
      </c>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94" t="n"/>
      <c r="E480" s="973" t="n"/>
      <c r="F480" s="994" t="n"/>
      <c r="G480" s="994" t="n"/>
      <c r="H480" s="973" t="n"/>
      <c r="I480" s="973" t="n"/>
      <c r="J480" s="973" t="n"/>
      <c r="K480" s="973" t="n"/>
      <c r="L480" s="253" t="n">
        <v>1257</v>
      </c>
      <c r="M480" s="254" t="inlineStr">
        <is>
          <t>LK3152</t>
        </is>
      </c>
      <c r="N480" s="254" t="n"/>
      <c r="O480" s="1183" t="inlineStr">
        <is>
          <t>31/05/2027</t>
        </is>
      </c>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94" t="n"/>
      <c r="E481" s="973" t="n"/>
      <c r="F481" s="994" t="n"/>
      <c r="G481" s="994" t="n"/>
      <c r="H481" s="973" t="n"/>
      <c r="I481" s="973" t="n"/>
      <c r="J481" s="973" t="n"/>
      <c r="K481" s="975" t="n"/>
      <c r="L481" s="253" t="n">
        <v>1462</v>
      </c>
      <c r="M481" s="254" t="inlineStr">
        <is>
          <t>LK3156</t>
        </is>
      </c>
      <c r="N481" s="254" t="n"/>
      <c r="O481" s="1183" t="inlineStr">
        <is>
          <t>31/05/2027</t>
        </is>
      </c>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98" t="n"/>
      <c r="E482" s="975" t="n"/>
      <c r="F482" s="998" t="n"/>
      <c r="G482" s="998" t="n"/>
      <c r="H482" s="975" t="n"/>
      <c r="I482" s="975" t="n"/>
      <c r="J482" s="975" t="n"/>
      <c r="K482" s="1189">
        <f>K477=L482</f>
        <v/>
      </c>
      <c r="L482" s="491">
        <f>SUM(L477:L481)</f>
        <v/>
      </c>
      <c r="M482" s="1190" t="inlineStr">
        <is>
          <t xml:space="preserve">“Verdadero” indica que la cantidad por lote, coincide con el saldo que inicia al mes siguiente. "Falso" no coinicide. </t>
        </is>
      </c>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338" t="n">
        <v>0</v>
      </c>
      <c r="E483" s="339">
        <f>H79</f>
        <v/>
      </c>
      <c r="F483" s="338" t="n">
        <v>0</v>
      </c>
      <c r="G483" s="338" t="n">
        <v>0</v>
      </c>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v>0</v>
      </c>
      <c r="AA483" s="648" t="n">
        <v>0</v>
      </c>
      <c r="AB483" s="649">
        <f>+Z483+AA483</f>
        <v/>
      </c>
      <c r="AC483" s="648" t="n">
        <v>0</v>
      </c>
      <c r="AD483" s="648" t="n">
        <v>0</v>
      </c>
      <c r="AE483" s="648" t="n">
        <v>0</v>
      </c>
      <c r="AF483" s="648" t="n">
        <v>0</v>
      </c>
      <c r="AG483" s="648" t="n">
        <v>0</v>
      </c>
      <c r="AH483" s="648" t="n">
        <v>0</v>
      </c>
      <c r="AI483" s="648" t="n">
        <v>0</v>
      </c>
      <c r="AJ483" s="648" t="n">
        <v>0</v>
      </c>
      <c r="AK483" s="648" t="n">
        <v>0</v>
      </c>
      <c r="AL483" s="648" t="n">
        <v>0</v>
      </c>
      <c r="AM483" s="421">
        <f>SUM(AB483:AL487)</f>
        <v/>
      </c>
      <c r="AN483" s="726" t="n"/>
      <c r="AQ483" s="1238">
        <f>IFERROR(I483/J483*100,"0")</f>
        <v/>
      </c>
      <c r="AR483" s="343">
        <f>IFERROR(1/(1-(AQ483/100)),"0")</f>
        <v/>
      </c>
      <c r="AS483" s="1239" t="n">
        <v>0</v>
      </c>
      <c r="AT483" s="345" t="n">
        <v>1</v>
      </c>
      <c r="AU483" s="1240" t="n"/>
      <c r="AV483" s="1241" t="n"/>
      <c r="AW483" s="1242">
        <f>+H483-AV483</f>
        <v/>
      </c>
    </row>
    <row r="484" ht="17.25" customHeight="1">
      <c r="A484" s="973" t="n"/>
      <c r="B484" s="971" t="n"/>
      <c r="C484" s="972" t="n"/>
      <c r="D484" s="994"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94"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94"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94"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98" t="n"/>
      <c r="E488" s="975" t="n"/>
      <c r="F488" s="998" t="n"/>
      <c r="G488" s="998" t="n"/>
      <c r="H488" s="975" t="n"/>
      <c r="I488" s="975" t="n"/>
      <c r="J488" s="975" t="n"/>
      <c r="K488" s="1189">
        <f>K483=L488</f>
        <v/>
      </c>
      <c r="L488" s="491">
        <f>SUM(L483:L487)</f>
        <v/>
      </c>
      <c r="M488" s="1190" t="inlineStr">
        <is>
          <t xml:space="preserve">“Verdadero” indica que la cantidad por lote, coincide con el saldo que inicia al mes siguiente. "Falso" no coinicide. </t>
        </is>
      </c>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338" t="n">
        <v>5001</v>
      </c>
      <c r="E489" s="339">
        <f>H85</f>
        <v/>
      </c>
      <c r="F489" s="338" t="n">
        <v>1612</v>
      </c>
      <c r="G489" s="338" t="n">
        <v>31</v>
      </c>
      <c r="H489" s="1235">
        <f>+F489+G489</f>
        <v/>
      </c>
      <c r="I489" s="340">
        <f>+AM489</f>
        <v/>
      </c>
      <c r="J489" s="341">
        <f>+H489+I489</f>
        <v/>
      </c>
      <c r="K489" s="583">
        <f>+(D489+E489)-(J489)</f>
        <v/>
      </c>
      <c r="L489" s="253" t="n">
        <v>60</v>
      </c>
      <c r="M489" s="254" t="inlineStr">
        <is>
          <t>0133N140B</t>
        </is>
      </c>
      <c r="N489" s="254" t="n"/>
      <c r="O489" s="1183" t="inlineStr">
        <is>
          <t>31/08/2026</t>
        </is>
      </c>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v>0</v>
      </c>
      <c r="AA489" s="648" t="n">
        <v>0</v>
      </c>
      <c r="AB489" s="649">
        <f>+Z489+AA489</f>
        <v/>
      </c>
      <c r="AC489" s="648" t="n">
        <v>0</v>
      </c>
      <c r="AD489" s="648" t="n">
        <v>0</v>
      </c>
      <c r="AE489" s="648" t="n">
        <v>0</v>
      </c>
      <c r="AF489" s="648" t="n">
        <v>0</v>
      </c>
      <c r="AG489" s="648" t="n">
        <v>0</v>
      </c>
      <c r="AH489" s="648" t="n">
        <v>0</v>
      </c>
      <c r="AI489" s="648" t="n">
        <v>0</v>
      </c>
      <c r="AJ489" s="648" t="n">
        <v>0</v>
      </c>
      <c r="AK489" s="648" t="n">
        <v>0</v>
      </c>
      <c r="AL489" s="648" t="n">
        <v>0</v>
      </c>
      <c r="AM489" s="421">
        <f>SUM(AB489:AL493)</f>
        <v/>
      </c>
      <c r="AN489" s="726" t="n"/>
      <c r="AQ489" s="1238">
        <f>IFERROR(I489/J489*100,"0")</f>
        <v/>
      </c>
      <c r="AR489" s="343">
        <f>IFERROR(1/(1-(AQ489/100)),"0")</f>
        <v/>
      </c>
      <c r="AS489" s="1239" t="n">
        <v>0</v>
      </c>
      <c r="AT489" s="345" t="n">
        <v>1</v>
      </c>
      <c r="AU489" s="1240" t="n"/>
      <c r="AV489" s="1241" t="n"/>
      <c r="AW489" s="1242">
        <f>+H489-AV489</f>
        <v/>
      </c>
    </row>
    <row r="490" ht="17.25" customHeight="1">
      <c r="A490" s="973" t="n"/>
      <c r="B490" s="971" t="n"/>
      <c r="C490" s="972" t="n"/>
      <c r="D490" s="994" t="n"/>
      <c r="E490" s="973" t="n"/>
      <c r="F490" s="994" t="n"/>
      <c r="G490" s="994" t="n"/>
      <c r="H490" s="973" t="n"/>
      <c r="I490" s="973" t="n"/>
      <c r="J490" s="973" t="n"/>
      <c r="K490" s="973" t="n"/>
      <c r="L490" s="253" t="n">
        <v>3276</v>
      </c>
      <c r="M490" s="254" t="inlineStr">
        <is>
          <t>0133N146B</t>
        </is>
      </c>
      <c r="N490" s="254" t="n"/>
      <c r="O490" s="1183" t="inlineStr">
        <is>
          <t>30/09/2026</t>
        </is>
      </c>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94" t="n"/>
      <c r="E491" s="973" t="n"/>
      <c r="F491" s="994" t="n"/>
      <c r="G491" s="994" t="n"/>
      <c r="H491" s="973" t="n"/>
      <c r="I491" s="973" t="n"/>
      <c r="J491" s="973" t="n"/>
      <c r="K491" s="973" t="n"/>
      <c r="L491" s="253" t="n">
        <v>22</v>
      </c>
      <c r="M491" s="254" t="inlineStr">
        <is>
          <t>0153N005B</t>
        </is>
      </c>
      <c r="N491" s="254" t="n"/>
      <c r="O491" s="1183" t="inlineStr">
        <is>
          <t>31/12/2025</t>
        </is>
      </c>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94" t="n"/>
      <c r="E492" s="973" t="n"/>
      <c r="F492" s="994" t="n"/>
      <c r="G492" s="994" t="n"/>
      <c r="H492" s="973" t="n"/>
      <c r="I492" s="973" t="n"/>
      <c r="J492" s="973" t="n"/>
      <c r="K492" s="973" t="n"/>
      <c r="L492" s="253" t="n"/>
      <c r="M492" s="254" t="n"/>
      <c r="N492" s="254" t="n"/>
      <c r="O492" s="1183" t="n"/>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94"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98" t="n"/>
      <c r="E494" s="975" t="n"/>
      <c r="F494" s="998" t="n"/>
      <c r="G494" s="998" t="n"/>
      <c r="H494" s="975" t="n"/>
      <c r="I494" s="975" t="n"/>
      <c r="J494" s="975" t="n"/>
      <c r="K494" s="1189">
        <f>K489=L494</f>
        <v/>
      </c>
      <c r="L494" s="491">
        <f>SUM(L489:L493)</f>
        <v/>
      </c>
      <c r="M494" s="1190" t="inlineStr">
        <is>
          <t xml:space="preserve">“Verdadero” indica que la cantidad por lote, coincide con el saldo que inicia al mes siguiente. "Falso" no coinicide. </t>
        </is>
      </c>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338" t="n">
        <v>0</v>
      </c>
      <c r="E495" s="339">
        <f>H91</f>
        <v/>
      </c>
      <c r="F495" s="338" t="n">
        <v>0</v>
      </c>
      <c r="G495" s="338" t="n">
        <v>0</v>
      </c>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v>0</v>
      </c>
      <c r="AA495" s="648" t="n">
        <v>0</v>
      </c>
      <c r="AB495" s="649">
        <f>+Z495+AA495</f>
        <v/>
      </c>
      <c r="AC495" s="648" t="n">
        <v>0</v>
      </c>
      <c r="AD495" s="648" t="n">
        <v>0</v>
      </c>
      <c r="AE495" s="648" t="n">
        <v>0</v>
      </c>
      <c r="AF495" s="648" t="n">
        <v>0</v>
      </c>
      <c r="AG495" s="648" t="n">
        <v>0</v>
      </c>
      <c r="AH495" s="648" t="n">
        <v>0</v>
      </c>
      <c r="AI495" s="648" t="n">
        <v>0</v>
      </c>
      <c r="AJ495" s="648" t="n">
        <v>0</v>
      </c>
      <c r="AK495" s="648" t="n">
        <v>0</v>
      </c>
      <c r="AL495" s="648" t="n">
        <v>0</v>
      </c>
      <c r="AM495" s="421">
        <f>SUM(AB495:AL499)</f>
        <v/>
      </c>
      <c r="AN495" s="726" t="n"/>
      <c r="AQ495" s="1238">
        <f>IFERROR(I495/J495*100,"0")</f>
        <v/>
      </c>
      <c r="AR495" s="343">
        <f>IFERROR(1/(1-(AQ495/100)),"0")</f>
        <v/>
      </c>
      <c r="AS495" s="1239" t="n">
        <v>25</v>
      </c>
      <c r="AT495" s="345" t="n">
        <v>5</v>
      </c>
      <c r="AU495" s="1240" t="n"/>
      <c r="AV495" s="1241" t="n"/>
      <c r="AW495" s="1242">
        <f>+H495-AV495</f>
        <v/>
      </c>
    </row>
    <row r="496" ht="17.25" customHeight="1">
      <c r="A496" s="973" t="n"/>
      <c r="B496" s="971" t="n"/>
      <c r="C496" s="972" t="n"/>
      <c r="D496" s="994"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94"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94"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94"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98" t="n"/>
      <c r="E500" s="975" t="n"/>
      <c r="F500" s="998" t="n"/>
      <c r="G500" s="998" t="n"/>
      <c r="H500" s="975" t="n"/>
      <c r="I500" s="975" t="n"/>
      <c r="J500" s="975" t="n"/>
      <c r="K500" s="1189">
        <f>K495=L500</f>
        <v/>
      </c>
      <c r="L500" s="491">
        <f>SUM(L495:L499)</f>
        <v/>
      </c>
      <c r="M500" s="1190" t="inlineStr">
        <is>
          <t xml:space="preserve">“Verdadero” indica que la cantidad por lote, coincide con el saldo que inicia al mes siguiente. "Falso" no coinicide. </t>
        </is>
      </c>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338" t="n">
        <v>0</v>
      </c>
      <c r="E501" s="339">
        <f>H97</f>
        <v/>
      </c>
      <c r="F501" s="338" t="n">
        <v>0</v>
      </c>
      <c r="G501" s="338" t="n">
        <v>0</v>
      </c>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v>0</v>
      </c>
      <c r="AA501" s="648" t="n">
        <v>0</v>
      </c>
      <c r="AB501" s="649">
        <f>+Z501+AA501</f>
        <v/>
      </c>
      <c r="AC501" s="648" t="n">
        <v>0</v>
      </c>
      <c r="AD501" s="648" t="n">
        <v>0</v>
      </c>
      <c r="AE501" s="648" t="n">
        <v>0</v>
      </c>
      <c r="AF501" s="648" t="n">
        <v>0</v>
      </c>
      <c r="AG501" s="648" t="n">
        <v>0</v>
      </c>
      <c r="AH501" s="648" t="n">
        <v>0</v>
      </c>
      <c r="AI501" s="648" t="n">
        <v>0</v>
      </c>
      <c r="AJ501" s="648" t="n">
        <v>0</v>
      </c>
      <c r="AK501" s="648" t="n">
        <v>0</v>
      </c>
      <c r="AL501" s="648" t="n">
        <v>0</v>
      </c>
      <c r="AM501" s="421">
        <f>SUM(AB501:AL505)</f>
        <v/>
      </c>
      <c r="AN501" s="726" t="n"/>
      <c r="AQ501" s="1238">
        <f>IFERROR(I501/J501*100,"0")</f>
        <v/>
      </c>
      <c r="AR501" s="343">
        <f>IFERROR(1/(1-(AQ501/100)),"0")</f>
        <v/>
      </c>
      <c r="AS501" s="1239" t="n">
        <v>30</v>
      </c>
      <c r="AT501" s="345" t="n">
        <v>10</v>
      </c>
      <c r="AU501" s="1240" t="n"/>
      <c r="AV501" s="1241" t="n"/>
      <c r="AW501" s="1242">
        <f>+H501-AV501</f>
        <v/>
      </c>
    </row>
    <row r="502" ht="17.25" customHeight="1">
      <c r="A502" s="973" t="n"/>
      <c r="B502" s="971" t="n"/>
      <c r="C502" s="972" t="n"/>
      <c r="D502" s="994"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94"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94"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94"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98" t="n"/>
      <c r="E506" s="975" t="n"/>
      <c r="F506" s="998" t="n"/>
      <c r="G506" s="998" t="n"/>
      <c r="H506" s="975" t="n"/>
      <c r="I506" s="975" t="n"/>
      <c r="J506" s="975" t="n"/>
      <c r="K506" s="1189">
        <f>K501=L506</f>
        <v/>
      </c>
      <c r="L506" s="491">
        <f>SUM(L501:L505)</f>
        <v/>
      </c>
      <c r="M506" s="1190" t="inlineStr">
        <is>
          <t xml:space="preserve">“Verdadero” indica que la cantidad por lote, coincide con el saldo que inicia al mes siguiente. "Falso" no coinicide. </t>
        </is>
      </c>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338" t="n">
        <v>333</v>
      </c>
      <c r="E507" s="339">
        <f>H103</f>
        <v/>
      </c>
      <c r="F507" s="338" t="n">
        <v>43</v>
      </c>
      <c r="G507" s="338" t="n">
        <v>2</v>
      </c>
      <c r="H507" s="1235">
        <f>+F507+G507</f>
        <v/>
      </c>
      <c r="I507" s="340">
        <f>+AM507</f>
        <v/>
      </c>
      <c r="J507" s="341">
        <f>+H507+I507</f>
        <v/>
      </c>
      <c r="K507" s="583">
        <f>+(D507+E507)-(J507)</f>
        <v/>
      </c>
      <c r="L507" s="253" t="n">
        <v>40</v>
      </c>
      <c r="M507" s="254" t="inlineStr">
        <is>
          <t>0641S4008</t>
        </is>
      </c>
      <c r="N507" s="254" t="n"/>
      <c r="O507" s="1183" t="inlineStr">
        <is>
          <t>31/01/2026</t>
        </is>
      </c>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v>0</v>
      </c>
      <c r="AA507" s="648" t="n">
        <v>0</v>
      </c>
      <c r="AB507" s="649">
        <f>+Z507+AA507</f>
        <v/>
      </c>
      <c r="AC507" s="648" t="n">
        <v>0</v>
      </c>
      <c r="AD507" s="648" t="n">
        <v>0</v>
      </c>
      <c r="AE507" s="648" t="n">
        <v>0</v>
      </c>
      <c r="AF507" s="648" t="n">
        <v>0</v>
      </c>
      <c r="AG507" s="648" t="n">
        <v>0</v>
      </c>
      <c r="AH507" s="648" t="n">
        <v>0</v>
      </c>
      <c r="AI507" s="648" t="n">
        <v>0</v>
      </c>
      <c r="AJ507" s="648" t="n">
        <v>0</v>
      </c>
      <c r="AK507" s="648" t="n">
        <v>0</v>
      </c>
      <c r="AL507" s="648" t="n">
        <v>0</v>
      </c>
      <c r="AM507" s="421">
        <f>SUM(AB507:AL511)</f>
        <v/>
      </c>
      <c r="AN507" s="726" t="n"/>
      <c r="AQ507" s="1238">
        <f>IFERROR(I507/J507*100,"0")</f>
        <v/>
      </c>
      <c r="AR507" s="343">
        <f>IFERROR(1/(1-(AQ507/100)),"0")</f>
        <v/>
      </c>
      <c r="AS507" s="1239" t="n">
        <v>0</v>
      </c>
      <c r="AT507" s="345" t="n">
        <v>1</v>
      </c>
      <c r="AU507" s="1240" t="n"/>
      <c r="AV507" s="1241" t="n"/>
      <c r="AW507" s="1242">
        <f>+H507-AV507</f>
        <v/>
      </c>
    </row>
    <row r="508" ht="17.25" customHeight="1">
      <c r="A508" s="973" t="n"/>
      <c r="B508" s="971" t="n"/>
      <c r="C508" s="972" t="n"/>
      <c r="D508" s="994" t="n"/>
      <c r="E508" s="973" t="n"/>
      <c r="F508" s="994" t="n"/>
      <c r="G508" s="994" t="n"/>
      <c r="H508" s="973" t="n"/>
      <c r="I508" s="973" t="n"/>
      <c r="J508" s="973" t="n"/>
      <c r="K508" s="973" t="n"/>
      <c r="L508" s="253" t="n">
        <v>42</v>
      </c>
      <c r="M508" s="254" t="inlineStr">
        <is>
          <t>0641S4009</t>
        </is>
      </c>
      <c r="N508" s="254" t="n"/>
      <c r="O508" s="1183" t="inlineStr">
        <is>
          <t>31/01/2026</t>
        </is>
      </c>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94" t="n"/>
      <c r="E509" s="973" t="n"/>
      <c r="F509" s="994" t="n"/>
      <c r="G509" s="994" t="n"/>
      <c r="H509" s="973" t="n"/>
      <c r="I509" s="973" t="n"/>
      <c r="J509" s="973" t="n"/>
      <c r="K509" s="973" t="n"/>
      <c r="L509" s="253" t="n">
        <v>206</v>
      </c>
      <c r="M509" s="254" t="inlineStr">
        <is>
          <t>0643S4002</t>
        </is>
      </c>
      <c r="N509" s="254" t="n"/>
      <c r="O509" s="1183" t="inlineStr">
        <is>
          <t>30/04/2028</t>
        </is>
      </c>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94" t="n"/>
      <c r="E510" s="973" t="n"/>
      <c r="F510" s="994" t="n"/>
      <c r="G510" s="994" t="n"/>
      <c r="H510" s="973" t="n"/>
      <c r="I510" s="973" t="n"/>
      <c r="J510" s="973" t="n"/>
      <c r="K510" s="973" t="n"/>
      <c r="L510" s="253" t="n"/>
      <c r="M510" s="254" t="n"/>
      <c r="N510" s="254" t="n"/>
      <c r="O510" s="1183" t="n"/>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94" t="n"/>
      <c r="E511" s="973" t="n"/>
      <c r="F511" s="994" t="n"/>
      <c r="G511" s="994" t="n"/>
      <c r="H511" s="973" t="n"/>
      <c r="I511" s="973" t="n"/>
      <c r="J511" s="973" t="n"/>
      <c r="K511" s="975" t="n"/>
      <c r="L511" s="253" t="n"/>
      <c r="M511" s="254" t="n"/>
      <c r="N511" s="254" t="n"/>
      <c r="O511" s="1183" t="n"/>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98" t="n"/>
      <c r="E512" s="975" t="n"/>
      <c r="F512" s="998" t="n"/>
      <c r="G512" s="998" t="n"/>
      <c r="H512" s="975" t="n"/>
      <c r="I512" s="975" t="n"/>
      <c r="J512" s="975" t="n"/>
      <c r="K512" s="1189">
        <f>K507=L512</f>
        <v/>
      </c>
      <c r="L512" s="491">
        <f>SUM(L507:L511)</f>
        <v/>
      </c>
      <c r="M512" s="1190" t="inlineStr">
        <is>
          <t xml:space="preserve">“Verdadero” indica que la cantidad por lote, coincide con el saldo que inicia al mes siguiente. "Falso" no coinicide. </t>
        </is>
      </c>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338" t="n">
        <v>0</v>
      </c>
      <c r="E513" s="339">
        <f>H109</f>
        <v/>
      </c>
      <c r="F513" s="338" t="n">
        <v>0</v>
      </c>
      <c r="G513" s="338" t="n">
        <v>0</v>
      </c>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v>0</v>
      </c>
      <c r="AA513" s="648" t="n">
        <v>0</v>
      </c>
      <c r="AB513" s="649">
        <f>+Z513+AA513</f>
        <v/>
      </c>
      <c r="AC513" s="648" t="n">
        <v>0</v>
      </c>
      <c r="AD513" s="648" t="n">
        <v>0</v>
      </c>
      <c r="AE513" s="648" t="n">
        <v>0</v>
      </c>
      <c r="AF513" s="648" t="n">
        <v>0</v>
      </c>
      <c r="AG513" s="648" t="n">
        <v>0</v>
      </c>
      <c r="AH513" s="648" t="n">
        <v>0</v>
      </c>
      <c r="AI513" s="648" t="n">
        <v>0</v>
      </c>
      <c r="AJ513" s="648" t="n">
        <v>0</v>
      </c>
      <c r="AK513" s="648" t="n">
        <v>0</v>
      </c>
      <c r="AL513" s="648" t="n">
        <v>0</v>
      </c>
      <c r="AM513" s="421">
        <f>SUM(AB513:AL517)</f>
        <v/>
      </c>
      <c r="AN513" s="726" t="n"/>
      <c r="AQ513" s="1238">
        <f>IFERROR(I513/J513*100,"0")</f>
        <v/>
      </c>
      <c r="AR513" s="343">
        <f>IFERROR(1/(1-(AQ513/100)),"0")</f>
        <v/>
      </c>
      <c r="AS513" s="1239" t="n">
        <v>30</v>
      </c>
      <c r="AT513" s="345" t="n">
        <v>10</v>
      </c>
      <c r="AU513" s="1240" t="n"/>
      <c r="AV513" s="1241" t="n"/>
      <c r="AW513" s="1242">
        <f>+H513-AV513</f>
        <v/>
      </c>
    </row>
    <row r="514" ht="17.25" customHeight="1">
      <c r="A514" s="973" t="n"/>
      <c r="B514" s="971" t="n"/>
      <c r="C514" s="972" t="n"/>
      <c r="D514" s="994"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94"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94"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94"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98" t="n"/>
      <c r="E518" s="975" t="n"/>
      <c r="F518" s="998" t="n"/>
      <c r="G518" s="998" t="n"/>
      <c r="H518" s="975" t="n"/>
      <c r="I518" s="975" t="n"/>
      <c r="J518" s="975" t="n"/>
      <c r="K518" s="1189">
        <f>K513=L518</f>
        <v/>
      </c>
      <c r="L518" s="491">
        <f>SUM(L513:L517)</f>
        <v/>
      </c>
      <c r="M518" s="1190" t="inlineStr">
        <is>
          <t xml:space="preserve">“Verdadero” indica que la cantidad por lote, coincide con el saldo que inicia al mes siguiente. "Falso" no coinicide. </t>
        </is>
      </c>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338" t="n">
        <v>0</v>
      </c>
      <c r="E519" s="339">
        <f>H115</f>
        <v/>
      </c>
      <c r="F519" s="338" t="n">
        <v>0</v>
      </c>
      <c r="G519" s="338" t="n">
        <v>0</v>
      </c>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v>0</v>
      </c>
      <c r="AA519" s="648" t="n">
        <v>0</v>
      </c>
      <c r="AB519" s="649">
        <f>+Z519+AA519</f>
        <v/>
      </c>
      <c r="AC519" s="648" t="n">
        <v>0</v>
      </c>
      <c r="AD519" s="648" t="n">
        <v>0</v>
      </c>
      <c r="AE519" s="648" t="n">
        <v>0</v>
      </c>
      <c r="AF519" s="648" t="n">
        <v>0</v>
      </c>
      <c r="AG519" s="648" t="n">
        <v>0</v>
      </c>
      <c r="AH519" s="648" t="n">
        <v>0</v>
      </c>
      <c r="AI519" s="648" t="n">
        <v>0</v>
      </c>
      <c r="AJ519" s="648" t="n">
        <v>0</v>
      </c>
      <c r="AK519" s="648" t="n">
        <v>0</v>
      </c>
      <c r="AL519" s="648" t="n">
        <v>0</v>
      </c>
      <c r="AM519" s="421">
        <f>SUM(AB519:AL523)</f>
        <v/>
      </c>
      <c r="AN519" s="726" t="n"/>
      <c r="AQ519" s="1238">
        <f>IFERROR(I519/J519*100,"0")</f>
        <v/>
      </c>
      <c r="AR519" s="343">
        <f>IFERROR(1/(1-(AQ519/100)),"0")</f>
        <v/>
      </c>
      <c r="AS519" s="1239" t="n">
        <v>0</v>
      </c>
      <c r="AT519" s="345" t="n">
        <v>1</v>
      </c>
      <c r="AU519" s="1240" t="n"/>
      <c r="AV519" s="1241" t="n"/>
      <c r="AW519" s="1242">
        <f>+H519-AV519</f>
        <v/>
      </c>
    </row>
    <row r="520" ht="17.25" customHeight="1">
      <c r="A520" s="973" t="n"/>
      <c r="B520" s="971" t="n"/>
      <c r="C520" s="972" t="n"/>
      <c r="D520" s="994"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94"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94"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94"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98" t="n"/>
      <c r="E524" s="975" t="n"/>
      <c r="F524" s="998" t="n"/>
      <c r="G524" s="998" t="n"/>
      <c r="H524" s="975" t="n"/>
      <c r="I524" s="975" t="n"/>
      <c r="J524" s="975" t="n"/>
      <c r="K524" s="1189">
        <f>K519=L524</f>
        <v/>
      </c>
      <c r="L524" s="491">
        <f>SUM(L519:L523)</f>
        <v/>
      </c>
      <c r="M524" s="1190" t="inlineStr">
        <is>
          <t xml:space="preserve">“Verdadero” indica que la cantidad por lote, coincide con el saldo que inicia al mes siguiente. "Falso" no coinicide. </t>
        </is>
      </c>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338" t="n">
        <v>32954</v>
      </c>
      <c r="E525" s="339">
        <f>H121</f>
        <v/>
      </c>
      <c r="F525" s="338" t="n">
        <v>2344</v>
      </c>
      <c r="G525" s="338" t="n">
        <v>35</v>
      </c>
      <c r="H525" s="1235">
        <f>+F525+G525</f>
        <v/>
      </c>
      <c r="I525" s="340">
        <f>+AM525</f>
        <v/>
      </c>
      <c r="J525" s="341">
        <f>+H525+I525</f>
        <v/>
      </c>
      <c r="K525" s="583">
        <f>+(D525+E525)-(J525)</f>
        <v/>
      </c>
      <c r="L525" s="253" t="n">
        <v>270</v>
      </c>
      <c r="M525" s="254" t="inlineStr">
        <is>
          <t>318</t>
        </is>
      </c>
      <c r="N525" s="254" t="n"/>
      <c r="O525" s="1183" t="inlineStr">
        <is>
          <t>31/05/2027</t>
        </is>
      </c>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v>2653</v>
      </c>
      <c r="AA525" s="648" t="n">
        <v>560</v>
      </c>
      <c r="AB525" s="649">
        <f>+Z525+AA525</f>
        <v/>
      </c>
      <c r="AC525" s="648" t="n">
        <v>0</v>
      </c>
      <c r="AD525" s="648" t="n">
        <v>0</v>
      </c>
      <c r="AE525" s="648" t="n">
        <v>0</v>
      </c>
      <c r="AF525" s="648" t="n">
        <v>0</v>
      </c>
      <c r="AG525" s="648" t="n">
        <v>0</v>
      </c>
      <c r="AH525" s="648" t="n">
        <v>0</v>
      </c>
      <c r="AI525" s="648" t="n">
        <v>0</v>
      </c>
      <c r="AJ525" s="648" t="n">
        <v>0</v>
      </c>
      <c r="AK525" s="648" t="n">
        <v>0</v>
      </c>
      <c r="AL525" s="648" t="n">
        <v>0</v>
      </c>
      <c r="AM525" s="421">
        <f>SUM(AB525:AL529)</f>
        <v/>
      </c>
      <c r="AN525" s="726" t="n"/>
      <c r="AQ525" s="1238">
        <f>IFERROR(I525/J525*100,"0")</f>
        <v/>
      </c>
      <c r="AR525" s="343">
        <f>IFERROR(1/(1-(AQ525/100)),"0")</f>
        <v/>
      </c>
      <c r="AS525" s="1239" t="n">
        <v>70</v>
      </c>
      <c r="AT525" s="345" t="n">
        <v>10</v>
      </c>
      <c r="AU525" s="1240" t="n"/>
      <c r="AV525" s="1241" t="n"/>
      <c r="AW525" s="1242">
        <f>+H525-AV525</f>
        <v/>
      </c>
    </row>
    <row r="526" ht="17.25" customHeight="1">
      <c r="A526" s="973" t="n"/>
      <c r="B526" s="971" t="n"/>
      <c r="C526" s="972" t="n"/>
      <c r="D526" s="994" t="n"/>
      <c r="E526" s="973" t="n"/>
      <c r="F526" s="994" t="n"/>
      <c r="G526" s="994" t="n"/>
      <c r="H526" s="973" t="n"/>
      <c r="I526" s="973" t="n"/>
      <c r="J526" s="973" t="n"/>
      <c r="K526" s="973" t="n"/>
      <c r="L526" s="253" t="n">
        <v>18582</v>
      </c>
      <c r="M526" s="254" t="inlineStr">
        <is>
          <t>Y3D18</t>
        </is>
      </c>
      <c r="N526" s="254" t="n"/>
      <c r="O526" s="1183" t="inlineStr">
        <is>
          <t>30/04/2027</t>
        </is>
      </c>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94" t="n"/>
      <c r="E527" s="973" t="n"/>
      <c r="F527" s="994" t="n"/>
      <c r="G527" s="994" t="n"/>
      <c r="H527" s="973" t="n"/>
      <c r="I527" s="973" t="n"/>
      <c r="J527" s="973" t="n"/>
      <c r="K527" s="973" t="n"/>
      <c r="L527" s="253" t="n">
        <v>8510</v>
      </c>
      <c r="M527" s="254" t="inlineStr">
        <is>
          <t>Y3D32</t>
        </is>
      </c>
      <c r="N527" s="254" t="n"/>
      <c r="O527" s="1183" t="inlineStr">
        <is>
          <t>30/04/2027</t>
        </is>
      </c>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94" t="n"/>
      <c r="E528" s="973" t="n"/>
      <c r="F528" s="994" t="n"/>
      <c r="G528" s="994" t="n"/>
      <c r="H528" s="973" t="n"/>
      <c r="I528" s="973" t="n"/>
      <c r="J528" s="973" t="n"/>
      <c r="K528" s="973" t="n"/>
      <c r="L528" s="253" t="n"/>
      <c r="M528" s="254" t="n"/>
      <c r="N528" s="254" t="n"/>
      <c r="O528" s="1183" t="n"/>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94" t="n"/>
      <c r="E529" s="973" t="n"/>
      <c r="F529" s="994" t="n"/>
      <c r="G529" s="994" t="n"/>
      <c r="H529" s="973" t="n"/>
      <c r="I529" s="973" t="n"/>
      <c r="J529" s="973" t="n"/>
      <c r="K529" s="975" t="n"/>
      <c r="L529" s="253" t="n"/>
      <c r="M529" s="254" t="n"/>
      <c r="N529" s="254" t="n"/>
      <c r="O529" s="1183" t="n"/>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98" t="n"/>
      <c r="E530" s="975" t="n"/>
      <c r="F530" s="998" t="n"/>
      <c r="G530" s="998" t="n"/>
      <c r="H530" s="975" t="n"/>
      <c r="I530" s="975" t="n"/>
      <c r="J530" s="975" t="n"/>
      <c r="K530" s="1189">
        <f>K525=L530</f>
        <v/>
      </c>
      <c r="L530" s="491">
        <f>SUM(L525:L529)</f>
        <v/>
      </c>
      <c r="M530" s="1190" t="inlineStr">
        <is>
          <t xml:space="preserve">“Verdadero” indica que la cantidad por lote, coincide con el saldo que inicia al mes siguiente. "Falso" no coinicide. </t>
        </is>
      </c>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338" t="n">
        <v>2659</v>
      </c>
      <c r="E531" s="339">
        <f>H127</f>
        <v/>
      </c>
      <c r="F531" s="338" t="n">
        <v>627</v>
      </c>
      <c r="G531" s="338" t="n">
        <v>17</v>
      </c>
      <c r="H531" s="1235">
        <f>+F531+G531</f>
        <v/>
      </c>
      <c r="I531" s="340">
        <f>+AM531</f>
        <v/>
      </c>
      <c r="J531" s="341">
        <f>+H531+I531</f>
        <v/>
      </c>
      <c r="K531" s="583">
        <f>+(D531+E531)-(J531)</f>
        <v/>
      </c>
      <c r="L531" s="253" t="n">
        <v>1266</v>
      </c>
      <c r="M531" s="254" t="inlineStr">
        <is>
          <t>AB202403008</t>
        </is>
      </c>
      <c r="N531" s="254" t="n"/>
      <c r="O531" s="1183" t="inlineStr">
        <is>
          <t>04/09/2027</t>
        </is>
      </c>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v>0</v>
      </c>
      <c r="AA531" s="648" t="n">
        <v>0</v>
      </c>
      <c r="AB531" s="649">
        <f>+Z531+AA531</f>
        <v/>
      </c>
      <c r="AC531" s="648" t="n">
        <v>0</v>
      </c>
      <c r="AD531" s="648" t="n">
        <v>0</v>
      </c>
      <c r="AE531" s="648" t="n">
        <v>0</v>
      </c>
      <c r="AF531" s="648" t="n">
        <v>0</v>
      </c>
      <c r="AG531" s="648" t="n">
        <v>5</v>
      </c>
      <c r="AH531" s="648" t="n">
        <v>0</v>
      </c>
      <c r="AI531" s="648" t="n">
        <v>0</v>
      </c>
      <c r="AJ531" s="648" t="n">
        <v>0</v>
      </c>
      <c r="AK531" s="648" t="n">
        <v>0</v>
      </c>
      <c r="AL531" s="648" t="n">
        <v>0</v>
      </c>
      <c r="AM531" s="421">
        <f>SUM(AB531:AL535)</f>
        <v/>
      </c>
      <c r="AN531" s="726" t="n"/>
      <c r="AQ531" s="1238">
        <f>IFERROR(I531/J531*100,"0")</f>
        <v/>
      </c>
      <c r="AR531" s="343">
        <f>IFERROR(1/(1-(AQ531/100)),"0")</f>
        <v/>
      </c>
      <c r="AS531" s="1239" t="n">
        <v>0</v>
      </c>
      <c r="AT531" s="345" t="n">
        <v>1</v>
      </c>
      <c r="AU531" s="1240" t="n"/>
      <c r="AV531" s="1241" t="n"/>
      <c r="AW531" s="1242">
        <f>+H531-AV531</f>
        <v/>
      </c>
    </row>
    <row r="532" ht="17.25" customHeight="1">
      <c r="A532" s="973" t="n"/>
      <c r="B532" s="971" t="n"/>
      <c r="C532" s="972" t="n"/>
      <c r="D532" s="994" t="n"/>
      <c r="E532" s="973" t="n"/>
      <c r="F532" s="994" t="n"/>
      <c r="G532" s="994" t="n"/>
      <c r="H532" s="973" t="n"/>
      <c r="I532" s="973" t="n"/>
      <c r="J532" s="973" t="n"/>
      <c r="K532" s="973" t="n"/>
      <c r="L532" s="253" t="n">
        <v>723</v>
      </c>
      <c r="M532" s="254" t="inlineStr">
        <is>
          <t>AB202404013</t>
        </is>
      </c>
      <c r="N532" s="254" t="n"/>
      <c r="O532" s="1183" t="inlineStr">
        <is>
          <t>21/10/2027</t>
        </is>
      </c>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94" t="n"/>
      <c r="E533" s="973" t="n"/>
      <c r="F533" s="994" t="n"/>
      <c r="G533" s="994" t="n"/>
      <c r="H533" s="973" t="n"/>
      <c r="I533" s="973" t="n"/>
      <c r="J533" s="973" t="n"/>
      <c r="K533" s="973" t="n"/>
      <c r="L533" s="253" t="n">
        <v>11</v>
      </c>
      <c r="M533" s="254" t="inlineStr">
        <is>
          <t>Y005285</t>
        </is>
      </c>
      <c r="N533" s="254" t="n"/>
      <c r="O533" s="1183" t="inlineStr">
        <is>
          <t>21/07/2026</t>
        </is>
      </c>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94" t="n"/>
      <c r="E534" s="973" t="n"/>
      <c r="F534" s="994" t="n"/>
      <c r="G534" s="994" t="n"/>
      <c r="H534" s="973" t="n"/>
      <c r="I534" s="973" t="n"/>
      <c r="J534" s="973" t="n"/>
      <c r="K534" s="973" t="n"/>
      <c r="L534" s="253" t="n">
        <v>10</v>
      </c>
      <c r="M534" s="254" t="inlineStr">
        <is>
          <t>Y008031</t>
        </is>
      </c>
      <c r="N534" s="254" t="n"/>
      <c r="O534" s="1183" t="inlineStr">
        <is>
          <t>25/07/2026</t>
        </is>
      </c>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94" t="n"/>
      <c r="E535" s="973" t="n"/>
      <c r="F535" s="994" t="n"/>
      <c r="G535" s="994" t="n"/>
      <c r="H535" s="973" t="n"/>
      <c r="I535" s="973" t="n"/>
      <c r="J535" s="973" t="n"/>
      <c r="K535" s="975" t="n"/>
      <c r="L535" s="253" t="n"/>
      <c r="M535" s="254" t="n"/>
      <c r="N535" s="254" t="n"/>
      <c r="O535" s="1183" t="n"/>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98" t="n"/>
      <c r="E536" s="975" t="n"/>
      <c r="F536" s="998" t="n"/>
      <c r="G536" s="998" t="n"/>
      <c r="H536" s="975" t="n"/>
      <c r="I536" s="975" t="n"/>
      <c r="J536" s="975" t="n"/>
      <c r="K536" s="1189">
        <f>K531=L536</f>
        <v/>
      </c>
      <c r="L536" s="491">
        <f>SUM(L531:L535)</f>
        <v/>
      </c>
      <c r="M536" s="1190" t="inlineStr">
        <is>
          <t xml:space="preserve">“Verdadero” indica que la cantidad por lote, coincide con el saldo que inicia al mes siguiente. "Falso" no coinicide. </t>
        </is>
      </c>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338" t="n">
        <v>4495</v>
      </c>
      <c r="E537" s="339">
        <f>H133</f>
        <v/>
      </c>
      <c r="F537" s="338" t="n">
        <v>1635</v>
      </c>
      <c r="G537" s="338" t="n">
        <v>27</v>
      </c>
      <c r="H537" s="1235">
        <f>+F537+G537</f>
        <v/>
      </c>
      <c r="I537" s="340">
        <f>+AM537</f>
        <v/>
      </c>
      <c r="J537" s="341">
        <f>+H537+I537</f>
        <v/>
      </c>
      <c r="K537" s="583">
        <f>+(D537+E537)-(J537)</f>
        <v/>
      </c>
      <c r="L537" s="253" t="n">
        <v>2793</v>
      </c>
      <c r="M537" s="254" t="inlineStr">
        <is>
          <t>BB202506051</t>
        </is>
      </c>
      <c r="N537" s="254" t="n"/>
      <c r="O537" s="1183" t="inlineStr">
        <is>
          <t>12/06/2027</t>
        </is>
      </c>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v>0</v>
      </c>
      <c r="AA537" s="648" t="n">
        <v>0</v>
      </c>
      <c r="AB537" s="649">
        <f>+Z537+AA537</f>
        <v/>
      </c>
      <c r="AC537" s="648" t="n">
        <v>0</v>
      </c>
      <c r="AD537" s="648" t="n">
        <v>0</v>
      </c>
      <c r="AE537" s="648" t="n">
        <v>1</v>
      </c>
      <c r="AF537" s="648" t="n">
        <v>1</v>
      </c>
      <c r="AG537" s="648" t="n">
        <v>0</v>
      </c>
      <c r="AH537" s="648" t="n">
        <v>0</v>
      </c>
      <c r="AI537" s="648" t="n">
        <v>0</v>
      </c>
      <c r="AJ537" s="648" t="n">
        <v>0</v>
      </c>
      <c r="AK537" s="648" t="n">
        <v>0</v>
      </c>
      <c r="AL537" s="648" t="n">
        <v>0</v>
      </c>
      <c r="AM537" s="421">
        <f>SUM(AB537:AL541)</f>
        <v/>
      </c>
      <c r="AN537" s="726" t="n"/>
      <c r="AQ537" s="1238">
        <f>IFERROR(I537/J537*100,"0")</f>
        <v/>
      </c>
      <c r="AR537" s="343">
        <f>IFERROR(1/(1-(AQ537/100)),"0")</f>
        <v/>
      </c>
      <c r="AS537" s="1239" t="n">
        <v>0</v>
      </c>
      <c r="AT537" s="345" t="n">
        <v>1</v>
      </c>
      <c r="AU537" s="1240" t="n"/>
      <c r="AV537" s="1241" t="n"/>
      <c r="AW537" s="1242">
        <f>+H537-AV537</f>
        <v/>
      </c>
    </row>
    <row r="538" ht="17.25" customHeight="1">
      <c r="A538" s="973" t="n"/>
      <c r="B538" s="971" t="n"/>
      <c r="C538" s="972" t="n"/>
      <c r="D538" s="994" t="n"/>
      <c r="E538" s="973" t="n"/>
      <c r="F538" s="994" t="n"/>
      <c r="G538" s="994" t="n"/>
      <c r="H538" s="973" t="n"/>
      <c r="I538" s="973" t="n"/>
      <c r="J538" s="973" t="n"/>
      <c r="K538" s="973" t="n"/>
      <c r="L538" s="253" t="n">
        <v>5</v>
      </c>
      <c r="M538" s="254" t="inlineStr">
        <is>
          <t>Y014509</t>
        </is>
      </c>
      <c r="N538" s="254" t="n"/>
      <c r="O538" s="1183" t="inlineStr">
        <is>
          <t>27/08/2026</t>
        </is>
      </c>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94" t="n"/>
      <c r="E539" s="973" t="n"/>
      <c r="F539" s="994" t="n"/>
      <c r="G539" s="994" t="n"/>
      <c r="H539" s="973" t="n"/>
      <c r="I539" s="973" t="n"/>
      <c r="J539" s="973" t="n"/>
      <c r="K539" s="973" t="n"/>
      <c r="L539" s="253" t="n">
        <v>19</v>
      </c>
      <c r="M539" s="254" t="inlineStr">
        <is>
          <t>Y018866</t>
        </is>
      </c>
      <c r="N539" s="254" t="n"/>
      <c r="O539" s="1183" t="inlineStr">
        <is>
          <t>13/11/2026</t>
        </is>
      </c>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94" t="n"/>
      <c r="E540" s="973" t="n"/>
      <c r="F540" s="994" t="n"/>
      <c r="G540" s="994" t="n"/>
      <c r="H540" s="973" t="n"/>
      <c r="I540" s="973" t="n"/>
      <c r="J540" s="973" t="n"/>
      <c r="K540" s="973" t="n"/>
      <c r="L540" s="253" t="n">
        <v>14</v>
      </c>
      <c r="M540" s="254" t="inlineStr">
        <is>
          <t>Z002927</t>
        </is>
      </c>
      <c r="N540" s="254" t="n"/>
      <c r="O540" s="1183" t="inlineStr">
        <is>
          <t>14/01/2027</t>
        </is>
      </c>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94" t="n"/>
      <c r="E541" s="973" t="n"/>
      <c r="F541" s="994" t="n"/>
      <c r="G541" s="994" t="n"/>
      <c r="H541" s="973" t="n"/>
      <c r="I541" s="973" t="n"/>
      <c r="J541" s="973" t="n"/>
      <c r="K541" s="975" t="n"/>
      <c r="L541" s="253" t="n"/>
      <c r="M541" s="254" t="n"/>
      <c r="N541" s="254" t="n"/>
      <c r="O541" s="1183" t="n"/>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98" t="n"/>
      <c r="E542" s="975" t="n"/>
      <c r="F542" s="998" t="n"/>
      <c r="G542" s="998" t="n"/>
      <c r="H542" s="975" t="n"/>
      <c r="I542" s="975" t="n"/>
      <c r="J542" s="975" t="n"/>
      <c r="K542" s="1189">
        <f>K537=L542</f>
        <v/>
      </c>
      <c r="L542" s="491">
        <f>SUM(L537:L541)</f>
        <v/>
      </c>
      <c r="M542" s="1190" t="inlineStr">
        <is>
          <t xml:space="preserve">“Verdadero” indica que la cantidad por lote, coincide con el saldo que inicia al mes siguiente. "Falso" no coinicide. </t>
        </is>
      </c>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338" t="n">
        <v>0</v>
      </c>
      <c r="E543" s="339">
        <f>H139</f>
        <v/>
      </c>
      <c r="F543" s="338" t="n">
        <v>0</v>
      </c>
      <c r="G543" s="338" t="n">
        <v>0</v>
      </c>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v>0</v>
      </c>
      <c r="AA543" s="648" t="n">
        <v>0</v>
      </c>
      <c r="AB543" s="649">
        <f>+Z543+AA543</f>
        <v/>
      </c>
      <c r="AC543" s="648" t="n">
        <v>0</v>
      </c>
      <c r="AD543" s="648" t="n">
        <v>0</v>
      </c>
      <c r="AE543" s="648" t="n">
        <v>0</v>
      </c>
      <c r="AF543" s="648" t="n">
        <v>0</v>
      </c>
      <c r="AG543" s="648" t="n">
        <v>0</v>
      </c>
      <c r="AH543" s="648" t="n">
        <v>0</v>
      </c>
      <c r="AI543" s="648" t="n">
        <v>0</v>
      </c>
      <c r="AJ543" s="648" t="n">
        <v>0</v>
      </c>
      <c r="AK543" s="648" t="n">
        <v>0</v>
      </c>
      <c r="AL543" s="648" t="n">
        <v>0</v>
      </c>
      <c r="AM543" s="421">
        <f>SUM(AB543:AL547)</f>
        <v/>
      </c>
      <c r="AN543" s="726" t="n"/>
      <c r="AQ543" s="1238">
        <f>IFERROR(I543/J543*100,"0")</f>
        <v/>
      </c>
      <c r="AR543" s="343">
        <f>IFERROR(1/(1-(AQ543/100)),"0")</f>
        <v/>
      </c>
      <c r="AS543" s="1239" t="n">
        <v>0</v>
      </c>
      <c r="AT543" s="345" t="n">
        <v>1</v>
      </c>
      <c r="AU543" s="1240" t="n"/>
      <c r="AV543" s="1241" t="n"/>
      <c r="AW543" s="1242">
        <f>+H543-AV543</f>
        <v/>
      </c>
    </row>
    <row r="544" ht="17.25" customHeight="1">
      <c r="A544" s="973" t="n"/>
      <c r="B544" s="971" t="n"/>
      <c r="C544" s="972" t="n"/>
      <c r="D544" s="994"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94"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94"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94"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98" t="n"/>
      <c r="E548" s="975" t="n"/>
      <c r="F548" s="998" t="n"/>
      <c r="G548" s="998" t="n"/>
      <c r="H548" s="975" t="n"/>
      <c r="I548" s="975" t="n"/>
      <c r="J548" s="975" t="n"/>
      <c r="K548" s="1189">
        <f>K543=L548</f>
        <v/>
      </c>
      <c r="L548" s="491">
        <f>SUM(L543:L547)</f>
        <v/>
      </c>
      <c r="M548" s="1190" t="inlineStr">
        <is>
          <t xml:space="preserve">“Verdadero” indica que la cantidad por lote, coincide con el saldo que inicia al mes siguiente. "Falso" no coinicide. </t>
        </is>
      </c>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338" t="n">
        <v>4800</v>
      </c>
      <c r="E549" s="339">
        <f>H145</f>
        <v/>
      </c>
      <c r="F549" s="338" t="n">
        <v>1022</v>
      </c>
      <c r="G549" s="338" t="n">
        <v>17</v>
      </c>
      <c r="H549" s="1235">
        <f>+F549+G549</f>
        <v/>
      </c>
      <c r="I549" s="340">
        <f>+AM549</f>
        <v/>
      </c>
      <c r="J549" s="341">
        <f>+H549+I549</f>
        <v/>
      </c>
      <c r="K549" s="583">
        <f>+(D549+E549)-(J549)</f>
        <v/>
      </c>
      <c r="L549" s="253" t="n">
        <v>54</v>
      </c>
      <c r="M549" s="254" t="inlineStr">
        <is>
          <t>2333X043B</t>
        </is>
      </c>
      <c r="N549" s="254" t="n"/>
      <c r="O549" s="1183" t="inlineStr">
        <is>
          <t>31/10/2026</t>
        </is>
      </c>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v>60</v>
      </c>
      <c r="AA549" s="648" t="n">
        <v>101</v>
      </c>
      <c r="AB549" s="649">
        <f>+Z549+AA549</f>
        <v/>
      </c>
      <c r="AC549" s="648" t="n">
        <v>0</v>
      </c>
      <c r="AD549" s="648" t="n">
        <v>0</v>
      </c>
      <c r="AE549" s="648" t="n">
        <v>0</v>
      </c>
      <c r="AF549" s="648" t="n">
        <v>0</v>
      </c>
      <c r="AG549" s="648" t="n">
        <v>0</v>
      </c>
      <c r="AH549" s="648" t="n">
        <v>0</v>
      </c>
      <c r="AI549" s="648" t="n">
        <v>0</v>
      </c>
      <c r="AJ549" s="648" t="n">
        <v>0</v>
      </c>
      <c r="AK549" s="648" t="n">
        <v>0</v>
      </c>
      <c r="AL549" s="648" t="n">
        <v>0</v>
      </c>
      <c r="AM549" s="421">
        <f>SUM(AB549:AL553)</f>
        <v/>
      </c>
      <c r="AN549" s="726" t="n"/>
      <c r="AQ549" s="1238">
        <f>IFERROR(I549/J549*100,"0")</f>
        <v/>
      </c>
      <c r="AR549" s="343">
        <f>IFERROR(1/(1-(AQ549/100)),"0")</f>
        <v/>
      </c>
      <c r="AS549" s="1239" t="n">
        <v>15</v>
      </c>
      <c r="AT549" s="345" t="n">
        <v>10</v>
      </c>
      <c r="AU549" s="1240" t="n"/>
      <c r="AV549" s="1241" t="n"/>
      <c r="AW549" s="1242">
        <f>+H549-AV549</f>
        <v/>
      </c>
    </row>
    <row r="550" ht="17.25" customHeight="1">
      <c r="A550" s="973" t="n"/>
      <c r="B550" s="971" t="n"/>
      <c r="C550" s="972" t="n"/>
      <c r="D550" s="994" t="n"/>
      <c r="E550" s="973" t="n"/>
      <c r="F550" s="994" t="n"/>
      <c r="G550" s="994" t="n"/>
      <c r="H550" s="973" t="n"/>
      <c r="I550" s="973" t="n"/>
      <c r="J550" s="973" t="n"/>
      <c r="K550" s="973" t="n"/>
      <c r="L550" s="253" t="n">
        <v>2838</v>
      </c>
      <c r="M550" s="254" t="inlineStr">
        <is>
          <t>2334L010B</t>
        </is>
      </c>
      <c r="N550" s="254" t="n"/>
      <c r="O550" s="1183" t="inlineStr">
        <is>
          <t>31/01/2027</t>
        </is>
      </c>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94" t="n"/>
      <c r="E551" s="973" t="n"/>
      <c r="F551" s="994" t="n"/>
      <c r="G551" s="994" t="n"/>
      <c r="H551" s="973" t="n"/>
      <c r="I551" s="973" t="n"/>
      <c r="J551" s="973" t="n"/>
      <c r="K551" s="973" t="n"/>
      <c r="L551" s="253" t="n">
        <v>264</v>
      </c>
      <c r="M551" s="254" t="inlineStr">
        <is>
          <t>2334L016E</t>
        </is>
      </c>
      <c r="N551" s="254" t="n"/>
      <c r="O551" s="1183" t="inlineStr">
        <is>
          <t>31/03/2027</t>
        </is>
      </c>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94" t="n"/>
      <c r="E552" s="973" t="n"/>
      <c r="F552" s="994" t="n"/>
      <c r="G552" s="994" t="n"/>
      <c r="H552" s="973" t="n"/>
      <c r="I552" s="973" t="n"/>
      <c r="J552" s="973" t="n"/>
      <c r="K552" s="973" t="n"/>
      <c r="L552" s="253" t="n">
        <v>424</v>
      </c>
      <c r="M552" s="254" t="inlineStr">
        <is>
          <t>2334X006A</t>
        </is>
      </c>
      <c r="N552" s="254" t="n"/>
      <c r="O552" s="1183" t="inlineStr">
        <is>
          <t>31/12/2026</t>
        </is>
      </c>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94" t="n"/>
      <c r="E553" s="973" t="n"/>
      <c r="F553" s="994" t="n"/>
      <c r="G553" s="994" t="n"/>
      <c r="H553" s="973" t="n"/>
      <c r="I553" s="973" t="n"/>
      <c r="J553" s="973" t="n"/>
      <c r="K553" s="975" t="n"/>
      <c r="L553" s="253" t="n">
        <v>20</v>
      </c>
      <c r="M553" s="254" t="inlineStr">
        <is>
          <t>3CA50C1</t>
        </is>
      </c>
      <c r="N553" s="254" t="n"/>
      <c r="O553" s="1183" t="inlineStr">
        <is>
          <t>30/09/2027</t>
        </is>
      </c>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98" t="n"/>
      <c r="E554" s="975" t="n"/>
      <c r="F554" s="998" t="n"/>
      <c r="G554" s="998" t="n"/>
      <c r="H554" s="975" t="n"/>
      <c r="I554" s="975" t="n"/>
      <c r="J554" s="975" t="n"/>
      <c r="K554" s="1189">
        <f>K549=L554</f>
        <v/>
      </c>
      <c r="L554" s="491">
        <f>SUM(L549:L553)</f>
        <v/>
      </c>
      <c r="M554" s="1190" t="inlineStr">
        <is>
          <t xml:space="preserve">“Verdadero” indica que la cantidad por lote, coincide con el saldo que inicia al mes siguiente. "Falso" no coinicide. </t>
        </is>
      </c>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338" t="n">
        <v>1345</v>
      </c>
      <c r="E555" s="339">
        <f>H151</f>
        <v/>
      </c>
      <c r="F555" s="338" t="n">
        <v>706</v>
      </c>
      <c r="G555" s="338" t="n">
        <v>41</v>
      </c>
      <c r="H555" s="1235">
        <f>+F555+G555</f>
        <v/>
      </c>
      <c r="I555" s="340">
        <f>+AM555</f>
        <v/>
      </c>
      <c r="J555" s="341">
        <f>+H555+I555</f>
        <v/>
      </c>
      <c r="K555" s="583">
        <f>+(D555+E555)-(J555)</f>
        <v/>
      </c>
      <c r="L555" s="253" t="n">
        <v>20</v>
      </c>
      <c r="M555" s="254" t="inlineStr">
        <is>
          <t>2CA74C2</t>
        </is>
      </c>
      <c r="N555" s="254" t="n"/>
      <c r="O555" s="1183" t="inlineStr">
        <is>
          <t>30/04/2026</t>
        </is>
      </c>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v>0</v>
      </c>
      <c r="AA555" s="648" t="n">
        <v>0</v>
      </c>
      <c r="AB555" s="649">
        <f>+Z555+AA555</f>
        <v/>
      </c>
      <c r="AC555" s="648" t="n">
        <v>0</v>
      </c>
      <c r="AD555" s="648" t="n">
        <v>0</v>
      </c>
      <c r="AE555" s="648" t="n">
        <v>0</v>
      </c>
      <c r="AF555" s="648" t="n">
        <v>0</v>
      </c>
      <c r="AG555" s="648" t="n">
        <v>0</v>
      </c>
      <c r="AH555" s="648" t="n">
        <v>0</v>
      </c>
      <c r="AI555" s="648" t="n">
        <v>0</v>
      </c>
      <c r="AJ555" s="648" t="n">
        <v>0</v>
      </c>
      <c r="AK555" s="648" t="n">
        <v>0</v>
      </c>
      <c r="AL555" s="648" t="n">
        <v>0</v>
      </c>
      <c r="AM555" s="421">
        <f>SUM(AB555:AL559)</f>
        <v/>
      </c>
      <c r="AN555" s="726" t="n"/>
      <c r="AQ555" s="1238">
        <f>IFERROR(I555/J555*100,"0")</f>
        <v/>
      </c>
      <c r="AR555" s="343">
        <f>IFERROR(1/(1-(AQ555/100)),"0")</f>
        <v/>
      </c>
      <c r="AS555" s="1239" t="n">
        <v>0</v>
      </c>
      <c r="AT555" s="345" t="n">
        <v>1</v>
      </c>
      <c r="AU555" s="1240" t="n"/>
      <c r="AV555" s="1241" t="n"/>
      <c r="AW555" s="1242">
        <f>+H555-AV555</f>
        <v/>
      </c>
    </row>
    <row r="556" ht="17.25" customHeight="1">
      <c r="A556" s="973" t="n"/>
      <c r="B556" s="971" t="n"/>
      <c r="C556" s="972" t="n"/>
      <c r="D556" s="994" t="n"/>
      <c r="E556" s="973" t="n"/>
      <c r="F556" s="994" t="n"/>
      <c r="G556" s="994" t="n"/>
      <c r="H556" s="973" t="n"/>
      <c r="I556" s="973" t="n"/>
      <c r="J556" s="973" t="n"/>
      <c r="K556" s="973" t="n"/>
      <c r="L556" s="253" t="n">
        <v>4</v>
      </c>
      <c r="M556" s="254" t="inlineStr">
        <is>
          <t>2CA78C1</t>
        </is>
      </c>
      <c r="N556" s="254" t="n"/>
      <c r="O556" s="1183" t="inlineStr">
        <is>
          <t>30/06/2026</t>
        </is>
      </c>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94" t="n"/>
      <c r="E557" s="973" t="n"/>
      <c r="F557" s="994" t="n"/>
      <c r="G557" s="994" t="n"/>
      <c r="H557" s="973" t="n"/>
      <c r="I557" s="973" t="n"/>
      <c r="J557" s="973" t="n"/>
      <c r="K557" s="973" t="n"/>
      <c r="L557" s="253" t="n">
        <v>595</v>
      </c>
      <c r="M557" s="254" t="inlineStr">
        <is>
          <t>3CA50C1</t>
        </is>
      </c>
      <c r="N557" s="254" t="n"/>
      <c r="O557" s="1183" t="inlineStr">
        <is>
          <t>30/09/2027</t>
        </is>
      </c>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94" t="n"/>
      <c r="E558" s="973" t="n"/>
      <c r="F558" s="994" t="n"/>
      <c r="G558" s="994" t="n"/>
      <c r="H558" s="973" t="n"/>
      <c r="I558" s="973" t="n"/>
      <c r="J558" s="973" t="n"/>
      <c r="K558" s="973" t="n"/>
      <c r="L558" s="253" t="n">
        <v>29</v>
      </c>
      <c r="M558" s="254" t="inlineStr">
        <is>
          <t>AC37B466AA</t>
        </is>
      </c>
      <c r="N558" s="254" t="n"/>
      <c r="O558" s="1183" t="inlineStr">
        <is>
          <t>31/03/2027</t>
        </is>
      </c>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94"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98" t="n"/>
      <c r="E560" s="975" t="n"/>
      <c r="F560" s="998" t="n"/>
      <c r="G560" s="998" t="n"/>
      <c r="H560" s="975" t="n"/>
      <c r="I560" s="975" t="n"/>
      <c r="J560" s="975" t="n"/>
      <c r="K560" s="1189">
        <f>K555=L560</f>
        <v/>
      </c>
      <c r="L560" s="491">
        <f>SUM(L555:L559)</f>
        <v/>
      </c>
      <c r="M560" s="1190" t="inlineStr">
        <is>
          <t xml:space="preserve">“Verdadero” indica que la cantidad por lote, coincide con el saldo que inicia al mes siguiente. "Falso" no coinicide. </t>
        </is>
      </c>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43" t="n">
        <v>11591</v>
      </c>
      <c r="E561" s="339">
        <f>H157</f>
        <v/>
      </c>
      <c r="F561" s="338" t="n">
        <v>1561</v>
      </c>
      <c r="G561" s="338" t="n">
        <v>29</v>
      </c>
      <c r="H561" s="1235">
        <f>+F561+G561</f>
        <v/>
      </c>
      <c r="I561" s="340">
        <f>+AM561</f>
        <v/>
      </c>
      <c r="J561" s="341">
        <f>+H561+I561</f>
        <v/>
      </c>
      <c r="K561" s="583">
        <f>+(D561-D564+D565)+E561-J561</f>
        <v/>
      </c>
      <c r="L561" s="253" t="n">
        <v>4925</v>
      </c>
      <c r="M561" s="254" t="inlineStr">
        <is>
          <t>P100791842</t>
        </is>
      </c>
      <c r="N561" s="254" t="n"/>
      <c r="O561" s="1183" t="inlineStr">
        <is>
          <t>31/03/2026</t>
        </is>
      </c>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v>3149</v>
      </c>
      <c r="AA561" s="648" t="n">
        <v>175</v>
      </c>
      <c r="AB561" s="649">
        <f>+Z561+AA561</f>
        <v/>
      </c>
      <c r="AC561" s="648" t="n">
        <v>0</v>
      </c>
      <c r="AD561" s="648" t="n">
        <v>0</v>
      </c>
      <c r="AE561" s="648" t="n">
        <v>0</v>
      </c>
      <c r="AF561" s="648" t="n">
        <v>0</v>
      </c>
      <c r="AG561" s="648" t="n">
        <v>1752</v>
      </c>
      <c r="AH561" s="648" t="n">
        <v>0</v>
      </c>
      <c r="AI561" s="648" t="n">
        <v>0</v>
      </c>
      <c r="AJ561" s="648" t="n">
        <v>0</v>
      </c>
      <c r="AK561" s="648" t="n">
        <v>0</v>
      </c>
      <c r="AL561" s="648" t="n">
        <v>0</v>
      </c>
      <c r="AM561" s="421">
        <f>SUM(AB561:AL565)</f>
        <v/>
      </c>
      <c r="AN561" s="726" t="n"/>
      <c r="AQ561" s="1238">
        <f>IFERROR(I561/J561*100,"0")</f>
        <v/>
      </c>
      <c r="AR561" s="343">
        <f>IFERROR(1/(1-(AQ561/100)),"0")</f>
        <v/>
      </c>
      <c r="AS561" s="1239" t="n">
        <v>15</v>
      </c>
      <c r="AT561" s="345" t="n">
        <v>20</v>
      </c>
      <c r="AU561" s="1240" t="n"/>
      <c r="AV561" s="1241" t="n"/>
      <c r="AW561" s="1242">
        <f>+H561-AV561</f>
        <v/>
      </c>
    </row>
    <row r="562" ht="19.5" customHeight="1">
      <c r="A562" s="973" t="n"/>
      <c r="B562" s="971" t="n"/>
      <c r="C562" s="972" t="n"/>
      <c r="D562" s="994" t="n"/>
      <c r="E562" s="973" t="n"/>
      <c r="F562" s="994" t="n"/>
      <c r="G562" s="994" t="n"/>
      <c r="H562" s="973" t="n"/>
      <c r="I562" s="973" t="n"/>
      <c r="J562" s="973" t="n"/>
      <c r="K562" s="973" t="n"/>
      <c r="L562" s="253" t="n"/>
      <c r="M562" s="254" t="n"/>
      <c r="N562" s="254" t="n"/>
      <c r="O562" s="1183" t="n"/>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98" t="n"/>
      <c r="E563" s="973" t="n"/>
      <c r="F563" s="994" t="n"/>
      <c r="G563" s="994" t="n"/>
      <c r="H563" s="973" t="n"/>
      <c r="I563" s="973" t="n"/>
      <c r="J563" s="973" t="n"/>
      <c r="K563" s="973" t="n"/>
      <c r="L563" s="253" t="n"/>
      <c r="M563" s="254" t="n"/>
      <c r="N563" s="254" t="n"/>
      <c r="O563" s="1183" t="n"/>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c r="M564" s="254" t="n"/>
      <c r="N564" s="254" t="n"/>
      <c r="O564" s="1183" t="n"/>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inlineStr">
        <is>
          <t xml:space="preserve">“Verdadero” indica que la cantidad por lote, coincide con el saldo que inicia al mes siguiente. "Falso" no coinicide. </t>
        </is>
      </c>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43" t="n">
        <v>6199</v>
      </c>
      <c r="E567" s="1244">
        <f>H163</f>
        <v/>
      </c>
      <c r="F567" s="338" t="n">
        <v>4102</v>
      </c>
      <c r="G567" s="338" t="n">
        <v>44</v>
      </c>
      <c r="H567" s="1235">
        <f>+F567+G567</f>
        <v/>
      </c>
      <c r="I567" s="340">
        <f>+AM567</f>
        <v/>
      </c>
      <c r="J567" s="341">
        <f>+H567+I567</f>
        <v/>
      </c>
      <c r="K567" s="583">
        <f>(D567-D570+D571+E567)-(J567)</f>
        <v/>
      </c>
      <c r="L567" s="253" t="n">
        <v>1770</v>
      </c>
      <c r="M567" s="254" t="inlineStr">
        <is>
          <t>V50525006</t>
        </is>
      </c>
      <c r="N567" s="254" t="n"/>
      <c r="O567" s="1183" t="inlineStr">
        <is>
          <t>09/02/2026</t>
        </is>
      </c>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v>201</v>
      </c>
      <c r="AA567" s="648" t="n">
        <v>82</v>
      </c>
      <c r="AB567" s="649">
        <f>+Z567+AA567</f>
        <v/>
      </c>
      <c r="AC567" s="648" t="n">
        <v>0</v>
      </c>
      <c r="AD567" s="648" t="n">
        <v>0</v>
      </c>
      <c r="AE567" s="648" t="n">
        <v>0</v>
      </c>
      <c r="AF567" s="648" t="n">
        <v>0</v>
      </c>
      <c r="AG567" s="648" t="n">
        <v>0</v>
      </c>
      <c r="AH567" s="648" t="n">
        <v>0</v>
      </c>
      <c r="AI567" s="648" t="n">
        <v>0</v>
      </c>
      <c r="AJ567" s="648" t="n">
        <v>0</v>
      </c>
      <c r="AK567" s="648" t="n">
        <v>0</v>
      </c>
      <c r="AL567" s="648" t="n">
        <v>0</v>
      </c>
      <c r="AM567" s="421">
        <f>SUM(AB567:AL571)</f>
        <v/>
      </c>
      <c r="AN567" s="726" t="n"/>
      <c r="AQ567" s="1238">
        <f>IFERROR(I567/J567*100,"0")</f>
        <v/>
      </c>
      <c r="AR567" s="343">
        <f>IFERROR(1/(1-(AQ567/100)),"0")</f>
        <v/>
      </c>
      <c r="AS567" s="1239" t="n">
        <v>10</v>
      </c>
      <c r="AT567" s="345" t="n">
        <v>10</v>
      </c>
      <c r="AU567" s="1240" t="n"/>
      <c r="AV567" s="1241" t="n"/>
      <c r="AW567" s="1242">
        <f>+H567-AV567</f>
        <v/>
      </c>
    </row>
    <row r="568" ht="19.5" customHeight="1">
      <c r="A568" s="973" t="n"/>
      <c r="B568" s="971" t="n"/>
      <c r="C568" s="972" t="n"/>
      <c r="D568" s="994" t="n"/>
      <c r="E568" s="973" t="n"/>
      <c r="F568" s="994" t="n"/>
      <c r="G568" s="994" t="n"/>
      <c r="H568" s="973" t="n"/>
      <c r="I568" s="973" t="n"/>
      <c r="J568" s="973" t="n"/>
      <c r="K568" s="973" t="n"/>
      <c r="L568" s="253" t="n"/>
      <c r="M568" s="254" t="n"/>
      <c r="N568" s="254" t="n"/>
      <c r="O568" s="1183" t="n"/>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98" t="n"/>
      <c r="E569" s="973" t="n"/>
      <c r="F569" s="994" t="n"/>
      <c r="G569" s="994" t="n"/>
      <c r="H569" s="973" t="n"/>
      <c r="I569" s="973" t="n"/>
      <c r="J569" s="973" t="n"/>
      <c r="K569" s="973" t="n"/>
      <c r="L569" s="253" t="n"/>
      <c r="M569" s="254" t="n"/>
      <c r="N569" s="254" t="n"/>
      <c r="O569" s="1183" t="n"/>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c r="M570" s="254" t="n"/>
      <c r="N570" s="254" t="n"/>
      <c r="O570" s="1183" t="n"/>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inlineStr">
        <is>
          <t xml:space="preserve">“Verdadero” indica que la cantidad por lote, coincide con el saldo que inicia al mes siguiente. "Falso" no coinicide. </t>
        </is>
      </c>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338" t="n">
        <v>630</v>
      </c>
      <c r="E573" s="339">
        <f>H169</f>
        <v/>
      </c>
      <c r="F573" s="338" t="n">
        <v>411</v>
      </c>
      <c r="G573" s="338" t="n">
        <v>24</v>
      </c>
      <c r="H573" s="1235">
        <f>+F573+G573</f>
        <v/>
      </c>
      <c r="I573" s="340">
        <f>+AM573</f>
        <v/>
      </c>
      <c r="J573" s="341">
        <f>+H573+I573</f>
        <v/>
      </c>
      <c r="K573" s="583">
        <f>+(D573+E573)-(J573)</f>
        <v/>
      </c>
      <c r="L573" s="253" t="n">
        <v>195</v>
      </c>
      <c r="M573" s="254" t="inlineStr">
        <is>
          <t>MH8217</t>
        </is>
      </c>
      <c r="N573" s="254" t="n"/>
      <c r="O573" s="1183" t="inlineStr">
        <is>
          <t>30/06/2027</t>
        </is>
      </c>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v>0</v>
      </c>
      <c r="AA573" s="648" t="n">
        <v>0</v>
      </c>
      <c r="AB573" s="649">
        <f>+Z573+AA573</f>
        <v/>
      </c>
      <c r="AC573" s="648" t="n">
        <v>0</v>
      </c>
      <c r="AD573" s="648" t="n">
        <v>0</v>
      </c>
      <c r="AE573" s="648" t="n">
        <v>0</v>
      </c>
      <c r="AF573" s="648" t="n">
        <v>0</v>
      </c>
      <c r="AG573" s="648" t="n">
        <v>0</v>
      </c>
      <c r="AH573" s="648" t="n">
        <v>0</v>
      </c>
      <c r="AI573" s="648" t="n">
        <v>0</v>
      </c>
      <c r="AJ573" s="648" t="n">
        <v>0</v>
      </c>
      <c r="AK573" s="648" t="n">
        <v>0</v>
      </c>
      <c r="AL573" s="648" t="n">
        <v>0</v>
      </c>
      <c r="AM573" s="421">
        <f>SUM(AB573:AL577)</f>
        <v/>
      </c>
      <c r="AN573" s="726" t="n"/>
      <c r="AQ573" s="1238">
        <f>IFERROR(I573/J573*100,"0")</f>
        <v/>
      </c>
      <c r="AR573" s="343">
        <f>IFERROR(1/(1-(AQ573/100)),"0")</f>
        <v/>
      </c>
      <c r="AS573" s="1239" t="n">
        <v>0</v>
      </c>
      <c r="AT573" s="345" t="n">
        <v>1</v>
      </c>
      <c r="AU573" s="1240" t="n"/>
      <c r="AV573" s="1241" t="n"/>
      <c r="AW573" s="1242">
        <f>+H573-AV573</f>
        <v/>
      </c>
    </row>
    <row r="574" ht="17.25" customHeight="1">
      <c r="A574" s="973" t="n"/>
      <c r="B574" s="971" t="n"/>
      <c r="C574" s="972" t="n"/>
      <c r="D574" s="994" t="n"/>
      <c r="E574" s="973" t="n"/>
      <c r="F574" s="994" t="n"/>
      <c r="G574" s="994" t="n"/>
      <c r="H574" s="973" t="n"/>
      <c r="I574" s="973" t="n"/>
      <c r="J574" s="973" t="n"/>
      <c r="K574" s="973" t="n"/>
      <c r="L574" s="253" t="n"/>
      <c r="M574" s="254" t="n"/>
      <c r="N574" s="254" t="n"/>
      <c r="O574" s="1183" t="n"/>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94" t="n"/>
      <c r="E575" s="973" t="n"/>
      <c r="F575" s="994" t="n"/>
      <c r="G575" s="994" t="n"/>
      <c r="H575" s="973" t="n"/>
      <c r="I575" s="973" t="n"/>
      <c r="J575" s="973" t="n"/>
      <c r="K575" s="973" t="n"/>
      <c r="L575" s="253" t="n"/>
      <c r="M575" s="254" t="n"/>
      <c r="N575" s="254" t="n"/>
      <c r="O575" s="1183" t="n"/>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94" t="n"/>
      <c r="E576" s="973" t="n"/>
      <c r="F576" s="994" t="n"/>
      <c r="G576" s="994" t="n"/>
      <c r="H576" s="973" t="n"/>
      <c r="I576" s="973" t="n"/>
      <c r="J576" s="973" t="n"/>
      <c r="K576" s="973" t="n"/>
      <c r="L576" s="253" t="n"/>
      <c r="M576" s="254" t="n"/>
      <c r="N576" s="254" t="n"/>
      <c r="O576" s="1183" t="n"/>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94" t="n"/>
      <c r="E577" s="973" t="n"/>
      <c r="F577" s="994" t="n"/>
      <c r="G577" s="994" t="n"/>
      <c r="H577" s="973" t="n"/>
      <c r="I577" s="973" t="n"/>
      <c r="J577" s="973" t="n"/>
      <c r="K577" s="975" t="n"/>
      <c r="L577" s="253" t="n"/>
      <c r="M577" s="254" t="n"/>
      <c r="N577" s="254" t="n"/>
      <c r="O577" s="1183" t="n"/>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98" t="n"/>
      <c r="E578" s="975" t="n"/>
      <c r="F578" s="998" t="n"/>
      <c r="G578" s="998" t="n"/>
      <c r="H578" s="975" t="n"/>
      <c r="I578" s="975" t="n"/>
      <c r="J578" s="975" t="n"/>
      <c r="K578" s="1189">
        <f>K573=L578</f>
        <v/>
      </c>
      <c r="L578" s="491">
        <f>SUM(L573:L577)</f>
        <v/>
      </c>
      <c r="M578" s="1190" t="inlineStr">
        <is>
          <t xml:space="preserve">“Verdadero” indica que la cantidad por lote, coincide con el saldo que inicia al mes siguiente. "Falso" no coinicide. </t>
        </is>
      </c>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338" t="n">
        <v>5021</v>
      </c>
      <c r="E579" s="339">
        <f>H175</f>
        <v/>
      </c>
      <c r="F579" s="338" t="n">
        <v>1220</v>
      </c>
      <c r="G579" s="338" t="n">
        <v>31</v>
      </c>
      <c r="H579" s="1235">
        <f>+F579+G579</f>
        <v/>
      </c>
      <c r="I579" s="340">
        <f>+AM579</f>
        <v/>
      </c>
      <c r="J579" s="341">
        <f>+H579+I579</f>
        <v/>
      </c>
      <c r="K579" s="583">
        <f>+(D579+E579)-(J579)</f>
        <v/>
      </c>
      <c r="L579" s="253" t="n">
        <v>2</v>
      </c>
      <c r="M579" s="254" t="inlineStr">
        <is>
          <t>X023853</t>
        </is>
      </c>
      <c r="N579" s="254" t="n"/>
      <c r="O579" s="1183" t="inlineStr">
        <is>
          <t>20/04/2026</t>
        </is>
      </c>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v>0</v>
      </c>
      <c r="AA579" s="648" t="n">
        <v>0</v>
      </c>
      <c r="AB579" s="649">
        <f>+Z579+AA579</f>
        <v/>
      </c>
      <c r="AC579" s="648" t="n">
        <v>0</v>
      </c>
      <c r="AD579" s="648" t="n">
        <v>0</v>
      </c>
      <c r="AE579" s="648" t="n">
        <v>0</v>
      </c>
      <c r="AF579" s="648" t="n">
        <v>1</v>
      </c>
      <c r="AG579" s="648" t="n">
        <v>0</v>
      </c>
      <c r="AH579" s="648" t="n">
        <v>0</v>
      </c>
      <c r="AI579" s="648" t="n">
        <v>0</v>
      </c>
      <c r="AJ579" s="648" t="n">
        <v>0</v>
      </c>
      <c r="AK579" s="648" t="n">
        <v>0</v>
      </c>
      <c r="AL579" s="648" t="n">
        <v>0</v>
      </c>
      <c r="AM579" s="421">
        <f>SUM(AB579:AL583)</f>
        <v/>
      </c>
      <c r="AN579" s="726" t="n"/>
      <c r="AQ579" s="1238">
        <f>IFERROR(I579/J579*100,"0")</f>
        <v/>
      </c>
      <c r="AR579" s="343">
        <f>IFERROR(1/(1-(AQ579/100)),"0")</f>
        <v/>
      </c>
      <c r="AS579" s="1239" t="n">
        <v>0</v>
      </c>
      <c r="AT579" s="345" t="n">
        <v>1</v>
      </c>
      <c r="AU579" s="1240" t="n"/>
      <c r="AV579" s="1241" t="n"/>
      <c r="AW579" s="1242">
        <f>+H579-AV579</f>
        <v/>
      </c>
    </row>
    <row r="580" ht="17.25" customHeight="1">
      <c r="A580" s="973" t="n"/>
      <c r="B580" s="971" t="n"/>
      <c r="C580" s="972" t="n"/>
      <c r="D580" s="994" t="n"/>
      <c r="E580" s="973" t="n"/>
      <c r="F580" s="994" t="n"/>
      <c r="G580" s="994" t="n"/>
      <c r="H580" s="973" t="n"/>
      <c r="I580" s="973" t="n"/>
      <c r="J580" s="973" t="n"/>
      <c r="K580" s="973" t="n"/>
      <c r="L580" s="253" t="n">
        <v>4</v>
      </c>
      <c r="M580" s="254" t="inlineStr">
        <is>
          <t>Y004352</t>
        </is>
      </c>
      <c r="N580" s="254" t="n"/>
      <c r="O580" s="1183" t="inlineStr">
        <is>
          <t>20/11/2026</t>
        </is>
      </c>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94" t="n"/>
      <c r="E581" s="973" t="n"/>
      <c r="F581" s="994" t="n"/>
      <c r="G581" s="994" t="n"/>
      <c r="H581" s="973" t="n"/>
      <c r="I581" s="973" t="n"/>
      <c r="J581" s="973" t="n"/>
      <c r="K581" s="973" t="n"/>
      <c r="L581" s="253" t="n">
        <v>33</v>
      </c>
      <c r="M581" s="254" t="inlineStr">
        <is>
          <t>Y011071</t>
        </is>
      </c>
      <c r="N581" s="254" t="n"/>
      <c r="O581" s="1183" t="inlineStr">
        <is>
          <t>31/05/2026</t>
        </is>
      </c>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94" t="n"/>
      <c r="E582" s="973" t="n"/>
      <c r="F582" s="994" t="n"/>
      <c r="G582" s="994" t="n"/>
      <c r="H582" s="973" t="n"/>
      <c r="I582" s="973" t="n"/>
      <c r="J582" s="973" t="n"/>
      <c r="K582" s="973" t="n"/>
      <c r="L582" s="253" t="n">
        <v>19</v>
      </c>
      <c r="M582" s="254" t="inlineStr">
        <is>
          <t>Y012446</t>
        </is>
      </c>
      <c r="N582" s="254" t="n"/>
      <c r="O582" s="1183" t="inlineStr">
        <is>
          <t>31/05/2026</t>
        </is>
      </c>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94" t="n"/>
      <c r="E583" s="973" t="n"/>
      <c r="F583" s="994" t="n"/>
      <c r="G583" s="994" t="n"/>
      <c r="H583" s="973" t="n"/>
      <c r="I583" s="973" t="n"/>
      <c r="J583" s="973" t="n"/>
      <c r="K583" s="975" t="n"/>
      <c r="L583" s="253" t="n">
        <v>3711</v>
      </c>
      <c r="M583" s="254" t="inlineStr">
        <is>
          <t>Y014828</t>
        </is>
      </c>
      <c r="N583" s="254" t="n"/>
      <c r="O583" s="1183" t="inlineStr">
        <is>
          <t>31/05/2027</t>
        </is>
      </c>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98" t="n"/>
      <c r="E584" s="975" t="n"/>
      <c r="F584" s="998" t="n"/>
      <c r="G584" s="998" t="n"/>
      <c r="H584" s="975" t="n"/>
      <c r="I584" s="975" t="n"/>
      <c r="J584" s="975" t="n"/>
      <c r="K584" s="1189">
        <f>K579=L584</f>
        <v/>
      </c>
      <c r="L584" s="491">
        <f>SUM(L579:L583)</f>
        <v/>
      </c>
      <c r="M584" s="1190" t="inlineStr">
        <is>
          <t xml:space="preserve">“Verdadero” indica que la cantidad por lote, coincide con el saldo que inicia al mes siguiente. "Falso" no coinicide. </t>
        </is>
      </c>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338" t="n">
        <v>0</v>
      </c>
      <c r="E585" s="339">
        <f>H181</f>
        <v/>
      </c>
      <c r="F585" s="338" t="n">
        <v>0</v>
      </c>
      <c r="G585" s="338" t="n">
        <v>0</v>
      </c>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v>0</v>
      </c>
      <c r="AA585" s="648" t="n">
        <v>0</v>
      </c>
      <c r="AB585" s="649">
        <f>+Z585+AA585</f>
        <v/>
      </c>
      <c r="AC585" s="648" t="n">
        <v>0</v>
      </c>
      <c r="AD585" s="648" t="n">
        <v>0</v>
      </c>
      <c r="AE585" s="648" t="n">
        <v>0</v>
      </c>
      <c r="AF585" s="648" t="n">
        <v>0</v>
      </c>
      <c r="AG585" s="648" t="n">
        <v>0</v>
      </c>
      <c r="AH585" s="648" t="n">
        <v>0</v>
      </c>
      <c r="AI585" s="648" t="n">
        <v>0</v>
      </c>
      <c r="AJ585" s="648" t="n">
        <v>0</v>
      </c>
      <c r="AK585" s="648" t="n">
        <v>0</v>
      </c>
      <c r="AL585" s="648" t="n">
        <v>0</v>
      </c>
      <c r="AM585" s="421">
        <f>SUM(AB585:AL589)</f>
        <v/>
      </c>
      <c r="AN585" s="726" t="n"/>
      <c r="AQ585" s="1238">
        <f>IFERROR(I585/J585*100,"0")</f>
        <v/>
      </c>
      <c r="AR585" s="343">
        <f>IFERROR(1/(1-(AQ585/100)),"0")</f>
        <v/>
      </c>
      <c r="AS585" s="1239" t="n">
        <v>0</v>
      </c>
      <c r="AT585" s="345" t="n">
        <v>1</v>
      </c>
      <c r="AU585" s="1240" t="n"/>
      <c r="AV585" s="1241" t="n"/>
      <c r="AW585" s="1242">
        <f>+H585-AV585</f>
        <v/>
      </c>
    </row>
    <row r="586" ht="17.25" customHeight="1">
      <c r="A586" s="973" t="n"/>
      <c r="B586" s="971" t="n"/>
      <c r="C586" s="972" t="n"/>
      <c r="D586" s="994"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94"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94"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94"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98" t="n"/>
      <c r="E590" s="975" t="n"/>
      <c r="F590" s="998" t="n"/>
      <c r="G590" s="998" t="n"/>
      <c r="H590" s="975" t="n"/>
      <c r="I590" s="975" t="n"/>
      <c r="J590" s="975" t="n"/>
      <c r="K590" s="1189">
        <f>K585=L590</f>
        <v/>
      </c>
      <c r="L590" s="491">
        <f>SUM(L585:L589)</f>
        <v/>
      </c>
      <c r="M590" s="1190" t="inlineStr">
        <is>
          <t xml:space="preserve">“Verdadero” indica que la cantidad por lote, coincide con el saldo que inicia al mes siguiente. "Falso" no coinicide. </t>
        </is>
      </c>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338" t="n">
        <v>1036</v>
      </c>
      <c r="E591" s="339">
        <f>H187</f>
        <v/>
      </c>
      <c r="F591" s="338" t="n">
        <v>361</v>
      </c>
      <c r="G591" s="338" t="n">
        <v>2</v>
      </c>
      <c r="H591" s="1235">
        <f>+F591+G591</f>
        <v/>
      </c>
      <c r="I591" s="340">
        <f>+AM591</f>
        <v/>
      </c>
      <c r="J591" s="341">
        <f>+H591+I591</f>
        <v/>
      </c>
      <c r="K591" s="583">
        <f>+(D591+E591)-(J591)</f>
        <v/>
      </c>
      <c r="L591" s="253" t="n">
        <v>661</v>
      </c>
      <c r="M591" s="254" t="inlineStr">
        <is>
          <t>1484T128</t>
        </is>
      </c>
      <c r="N591" s="254" t="n"/>
      <c r="O591" s="1183" t="inlineStr">
        <is>
          <t>31/10/2027</t>
        </is>
      </c>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v>0</v>
      </c>
      <c r="AA591" s="648" t="n">
        <v>0</v>
      </c>
      <c r="AB591" s="649">
        <f>+Z591+AA591</f>
        <v/>
      </c>
      <c r="AC591" s="648" t="n">
        <v>0</v>
      </c>
      <c r="AD591" s="648" t="n">
        <v>0</v>
      </c>
      <c r="AE591" s="648" t="n">
        <v>0</v>
      </c>
      <c r="AF591" s="648" t="n">
        <v>0</v>
      </c>
      <c r="AG591" s="648" t="n">
        <v>0</v>
      </c>
      <c r="AH591" s="648" t="n">
        <v>0</v>
      </c>
      <c r="AI591" s="648" t="n">
        <v>0</v>
      </c>
      <c r="AJ591" s="648" t="n">
        <v>0</v>
      </c>
      <c r="AK591" s="648" t="n">
        <v>0</v>
      </c>
      <c r="AL591" s="648" t="n">
        <v>0</v>
      </c>
      <c r="AM591" s="421">
        <f>SUM(AB591:AL595)</f>
        <v/>
      </c>
      <c r="AN591" s="726" t="n"/>
      <c r="AQ591" s="1238">
        <f>IFERROR(I591/J591*100,"0")</f>
        <v/>
      </c>
      <c r="AR591" s="343">
        <f>IFERROR(1/(1-(AQ591/100)),"0")</f>
        <v/>
      </c>
      <c r="AS591" s="1239" t="n">
        <v>0</v>
      </c>
      <c r="AT591" s="345" t="n">
        <v>1</v>
      </c>
      <c r="AU591" s="1240" t="n"/>
      <c r="AV591" s="1241" t="n"/>
      <c r="AW591" s="1242">
        <f>+H591-AV591</f>
        <v/>
      </c>
    </row>
    <row r="592" ht="17.25" customHeight="1">
      <c r="A592" s="973" t="n"/>
      <c r="B592" s="971" t="n"/>
      <c r="C592" s="972" t="n"/>
      <c r="D592" s="994" t="n"/>
      <c r="E592" s="973" t="n"/>
      <c r="F592" s="994" t="n"/>
      <c r="G592" s="994" t="n"/>
      <c r="H592" s="973" t="n"/>
      <c r="I592" s="973" t="n"/>
      <c r="J592" s="973" t="n"/>
      <c r="K592" s="973" t="n"/>
      <c r="L592" s="253" t="n">
        <v>12</v>
      </c>
      <c r="M592" s="254" t="inlineStr">
        <is>
          <t>Y1A06</t>
        </is>
      </c>
      <c r="N592" s="254" t="n"/>
      <c r="O592" s="1183" t="inlineStr">
        <is>
          <t>31/12/2026</t>
        </is>
      </c>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94" t="n"/>
      <c r="E593" s="973" t="n"/>
      <c r="F593" s="994" t="n"/>
      <c r="G593" s="994" t="n"/>
      <c r="H593" s="973" t="n"/>
      <c r="I593" s="973" t="n"/>
      <c r="J593" s="973" t="n"/>
      <c r="K593" s="973" t="n"/>
      <c r="L593" s="253" t="n"/>
      <c r="M593" s="254" t="n"/>
      <c r="N593" s="254" t="n"/>
      <c r="O593" s="1183" t="n"/>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94" t="n"/>
      <c r="E594" s="973" t="n"/>
      <c r="F594" s="994" t="n"/>
      <c r="G594" s="994" t="n"/>
      <c r="H594" s="973" t="n"/>
      <c r="I594" s="973" t="n"/>
      <c r="J594" s="973" t="n"/>
      <c r="K594" s="973" t="n"/>
      <c r="L594" s="253" t="n"/>
      <c r="M594" s="254" t="n"/>
      <c r="N594" s="254" t="n"/>
      <c r="O594" s="1183" t="n"/>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94" t="n"/>
      <c r="E595" s="973" t="n"/>
      <c r="F595" s="994" t="n"/>
      <c r="G595" s="994" t="n"/>
      <c r="H595" s="973" t="n"/>
      <c r="I595" s="973" t="n"/>
      <c r="J595" s="973" t="n"/>
      <c r="K595" s="975" t="n"/>
      <c r="L595" s="253" t="n"/>
      <c r="M595" s="254" t="n"/>
      <c r="N595" s="254" t="n"/>
      <c r="O595" s="1183" t="n"/>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98" t="n"/>
      <c r="E596" s="975" t="n"/>
      <c r="F596" s="998" t="n"/>
      <c r="G596" s="998" t="n"/>
      <c r="H596" s="975" t="n"/>
      <c r="I596" s="975" t="n"/>
      <c r="J596" s="975" t="n"/>
      <c r="K596" s="1189">
        <f>K591=L596</f>
        <v/>
      </c>
      <c r="L596" s="491">
        <f>SUM(L591:L595)</f>
        <v/>
      </c>
      <c r="M596" s="1190" t="inlineStr">
        <is>
          <t xml:space="preserve">“Verdadero” indica que la cantidad por lote, coincide con el saldo que inicia al mes siguiente. "Falso" no coinicide. </t>
        </is>
      </c>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338" t="n">
        <v>45</v>
      </c>
      <c r="E597" s="339">
        <f>H193</f>
        <v/>
      </c>
      <c r="F597" s="338" t="n">
        <v>15</v>
      </c>
      <c r="G597" s="338" t="n">
        <v>0</v>
      </c>
      <c r="H597" s="1235">
        <f>+F597+G597</f>
        <v/>
      </c>
      <c r="I597" s="340">
        <f>+AM597</f>
        <v/>
      </c>
      <c r="J597" s="341">
        <f>+H597+I597</f>
        <v/>
      </c>
      <c r="K597" s="583">
        <f>+(D597+E597)-(J597)</f>
        <v/>
      </c>
      <c r="L597" s="253" t="n"/>
      <c r="M597" s="254" t="n"/>
      <c r="N597" s="254" t="n"/>
      <c r="O597" s="1183" t="n"/>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v>0</v>
      </c>
      <c r="AA597" s="648" t="n">
        <v>0</v>
      </c>
      <c r="AB597" s="649">
        <f>+Z597+AA597</f>
        <v/>
      </c>
      <c r="AC597" s="648" t="n">
        <v>0</v>
      </c>
      <c r="AD597" s="648" t="n">
        <v>0</v>
      </c>
      <c r="AE597" s="648" t="n">
        <v>0</v>
      </c>
      <c r="AF597" s="648" t="n">
        <v>0</v>
      </c>
      <c r="AG597" s="648" t="n">
        <v>0</v>
      </c>
      <c r="AH597" s="648" t="n">
        <v>0</v>
      </c>
      <c r="AI597" s="648" t="n">
        <v>0</v>
      </c>
      <c r="AJ597" s="648" t="n">
        <v>0</v>
      </c>
      <c r="AK597" s="648" t="n">
        <v>0</v>
      </c>
      <c r="AL597" s="648" t="n">
        <v>0</v>
      </c>
      <c r="AM597" s="421">
        <f>SUM(AB597:AL601)</f>
        <v/>
      </c>
      <c r="AN597" s="726" t="n"/>
      <c r="AQ597" s="1238">
        <f>IFERROR(I597/J597*100,"0")</f>
        <v/>
      </c>
      <c r="AR597" s="343">
        <f>IFERROR(1/(1-(AQ597/100)),"0")</f>
        <v/>
      </c>
      <c r="AS597" s="1239" t="n">
        <v>0</v>
      </c>
      <c r="AT597" s="345" t="n">
        <v>1</v>
      </c>
      <c r="AU597" s="1240" t="n"/>
      <c r="AV597" s="1241" t="n"/>
      <c r="AW597" s="1242">
        <f>+H597-AV597</f>
        <v/>
      </c>
    </row>
    <row r="598" ht="17.25" customHeight="1">
      <c r="A598" s="973" t="n"/>
      <c r="B598" s="971" t="n"/>
      <c r="C598" s="972" t="n"/>
      <c r="D598" s="994" t="n"/>
      <c r="E598" s="973" t="n"/>
      <c r="F598" s="994" t="n"/>
      <c r="G598" s="994" t="n"/>
      <c r="H598" s="973" t="n"/>
      <c r="I598" s="973" t="n"/>
      <c r="J598" s="973" t="n"/>
      <c r="K598" s="973" t="n"/>
      <c r="L598" s="253" t="n">
        <v>30</v>
      </c>
      <c r="M598" s="254" t="inlineStr">
        <is>
          <t>P100819448</t>
        </is>
      </c>
      <c r="N598" s="254" t="n"/>
      <c r="O598" s="1183" t="inlineStr">
        <is>
          <t>24/03/2028</t>
        </is>
      </c>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94" t="n"/>
      <c r="E599" s="973" t="n"/>
      <c r="F599" s="994" t="n"/>
      <c r="G599" s="994" t="n"/>
      <c r="H599" s="973" t="n"/>
      <c r="I599" s="973" t="n"/>
      <c r="J599" s="973" t="n"/>
      <c r="K599" s="973" t="n"/>
      <c r="L599" s="253" t="n"/>
      <c r="M599" s="254" t="n"/>
      <c r="N599" s="254" t="n"/>
      <c r="O599" s="1183" t="n"/>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94"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94"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98" t="n"/>
      <c r="E602" s="975" t="n"/>
      <c r="F602" s="998" t="n"/>
      <c r="G602" s="998" t="n"/>
      <c r="H602" s="975" t="n"/>
      <c r="I602" s="975" t="n"/>
      <c r="J602" s="975" t="n"/>
      <c r="K602" s="1189">
        <f>K597=L602</f>
        <v/>
      </c>
      <c r="L602" s="491">
        <f>SUM(L597:L601)</f>
        <v/>
      </c>
      <c r="M602" s="1190" t="inlineStr">
        <is>
          <t xml:space="preserve">“Verdadero” indica que la cantidad por lote, coincide con el saldo que inicia al mes siguiente. "Falso" no coinicide. </t>
        </is>
      </c>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338" t="n">
        <v>382</v>
      </c>
      <c r="E603" s="339">
        <f>H199</f>
        <v/>
      </c>
      <c r="F603" s="338" t="n">
        <v>85</v>
      </c>
      <c r="G603" s="338" t="n">
        <v>0</v>
      </c>
      <c r="H603" s="1235">
        <f>+F603+G603</f>
        <v/>
      </c>
      <c r="I603" s="340">
        <f>+AM603</f>
        <v/>
      </c>
      <c r="J603" s="341">
        <f>+H603+I603</f>
        <v/>
      </c>
      <c r="K603" s="583">
        <f>+(D603+E603)-(J603)</f>
        <v/>
      </c>
      <c r="L603" s="253" t="n">
        <v>309</v>
      </c>
      <c r="M603" s="254" t="inlineStr">
        <is>
          <t>08AR25015</t>
        </is>
      </c>
      <c r="N603" s="254" t="n"/>
      <c r="O603" s="1183" t="inlineStr">
        <is>
          <t>31/05/2027</t>
        </is>
      </c>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v>0</v>
      </c>
      <c r="AA603" s="648" t="n">
        <v>0</v>
      </c>
      <c r="AB603" s="649">
        <f>+Z603+AA603</f>
        <v/>
      </c>
      <c r="AC603" s="648" t="n">
        <v>0</v>
      </c>
      <c r="AD603" s="648" t="n">
        <v>0</v>
      </c>
      <c r="AE603" s="648" t="n">
        <v>0</v>
      </c>
      <c r="AF603" s="648" t="n">
        <v>0</v>
      </c>
      <c r="AG603" s="648" t="n">
        <v>0</v>
      </c>
      <c r="AH603" s="648" t="n">
        <v>0</v>
      </c>
      <c r="AI603" s="648" t="n">
        <v>0</v>
      </c>
      <c r="AJ603" s="648" t="n">
        <v>0</v>
      </c>
      <c r="AK603" s="648" t="n">
        <v>0</v>
      </c>
      <c r="AL603" s="648" t="n">
        <v>0</v>
      </c>
      <c r="AM603" s="421">
        <f>SUM(AB603:AL607)</f>
        <v/>
      </c>
      <c r="AN603" s="726" t="n"/>
      <c r="AQ603" s="1238">
        <f>IFERROR(I603/J603*100,"0")</f>
        <v/>
      </c>
      <c r="AR603" s="343">
        <f>IFERROR(1/(1-(AQ603/100)),"0")</f>
        <v/>
      </c>
      <c r="AS603" s="1239" t="n">
        <v>0</v>
      </c>
      <c r="AT603" s="345" t="n">
        <v>1</v>
      </c>
      <c r="AU603" s="1240" t="n"/>
      <c r="AV603" s="1241" t="n"/>
      <c r="AW603" s="1242">
        <f>+H603-AV603</f>
        <v/>
      </c>
    </row>
    <row r="604" ht="17.25" customHeight="1">
      <c r="A604" s="973" t="n"/>
      <c r="B604" s="971" t="n"/>
      <c r="C604" s="972" t="n"/>
      <c r="D604" s="994" t="n"/>
      <c r="E604" s="973" t="n"/>
      <c r="F604" s="994" t="n"/>
      <c r="G604" s="994" t="n"/>
      <c r="H604" s="973" t="n"/>
      <c r="I604" s="973" t="n"/>
      <c r="J604" s="973" t="n"/>
      <c r="K604" s="973" t="n"/>
      <c r="L604" s="253" t="n"/>
      <c r="M604" s="254" t="n"/>
      <c r="N604" s="254" t="n"/>
      <c r="O604" s="1183" t="n"/>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94" t="n"/>
      <c r="E605" s="973" t="n"/>
      <c r="F605" s="994" t="n"/>
      <c r="G605" s="994" t="n"/>
      <c r="H605" s="973" t="n"/>
      <c r="I605" s="973" t="n"/>
      <c r="J605" s="973" t="n"/>
      <c r="K605" s="973" t="n"/>
      <c r="L605" s="253" t="n"/>
      <c r="M605" s="254" t="n"/>
      <c r="N605" s="254" t="n"/>
      <c r="O605" s="1183" t="n"/>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94" t="n"/>
      <c r="E606" s="973" t="n"/>
      <c r="F606" s="994" t="n"/>
      <c r="G606" s="994" t="n"/>
      <c r="H606" s="973" t="n"/>
      <c r="I606" s="973" t="n"/>
      <c r="J606" s="973" t="n"/>
      <c r="K606" s="973" t="n"/>
      <c r="L606" s="253" t="n"/>
      <c r="M606" s="254" t="n"/>
      <c r="N606" s="254" t="n"/>
      <c r="O606" s="1183" t="n"/>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94"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98" t="n"/>
      <c r="E608" s="975" t="n"/>
      <c r="F608" s="998" t="n"/>
      <c r="G608" s="998" t="n"/>
      <c r="H608" s="975" t="n"/>
      <c r="I608" s="975" t="n"/>
      <c r="J608" s="975" t="n"/>
      <c r="K608" s="1189">
        <f>K603=L608</f>
        <v/>
      </c>
      <c r="L608" s="491">
        <f>SUM(L603:L607)</f>
        <v/>
      </c>
      <c r="M608" s="1190" t="inlineStr">
        <is>
          <t xml:space="preserve">“Verdadero” indica que la cantidad por lote, coincide con el saldo que inicia al mes siguiente. "Falso" no coinicide. </t>
        </is>
      </c>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338" t="n">
        <v>121</v>
      </c>
      <c r="E609" s="339">
        <f>H205</f>
        <v/>
      </c>
      <c r="F609" s="338" t="n">
        <v>15</v>
      </c>
      <c r="G609" s="338" t="n">
        <v>0</v>
      </c>
      <c r="H609" s="1235">
        <f>+F609+G609</f>
        <v/>
      </c>
      <c r="I609" s="340">
        <f>+AM609</f>
        <v/>
      </c>
      <c r="J609" s="341">
        <f>+H609+I609</f>
        <v/>
      </c>
      <c r="K609" s="583">
        <f>+(D609+E609)-(J609)</f>
        <v/>
      </c>
      <c r="L609" s="253" t="n">
        <v>2</v>
      </c>
      <c r="M609" s="254" t="inlineStr">
        <is>
          <t>P100646141</t>
        </is>
      </c>
      <c r="N609" s="254" t="n"/>
      <c r="O609" s="1183" t="inlineStr">
        <is>
          <t>27/11/2026</t>
        </is>
      </c>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v>0</v>
      </c>
      <c r="AA609" s="648" t="n">
        <v>0</v>
      </c>
      <c r="AB609" s="649">
        <f>+Z609+AA609</f>
        <v/>
      </c>
      <c r="AC609" s="648" t="n">
        <v>0</v>
      </c>
      <c r="AD609" s="648" t="n">
        <v>0</v>
      </c>
      <c r="AE609" s="648" t="n">
        <v>0</v>
      </c>
      <c r="AF609" s="648" t="n">
        <v>0</v>
      </c>
      <c r="AG609" s="648" t="n">
        <v>0</v>
      </c>
      <c r="AH609" s="648" t="n">
        <v>0</v>
      </c>
      <c r="AI609" s="648" t="n">
        <v>0</v>
      </c>
      <c r="AJ609" s="648" t="n">
        <v>0</v>
      </c>
      <c r="AK609" s="648" t="n">
        <v>0</v>
      </c>
      <c r="AL609" s="648" t="n">
        <v>0</v>
      </c>
      <c r="AM609" s="421">
        <f>SUM(AB609:AL613)</f>
        <v/>
      </c>
      <c r="AN609" s="726" t="n"/>
      <c r="AQ609" s="1238">
        <f>IFERROR(I609/J609*100,"0")</f>
        <v/>
      </c>
      <c r="AR609" s="343">
        <f>IFERROR(1/(1-(AQ609/100)),"0")</f>
        <v/>
      </c>
      <c r="AS609" s="1239" t="n">
        <v>0</v>
      </c>
      <c r="AT609" s="345" t="n">
        <v>1</v>
      </c>
      <c r="AU609" s="1240" t="n"/>
      <c r="AV609" s="1241" t="n"/>
      <c r="AW609" s="1242">
        <f>+H609-AV609</f>
        <v/>
      </c>
    </row>
    <row r="610" ht="17.25" customHeight="1">
      <c r="A610" s="973" t="n"/>
      <c r="B610" s="971" t="n"/>
      <c r="C610" s="972" t="n"/>
      <c r="D610" s="994" t="n"/>
      <c r="E610" s="973" t="n"/>
      <c r="F610" s="994" t="n"/>
      <c r="G610" s="994" t="n"/>
      <c r="H610" s="973" t="n"/>
      <c r="I610" s="973" t="n"/>
      <c r="J610" s="973" t="n"/>
      <c r="K610" s="973" t="n"/>
      <c r="L610" s="253" t="n">
        <v>6</v>
      </c>
      <c r="M610" s="254" t="inlineStr">
        <is>
          <t>P100666739</t>
        </is>
      </c>
      <c r="N610" s="254" t="n"/>
      <c r="O610" s="1183" t="inlineStr">
        <is>
          <t>12/02/2027</t>
        </is>
      </c>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94" t="n"/>
      <c r="E611" s="973" t="n"/>
      <c r="F611" s="994" t="n"/>
      <c r="G611" s="994" t="n"/>
      <c r="H611" s="973" t="n"/>
      <c r="I611" s="973" t="n"/>
      <c r="J611" s="973" t="n"/>
      <c r="K611" s="973" t="n"/>
      <c r="L611" s="253" t="n">
        <v>15</v>
      </c>
      <c r="M611" s="254" t="inlineStr">
        <is>
          <t>P100700727</t>
        </is>
      </c>
      <c r="N611" s="254" t="n"/>
      <c r="O611" s="1183" t="inlineStr">
        <is>
          <t>08/04/2027</t>
        </is>
      </c>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94" t="n"/>
      <c r="E612" s="973" t="n"/>
      <c r="F612" s="994" t="n"/>
      <c r="G612" s="994" t="n"/>
      <c r="H612" s="973" t="n"/>
      <c r="I612" s="973" t="n"/>
      <c r="J612" s="973" t="n"/>
      <c r="K612" s="973" t="n"/>
      <c r="L612" s="253" t="n">
        <v>5</v>
      </c>
      <c r="M612" s="254" t="inlineStr">
        <is>
          <t>P100734570</t>
        </is>
      </c>
      <c r="N612" s="254" t="n"/>
      <c r="O612" s="1183" t="inlineStr">
        <is>
          <t>12/02/2027</t>
        </is>
      </c>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94" t="n"/>
      <c r="E613" s="973" t="n"/>
      <c r="F613" s="994" t="n"/>
      <c r="G613" s="994" t="n"/>
      <c r="H613" s="973" t="n"/>
      <c r="I613" s="973" t="n"/>
      <c r="J613" s="973" t="n"/>
      <c r="K613" s="975" t="n"/>
      <c r="L613" s="253" t="n">
        <v>78</v>
      </c>
      <c r="M613" s="254" t="inlineStr">
        <is>
          <t>P100756726</t>
        </is>
      </c>
      <c r="N613" s="254" t="n"/>
      <c r="O613" s="1183" t="inlineStr">
        <is>
          <t>09/10/2027</t>
        </is>
      </c>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98" t="n"/>
      <c r="E614" s="975" t="n"/>
      <c r="F614" s="998" t="n"/>
      <c r="G614" s="998" t="n"/>
      <c r="H614" s="975" t="n"/>
      <c r="I614" s="975" t="n"/>
      <c r="J614" s="975" t="n"/>
      <c r="K614" s="1189">
        <f>K609=L614</f>
        <v/>
      </c>
      <c r="L614" s="491">
        <f>SUM(L609:L613)</f>
        <v/>
      </c>
      <c r="M614" s="1190" t="inlineStr">
        <is>
          <t xml:space="preserve">“Verdadero” indica que la cantidad por lote, coincide con el saldo que inicia al mes siguiente. "Falso" no coinicide. </t>
        </is>
      </c>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338" t="n">
        <v>0</v>
      </c>
      <c r="E615" s="339">
        <f>H211</f>
        <v/>
      </c>
      <c r="F615" s="338" t="n">
        <v>0</v>
      </c>
      <c r="G615" s="338" t="n">
        <v>0</v>
      </c>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v>0</v>
      </c>
      <c r="AA615" s="648" t="n">
        <v>0</v>
      </c>
      <c r="AB615" s="649">
        <f>+Z615+AA615</f>
        <v/>
      </c>
      <c r="AC615" s="648" t="n">
        <v>0</v>
      </c>
      <c r="AD615" s="648" t="n">
        <v>0</v>
      </c>
      <c r="AE615" s="648" t="n">
        <v>0</v>
      </c>
      <c r="AF615" s="648" t="n">
        <v>0</v>
      </c>
      <c r="AG615" s="648" t="n">
        <v>0</v>
      </c>
      <c r="AH615" s="648" t="n">
        <v>0</v>
      </c>
      <c r="AI615" s="648" t="n">
        <v>0</v>
      </c>
      <c r="AJ615" s="648" t="n">
        <v>0</v>
      </c>
      <c r="AK615" s="648" t="n">
        <v>0</v>
      </c>
      <c r="AL615" s="648" t="n">
        <v>0</v>
      </c>
      <c r="AM615" s="421">
        <f>SUM(AB615:AL619)</f>
        <v/>
      </c>
      <c r="AN615" s="726" t="n"/>
      <c r="AQ615" s="1238">
        <f>IFERROR(I615/J615*100,"0")</f>
        <v/>
      </c>
      <c r="AR615" s="343">
        <f>IFERROR(1/(1-(AQ615/100)),"0")</f>
        <v/>
      </c>
      <c r="AS615" s="1239" t="n">
        <v>0</v>
      </c>
      <c r="AT615" s="345" t="n">
        <v>1</v>
      </c>
      <c r="AU615" s="1240" t="n"/>
      <c r="AV615" s="1241" t="n"/>
      <c r="AW615" s="1242">
        <f>+H615-AV615</f>
        <v/>
      </c>
    </row>
    <row r="616" ht="17.25" customHeight="1">
      <c r="A616" s="973" t="n"/>
      <c r="B616" s="971" t="n"/>
      <c r="C616" s="972" t="n"/>
      <c r="D616" s="994"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94"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94"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94"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98" t="n"/>
      <c r="E620" s="975" t="n"/>
      <c r="F620" s="998" t="n"/>
      <c r="G620" s="998" t="n"/>
      <c r="H620" s="975" t="n"/>
      <c r="I620" s="975" t="n"/>
      <c r="J620" s="975" t="n"/>
      <c r="K620" s="1189">
        <f>K615=L620</f>
        <v/>
      </c>
      <c r="L620" s="491">
        <f>SUM(L615:L619)</f>
        <v/>
      </c>
      <c r="M620" s="1190" t="inlineStr">
        <is>
          <t xml:space="preserve">“Verdadero” indica que la cantidad por lote, coincide con el saldo que inicia al mes siguiente. "Falso" no coinicide. </t>
        </is>
      </c>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338" t="n">
        <v>0</v>
      </c>
      <c r="E621" s="339">
        <f>H217</f>
        <v/>
      </c>
      <c r="F621" s="338" t="n">
        <v>0</v>
      </c>
      <c r="G621" s="338" t="n">
        <v>0</v>
      </c>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v>0</v>
      </c>
      <c r="AA621" s="648" t="n">
        <v>0</v>
      </c>
      <c r="AB621" s="649">
        <f>+Z621+AA621</f>
        <v/>
      </c>
      <c r="AC621" s="648" t="n">
        <v>0</v>
      </c>
      <c r="AD621" s="648" t="n">
        <v>0</v>
      </c>
      <c r="AE621" s="648" t="n">
        <v>0</v>
      </c>
      <c r="AF621" s="648" t="n">
        <v>0</v>
      </c>
      <c r="AG621" s="648" t="n">
        <v>0</v>
      </c>
      <c r="AH621" s="648" t="n">
        <v>0</v>
      </c>
      <c r="AI621" s="648" t="n">
        <v>0</v>
      </c>
      <c r="AJ621" s="648" t="n">
        <v>0</v>
      </c>
      <c r="AK621" s="648" t="n">
        <v>0</v>
      </c>
      <c r="AL621" s="648" t="n">
        <v>0</v>
      </c>
      <c r="AM621" s="421">
        <f>SUM(AB621:AL625)</f>
        <v/>
      </c>
      <c r="AN621" s="726" t="n"/>
      <c r="AQ621" s="1238">
        <f>IFERROR(I621/J621*100,"0")</f>
        <v/>
      </c>
      <c r="AR621" s="343">
        <f>IFERROR(1/(1-(AQ621/100)),"0")</f>
        <v/>
      </c>
      <c r="AS621" s="1239" t="n">
        <v>0</v>
      </c>
      <c r="AT621" s="345" t="n">
        <v>1</v>
      </c>
      <c r="AU621" s="1240" t="n"/>
      <c r="AV621" s="1241" t="n"/>
      <c r="AW621" s="1242">
        <f>+H621-AV621</f>
        <v/>
      </c>
    </row>
    <row r="622" ht="17.25" customHeight="1">
      <c r="A622" s="973" t="n"/>
      <c r="B622" s="971" t="n"/>
      <c r="C622" s="972" t="n"/>
      <c r="D622" s="994"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94"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94"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94"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98" t="n"/>
      <c r="E626" s="975" t="n"/>
      <c r="F626" s="998" t="n"/>
      <c r="G626" s="998" t="n"/>
      <c r="H626" s="975" t="n"/>
      <c r="I626" s="975" t="n"/>
      <c r="J626" s="975" t="n"/>
      <c r="K626" s="1189">
        <f>K621=L626</f>
        <v/>
      </c>
      <c r="L626" s="491">
        <f>SUM(L621:L625)</f>
        <v/>
      </c>
      <c r="M626" s="1190" t="inlineStr">
        <is>
          <t xml:space="preserve">“Verdadero” indica que la cantidad por lote, coincide con el saldo que inicia al mes siguiente. "Falso" no coinicide. </t>
        </is>
      </c>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338" t="n">
        <v>0</v>
      </c>
      <c r="E627" s="339">
        <f>H223</f>
        <v/>
      </c>
      <c r="F627" s="338" t="n">
        <v>0</v>
      </c>
      <c r="G627" s="338" t="n">
        <v>0</v>
      </c>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v>0</v>
      </c>
      <c r="AA627" s="648" t="n">
        <v>0</v>
      </c>
      <c r="AB627" s="649">
        <f>+Z627+AA627</f>
        <v/>
      </c>
      <c r="AC627" s="648" t="n">
        <v>0</v>
      </c>
      <c r="AD627" s="648" t="n">
        <v>0</v>
      </c>
      <c r="AE627" s="648" t="n">
        <v>0</v>
      </c>
      <c r="AF627" s="648" t="n">
        <v>0</v>
      </c>
      <c r="AG627" s="648" t="n">
        <v>0</v>
      </c>
      <c r="AH627" s="648" t="n">
        <v>0</v>
      </c>
      <c r="AI627" s="648" t="n">
        <v>0</v>
      </c>
      <c r="AJ627" s="648" t="n">
        <v>0</v>
      </c>
      <c r="AK627" s="648" t="n">
        <v>0</v>
      </c>
      <c r="AL627" s="648" t="n">
        <v>0</v>
      </c>
      <c r="AM627" s="421">
        <f>SUM(AB627:AL631)</f>
        <v/>
      </c>
      <c r="AN627" s="726" t="n"/>
      <c r="AQ627" s="1238">
        <f>IFERROR(I627/J627*100,"0")</f>
        <v/>
      </c>
      <c r="AR627" s="343">
        <f>IFERROR(1/(1-(AQ627/100)),"0")</f>
        <v/>
      </c>
      <c r="AS627" s="1239" t="n">
        <v>0</v>
      </c>
      <c r="AT627" s="345" t="n">
        <v>1</v>
      </c>
      <c r="AU627" s="1240" t="n"/>
      <c r="AV627" s="1241" t="n"/>
      <c r="AW627" s="1242">
        <f>+H627-AV627</f>
        <v/>
      </c>
    </row>
    <row r="628" ht="17.25" customHeight="1">
      <c r="A628" s="973" t="n"/>
      <c r="B628" s="971" t="n"/>
      <c r="C628" s="972" t="n"/>
      <c r="D628" s="994"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94"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94"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94"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98" t="n"/>
      <c r="E632" s="975" t="n"/>
      <c r="F632" s="998" t="n"/>
      <c r="G632" s="998" t="n"/>
      <c r="H632" s="975" t="n"/>
      <c r="I632" s="975" t="n"/>
      <c r="J632" s="975" t="n"/>
      <c r="K632" s="1189">
        <f>K627=L632</f>
        <v/>
      </c>
      <c r="L632" s="491">
        <f>SUM(L627:L631)</f>
        <v/>
      </c>
      <c r="M632" s="1190" t="inlineStr">
        <is>
          <t xml:space="preserve">“Verdadero” indica que la cantidad por lote, coincide con el saldo que inicia al mes siguiente. "Falso" no coinicide. </t>
        </is>
      </c>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533"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338" t="n">
        <v>3950</v>
      </c>
      <c r="E634" s="339">
        <f>H230</f>
        <v/>
      </c>
      <c r="F634" s="338" t="n">
        <v>611</v>
      </c>
      <c r="G634" s="338" t="n">
        <v>37</v>
      </c>
      <c r="H634" s="1235">
        <f>+F634+G634</f>
        <v/>
      </c>
      <c r="I634" s="340">
        <f>+AM634</f>
        <v/>
      </c>
      <c r="J634" s="341">
        <f>+H634+I634</f>
        <v/>
      </c>
      <c r="K634" s="583">
        <f>+(D634+E634)-(J634)</f>
        <v/>
      </c>
      <c r="L634" s="253" t="n">
        <v>20</v>
      </c>
      <c r="M634" s="254" t="inlineStr">
        <is>
          <t>0703S1005</t>
        </is>
      </c>
      <c r="N634" s="254" t="n"/>
      <c r="O634" s="1183" t="inlineStr">
        <is>
          <t>28/02/2027</t>
        </is>
      </c>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v>939</v>
      </c>
      <c r="AA634" s="648" t="n">
        <v>384</v>
      </c>
      <c r="AB634" s="649">
        <f>+Z634+AA634</f>
        <v/>
      </c>
      <c r="AC634" s="648" t="n">
        <v>0</v>
      </c>
      <c r="AD634" s="648" t="n">
        <v>0</v>
      </c>
      <c r="AE634" s="648" t="n">
        <v>0</v>
      </c>
      <c r="AF634" s="648" t="n">
        <v>0</v>
      </c>
      <c r="AG634" s="648" t="n">
        <v>0</v>
      </c>
      <c r="AH634" s="648" t="n">
        <v>0</v>
      </c>
      <c r="AI634" s="648" t="n">
        <v>0</v>
      </c>
      <c r="AJ634" s="648" t="n">
        <v>0</v>
      </c>
      <c r="AK634" s="648" t="n">
        <v>0</v>
      </c>
      <c r="AL634" s="648" t="n">
        <v>0</v>
      </c>
      <c r="AM634" s="421">
        <f>SUM(AB634:AL638)</f>
        <v/>
      </c>
      <c r="AN634" s="726" t="n"/>
      <c r="AU634" s="1240" t="n"/>
      <c r="AV634" s="1240" t="n"/>
    </row>
    <row r="635" ht="17.1" customHeight="1">
      <c r="A635" s="973" t="n"/>
      <c r="B635" s="971" t="n"/>
      <c r="C635" s="972" t="n"/>
      <c r="D635" s="994" t="n"/>
      <c r="E635" s="973" t="n"/>
      <c r="F635" s="994" t="n"/>
      <c r="G635" s="994" t="n"/>
      <c r="H635" s="973" t="n"/>
      <c r="I635" s="973" t="n"/>
      <c r="J635" s="973" t="n"/>
      <c r="K635" s="973" t="n"/>
      <c r="L635" s="253" t="n">
        <v>389</v>
      </c>
      <c r="M635" s="254" t="inlineStr">
        <is>
          <t>0704S4001</t>
        </is>
      </c>
      <c r="N635" s="254" t="n"/>
      <c r="O635" s="1183" t="inlineStr">
        <is>
          <t>31/12/2027</t>
        </is>
      </c>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94" t="n"/>
      <c r="E636" s="973" t="n"/>
      <c r="F636" s="994" t="n"/>
      <c r="G636" s="994" t="n"/>
      <c r="H636" s="973" t="n"/>
      <c r="I636" s="973" t="n"/>
      <c r="J636" s="973" t="n"/>
      <c r="K636" s="973" t="n"/>
      <c r="L636" s="253" t="n">
        <v>1570</v>
      </c>
      <c r="M636" s="254" t="inlineStr">
        <is>
          <t>0704S4011</t>
        </is>
      </c>
      <c r="N636" s="254" t="n"/>
      <c r="O636" s="1183" t="inlineStr">
        <is>
          <t>30/06/2028</t>
        </is>
      </c>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94" t="n"/>
      <c r="E637" s="973" t="n"/>
      <c r="F637" s="994" t="n"/>
      <c r="G637" s="994" t="n"/>
      <c r="H637" s="973" t="n"/>
      <c r="I637" s="973" t="n"/>
      <c r="J637" s="973" t="n"/>
      <c r="K637" s="973" t="n"/>
      <c r="L637" s="253" t="n"/>
      <c r="M637" s="254" t="n"/>
      <c r="N637" s="254" t="n"/>
      <c r="O637" s="1183" t="n"/>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94" t="n"/>
      <c r="E638" s="973" t="n"/>
      <c r="F638" s="994" t="n"/>
      <c r="G638" s="994" t="n"/>
      <c r="H638" s="973" t="n"/>
      <c r="I638" s="973" t="n"/>
      <c r="J638" s="973" t="n"/>
      <c r="K638" s="975" t="n"/>
      <c r="L638" s="253" t="n"/>
      <c r="M638" s="254" t="n"/>
      <c r="N638" s="254" t="n"/>
      <c r="O638" s="1183" t="n"/>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98" t="n"/>
      <c r="E639" s="975" t="n"/>
      <c r="F639" s="998" t="n"/>
      <c r="G639" s="998" t="n"/>
      <c r="H639" s="975" t="n"/>
      <c r="I639" s="975" t="n"/>
      <c r="J639" s="975" t="n"/>
      <c r="K639" s="1189">
        <f>K634=L639</f>
        <v/>
      </c>
      <c r="L639" s="491">
        <f>SUM(L634:L638)</f>
        <v/>
      </c>
      <c r="M639" s="1190" t="inlineStr">
        <is>
          <t xml:space="preserve">“Verdadero” indica que la cantidad por lote, coincide con el saldo que inicia al mes siguiente. "Falso" no coinicide. </t>
        </is>
      </c>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338" t="n">
        <v>4999</v>
      </c>
      <c r="E640" s="339">
        <f>H236</f>
        <v/>
      </c>
      <c r="F640" s="338" t="n">
        <v>1614</v>
      </c>
      <c r="G640" s="338" t="n">
        <v>28</v>
      </c>
      <c r="H640" s="1235">
        <f>+F640+G640</f>
        <v/>
      </c>
      <c r="I640" s="340">
        <f>+AM640</f>
        <v/>
      </c>
      <c r="J640" s="341">
        <f>+H640+I640</f>
        <v/>
      </c>
      <c r="K640" s="583">
        <f>+(D640+E640)-(J640)</f>
        <v/>
      </c>
      <c r="L640" s="253" t="n">
        <v>3351</v>
      </c>
      <c r="M640" s="254" t="inlineStr">
        <is>
          <t>0643S1010</t>
        </is>
      </c>
      <c r="N640" s="254" t="n"/>
      <c r="O640" s="1183" t="inlineStr">
        <is>
          <t>30/04/2028</t>
        </is>
      </c>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v>0</v>
      </c>
      <c r="AA640" s="648" t="n">
        <v>0</v>
      </c>
      <c r="AB640" s="649">
        <f>+Z640+AA640</f>
        <v/>
      </c>
      <c r="AC640" s="648" t="n">
        <v>0</v>
      </c>
      <c r="AD640" s="648" t="n">
        <v>0</v>
      </c>
      <c r="AE640" s="648" t="n">
        <v>0</v>
      </c>
      <c r="AF640" s="648" t="n">
        <v>0</v>
      </c>
      <c r="AG640" s="648" t="n">
        <v>6</v>
      </c>
      <c r="AH640" s="648" t="n">
        <v>0</v>
      </c>
      <c r="AI640" s="648" t="n">
        <v>0</v>
      </c>
      <c r="AJ640" s="648" t="n">
        <v>0</v>
      </c>
      <c r="AK640" s="648" t="n">
        <v>0</v>
      </c>
      <c r="AL640" s="648" t="n">
        <v>0</v>
      </c>
      <c r="AM640" s="421">
        <f>SUM(AB640:AL644)</f>
        <v/>
      </c>
      <c r="AN640" s="726" t="n"/>
      <c r="AU640" s="1240" t="n"/>
      <c r="AV640" s="1240" t="n"/>
    </row>
    <row r="641" ht="17.1" customHeight="1">
      <c r="A641" s="973" t="n"/>
      <c r="B641" s="971" t="n"/>
      <c r="C641" s="972" t="n"/>
      <c r="D641" s="994" t="n"/>
      <c r="E641" s="973" t="n"/>
      <c r="F641" s="994" t="n"/>
      <c r="G641" s="994" t="n"/>
      <c r="H641" s="973" t="n"/>
      <c r="I641" s="973" t="n"/>
      <c r="J641" s="973" t="n"/>
      <c r="K641" s="973" t="n"/>
      <c r="L641" s="253" t="n"/>
      <c r="M641" s="254" t="n"/>
      <c r="N641" s="254" t="n"/>
      <c r="O641" s="1183" t="n"/>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94" t="n"/>
      <c r="E642" s="973" t="n"/>
      <c r="F642" s="994" t="n"/>
      <c r="G642" s="994" t="n"/>
      <c r="H642" s="973" t="n"/>
      <c r="I642" s="973" t="n"/>
      <c r="J642" s="973" t="n"/>
      <c r="K642" s="973" t="n"/>
      <c r="L642" s="253" t="n"/>
      <c r="M642" s="254" t="n"/>
      <c r="N642" s="254" t="n"/>
      <c r="O642" s="1183" t="n"/>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94" t="n"/>
      <c r="E643" s="973" t="n"/>
      <c r="F643" s="994" t="n"/>
      <c r="G643" s="994" t="n"/>
      <c r="H643" s="973" t="n"/>
      <c r="I643" s="973" t="n"/>
      <c r="J643" s="973" t="n"/>
      <c r="K643" s="973" t="n"/>
      <c r="L643" s="253" t="n"/>
      <c r="M643" s="254" t="n"/>
      <c r="N643" s="254" t="n"/>
      <c r="O643" s="1183" t="n"/>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94"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98" t="n"/>
      <c r="E645" s="975" t="n"/>
      <c r="F645" s="998" t="n"/>
      <c r="G645" s="998" t="n"/>
      <c r="H645" s="975" t="n"/>
      <c r="I645" s="975" t="n"/>
      <c r="J645" s="975" t="n"/>
      <c r="K645" s="1189">
        <f>K640=L645</f>
        <v/>
      </c>
      <c r="L645" s="491">
        <f>SUM(L640:L644)</f>
        <v/>
      </c>
      <c r="M645" s="1190" t="inlineStr">
        <is>
          <t xml:space="preserve">“Verdadero” indica que la cantidad por lote, coincide con el saldo que inicia al mes siguiente. "Falso" no coinicide. </t>
        </is>
      </c>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338" t="n">
        <v>0</v>
      </c>
      <c r="E646" s="339">
        <f>H242</f>
        <v/>
      </c>
      <c r="F646" s="338" t="n">
        <v>0</v>
      </c>
      <c r="G646" s="338" t="n">
        <v>0</v>
      </c>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v>0</v>
      </c>
      <c r="AA646" s="648" t="n">
        <v>0</v>
      </c>
      <c r="AB646" s="649">
        <f>+Z646+AA646</f>
        <v/>
      </c>
      <c r="AC646" s="648" t="n">
        <v>0</v>
      </c>
      <c r="AD646" s="648" t="n">
        <v>0</v>
      </c>
      <c r="AE646" s="648" t="n">
        <v>0</v>
      </c>
      <c r="AF646" s="648" t="n">
        <v>0</v>
      </c>
      <c r="AG646" s="648" t="n">
        <v>0</v>
      </c>
      <c r="AH646" s="648" t="n">
        <v>0</v>
      </c>
      <c r="AI646" s="648" t="n">
        <v>0</v>
      </c>
      <c r="AJ646" s="648" t="n">
        <v>0</v>
      </c>
      <c r="AK646" s="648" t="n">
        <v>0</v>
      </c>
      <c r="AL646" s="648" t="n">
        <v>0</v>
      </c>
      <c r="AM646" s="421">
        <f>SUM(AB646:AL650)</f>
        <v/>
      </c>
      <c r="AN646" s="726" t="n"/>
      <c r="AU646" s="1240" t="n"/>
      <c r="AV646" s="1240" t="n"/>
    </row>
    <row r="647" ht="17.1" customHeight="1">
      <c r="A647" s="973" t="n"/>
      <c r="B647" s="971" t="n"/>
      <c r="C647" s="972" t="n"/>
      <c r="D647" s="994"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94"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94"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94"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98" t="n"/>
      <c r="E651" s="975" t="n"/>
      <c r="F651" s="998" t="n"/>
      <c r="G651" s="998" t="n"/>
      <c r="H651" s="975" t="n"/>
      <c r="I651" s="975" t="n"/>
      <c r="J651" s="975" t="n"/>
      <c r="K651" s="1189">
        <f>K646=L651</f>
        <v/>
      </c>
      <c r="L651" s="491">
        <f>SUM(L646:L650)</f>
        <v/>
      </c>
      <c r="M651" s="1190" t="inlineStr">
        <is>
          <t xml:space="preserve">“Verdadero” indica que la cantidad por lote, coincide con el saldo que inicia al mes siguiente. "Falso" no coinicide. </t>
        </is>
      </c>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338" t="n">
        <v>0</v>
      </c>
      <c r="E652" s="339">
        <f>H248</f>
        <v/>
      </c>
      <c r="F652" s="338" t="n">
        <v>0</v>
      </c>
      <c r="G652" s="338" t="n">
        <v>0</v>
      </c>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v>0</v>
      </c>
      <c r="AA652" s="648" t="n">
        <v>0</v>
      </c>
      <c r="AB652" s="649">
        <f>+Z652+AA652</f>
        <v/>
      </c>
      <c r="AC652" s="648" t="n">
        <v>0</v>
      </c>
      <c r="AD652" s="648" t="n">
        <v>0</v>
      </c>
      <c r="AE652" s="648" t="n">
        <v>0</v>
      </c>
      <c r="AF652" s="648" t="n">
        <v>0</v>
      </c>
      <c r="AG652" s="648" t="n">
        <v>0</v>
      </c>
      <c r="AH652" s="648" t="n">
        <v>0</v>
      </c>
      <c r="AI652" s="648" t="n">
        <v>0</v>
      </c>
      <c r="AJ652" s="648" t="n">
        <v>0</v>
      </c>
      <c r="AK652" s="648" t="n">
        <v>0</v>
      </c>
      <c r="AL652" s="648" t="n">
        <v>0</v>
      </c>
      <c r="AM652" s="421">
        <f>SUM(AB652:AL656)</f>
        <v/>
      </c>
      <c r="AN652" s="726" t="n"/>
      <c r="AU652" s="1240" t="n"/>
      <c r="AV652" s="1240" t="n"/>
    </row>
    <row r="653" ht="17.1" customHeight="1">
      <c r="A653" s="973" t="n"/>
      <c r="B653" s="971" t="n"/>
      <c r="C653" s="972" t="n"/>
      <c r="D653" s="994"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94"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94"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94"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98" t="n"/>
      <c r="E657" s="975" t="n"/>
      <c r="F657" s="998" t="n"/>
      <c r="G657" s="998" t="n"/>
      <c r="H657" s="975" t="n"/>
      <c r="I657" s="975" t="n"/>
      <c r="J657" s="975" t="n"/>
      <c r="K657" s="1189">
        <f>K652=L657</f>
        <v/>
      </c>
      <c r="L657" s="491">
        <f>SUM(L652:L656)</f>
        <v/>
      </c>
      <c r="M657" s="1190" t="inlineStr">
        <is>
          <t xml:space="preserve">“Verdadero” indica que la cantidad por lote, coincide con el saldo que inicia al mes siguiente. "Falso" no coinicide. </t>
        </is>
      </c>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338" t="n">
        <v>333</v>
      </c>
      <c r="E658" s="339">
        <f>H254</f>
        <v/>
      </c>
      <c r="F658" s="338" t="n">
        <v>44</v>
      </c>
      <c r="G658" s="338" t="n">
        <v>1</v>
      </c>
      <c r="H658" s="1235">
        <f>+F658+G658</f>
        <v/>
      </c>
      <c r="I658" s="340">
        <f>+AM658</f>
        <v/>
      </c>
      <c r="J658" s="341">
        <f>+H658+I658</f>
        <v/>
      </c>
      <c r="K658" s="583">
        <f>+(D658+E658)-(J658)</f>
        <v/>
      </c>
      <c r="L658" s="253" t="n">
        <v>40</v>
      </c>
      <c r="M658" s="254" t="inlineStr">
        <is>
          <t>0641S4008</t>
        </is>
      </c>
      <c r="N658" s="254" t="n"/>
      <c r="O658" s="1183" t="inlineStr">
        <is>
          <t>31/01/2026</t>
        </is>
      </c>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v>0</v>
      </c>
      <c r="AA658" s="648" t="n">
        <v>0</v>
      </c>
      <c r="AB658" s="649">
        <f>+Z658+AA658</f>
        <v/>
      </c>
      <c r="AC658" s="648" t="n">
        <v>0</v>
      </c>
      <c r="AD658" s="648" t="n">
        <v>0</v>
      </c>
      <c r="AE658" s="648" t="n">
        <v>0</v>
      </c>
      <c r="AF658" s="648" t="n">
        <v>0</v>
      </c>
      <c r="AG658" s="648" t="n">
        <v>0</v>
      </c>
      <c r="AH658" s="648" t="n">
        <v>0</v>
      </c>
      <c r="AI658" s="648" t="n">
        <v>0</v>
      </c>
      <c r="AJ658" s="648" t="n">
        <v>0</v>
      </c>
      <c r="AK658" s="648" t="n">
        <v>0</v>
      </c>
      <c r="AL658" s="648" t="n">
        <v>0</v>
      </c>
      <c r="AM658" s="421">
        <f>SUM(AB658:AL662)</f>
        <v/>
      </c>
      <c r="AN658" s="726" t="n"/>
      <c r="AU658" s="1240" t="n"/>
      <c r="AV658" s="1240" t="n"/>
    </row>
    <row r="659" ht="17.1" customHeight="1">
      <c r="A659" s="973" t="n"/>
      <c r="B659" s="971" t="n"/>
      <c r="C659" s="972" t="n"/>
      <c r="D659" s="994" t="n"/>
      <c r="E659" s="973" t="n"/>
      <c r="F659" s="994" t="n"/>
      <c r="G659" s="994" t="n"/>
      <c r="H659" s="973" t="n"/>
      <c r="I659" s="973" t="n"/>
      <c r="J659" s="973" t="n"/>
      <c r="K659" s="973" t="n"/>
      <c r="L659" s="253" t="n">
        <v>42</v>
      </c>
      <c r="M659" s="254" t="inlineStr">
        <is>
          <t>0641S4009</t>
        </is>
      </c>
      <c r="N659" s="254" t="n"/>
      <c r="O659" s="1183" t="inlineStr">
        <is>
          <t>31/01/2026</t>
        </is>
      </c>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94" t="n"/>
      <c r="E660" s="973" t="n"/>
      <c r="F660" s="994" t="n"/>
      <c r="G660" s="994" t="n"/>
      <c r="H660" s="973" t="n"/>
      <c r="I660" s="973" t="n"/>
      <c r="J660" s="973" t="n"/>
      <c r="K660" s="973" t="n"/>
      <c r="L660" s="253" t="n">
        <v>206</v>
      </c>
      <c r="M660" s="254" t="inlineStr">
        <is>
          <t>0643S4002</t>
        </is>
      </c>
      <c r="N660" s="254" t="n"/>
      <c r="O660" s="1183" t="inlineStr">
        <is>
          <t>30/04/2028</t>
        </is>
      </c>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94" t="n"/>
      <c r="E661" s="973" t="n"/>
      <c r="F661" s="994" t="n"/>
      <c r="G661" s="994" t="n"/>
      <c r="H661" s="973" t="n"/>
      <c r="I661" s="973" t="n"/>
      <c r="J661" s="973" t="n"/>
      <c r="K661" s="973" t="n"/>
      <c r="L661" s="253" t="n"/>
      <c r="M661" s="254" t="n"/>
      <c r="N661" s="254" t="n"/>
      <c r="O661" s="1183" t="n"/>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94"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98" t="n"/>
      <c r="E663" s="975" t="n"/>
      <c r="F663" s="998" t="n"/>
      <c r="G663" s="998" t="n"/>
      <c r="H663" s="975" t="n"/>
      <c r="I663" s="975" t="n"/>
      <c r="J663" s="975" t="n"/>
      <c r="K663" s="1189">
        <f>K658=L663</f>
        <v/>
      </c>
      <c r="L663" s="491">
        <f>SUM(L658:L662)</f>
        <v/>
      </c>
      <c r="M663" s="1190" t="inlineStr">
        <is>
          <t xml:space="preserve">“Verdadero” indica que la cantidad por lote, coincide con el saldo que inicia al mes siguiente. "Falso" no coinicide. </t>
        </is>
      </c>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338" t="n">
        <v>0</v>
      </c>
      <c r="E664" s="339">
        <f>H260</f>
        <v/>
      </c>
      <c r="F664" s="338" t="n">
        <v>0</v>
      </c>
      <c r="G664" s="338" t="n">
        <v>0</v>
      </c>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v>0</v>
      </c>
      <c r="AA664" s="648" t="n">
        <v>0</v>
      </c>
      <c r="AB664" s="649">
        <f>+Z664+AA664</f>
        <v/>
      </c>
      <c r="AC664" s="648" t="n">
        <v>0</v>
      </c>
      <c r="AD664" s="648" t="n">
        <v>0</v>
      </c>
      <c r="AE664" s="648" t="n">
        <v>0</v>
      </c>
      <c r="AF664" s="648" t="n">
        <v>0</v>
      </c>
      <c r="AG664" s="648" t="n">
        <v>0</v>
      </c>
      <c r="AH664" s="648" t="n">
        <v>0</v>
      </c>
      <c r="AI664" s="648" t="n">
        <v>0</v>
      </c>
      <c r="AJ664" s="648" t="n">
        <v>0</v>
      </c>
      <c r="AK664" s="648" t="n">
        <v>0</v>
      </c>
      <c r="AL664" s="648" t="n">
        <v>0</v>
      </c>
      <c r="AM664" s="421">
        <f>SUM(AB664:AL668)</f>
        <v/>
      </c>
      <c r="AN664" s="726" t="n"/>
      <c r="AU664" s="1240" t="n"/>
      <c r="AV664" s="1240" t="n"/>
    </row>
    <row r="665" ht="17.1" customHeight="1">
      <c r="A665" s="973" t="n"/>
      <c r="B665" s="971" t="n"/>
      <c r="C665" s="972" t="n"/>
      <c r="D665" s="994"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94"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94"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94"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98" t="n"/>
      <c r="E669" s="975" t="n"/>
      <c r="F669" s="998" t="n"/>
      <c r="G669" s="998" t="n"/>
      <c r="H669" s="975" t="n"/>
      <c r="I669" s="975" t="n"/>
      <c r="J669" s="975" t="n"/>
      <c r="K669" s="1189">
        <f>K664=L669</f>
        <v/>
      </c>
      <c r="L669" s="491">
        <f>SUM(L664:L668)</f>
        <v/>
      </c>
      <c r="M669" s="1190" t="inlineStr">
        <is>
          <t xml:space="preserve">“Verdadero” indica que la cantidad por lote, coincide con el saldo que inicia al mes siguiente. "Falso" no coinicide. </t>
        </is>
      </c>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338" t="n">
        <v>0</v>
      </c>
      <c r="E670" s="339">
        <f>H266</f>
        <v/>
      </c>
      <c r="F670" s="338" t="n">
        <v>0</v>
      </c>
      <c r="G670" s="338" t="n">
        <v>0</v>
      </c>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v>0</v>
      </c>
      <c r="AA670" s="648" t="n">
        <v>0</v>
      </c>
      <c r="AB670" s="649">
        <f>+Z670+AA670</f>
        <v/>
      </c>
      <c r="AC670" s="648" t="n">
        <v>0</v>
      </c>
      <c r="AD670" s="648" t="n">
        <v>0</v>
      </c>
      <c r="AE670" s="648" t="n">
        <v>0</v>
      </c>
      <c r="AF670" s="648" t="n">
        <v>0</v>
      </c>
      <c r="AG670" s="648" t="n">
        <v>0</v>
      </c>
      <c r="AH670" s="648" t="n">
        <v>0</v>
      </c>
      <c r="AI670" s="648" t="n">
        <v>0</v>
      </c>
      <c r="AJ670" s="648" t="n">
        <v>0</v>
      </c>
      <c r="AK670" s="648" t="n">
        <v>0</v>
      </c>
      <c r="AL670" s="648" t="n">
        <v>0</v>
      </c>
      <c r="AM670" s="421">
        <f>SUM(AB670:AL674)</f>
        <v/>
      </c>
      <c r="AN670" s="726" t="n"/>
      <c r="AU670" s="1240" t="n"/>
      <c r="AV670" s="1240" t="n"/>
    </row>
    <row r="671" ht="17.1" customHeight="1">
      <c r="A671" s="973" t="n"/>
      <c r="B671" s="971" t="n"/>
      <c r="C671" s="972" t="n"/>
      <c r="D671" s="994"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94"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94"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94"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98" t="n"/>
      <c r="E675" s="975" t="n"/>
      <c r="F675" s="998" t="n"/>
      <c r="G675" s="998" t="n"/>
      <c r="H675" s="975" t="n"/>
      <c r="I675" s="975" t="n"/>
      <c r="J675" s="975" t="n"/>
      <c r="K675" s="1189">
        <f>K670=L675</f>
        <v/>
      </c>
      <c r="L675" s="491">
        <f>SUM(L670:L674)</f>
        <v/>
      </c>
      <c r="M675" s="1190" t="inlineStr">
        <is>
          <t xml:space="preserve">“Verdadero” indica que la cantidad por lote, coincide con el saldo que inicia al mes siguiente. "Falso" no coinicide. </t>
        </is>
      </c>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338" t="n">
        <v>32944</v>
      </c>
      <c r="E676" s="339">
        <f>H272</f>
        <v/>
      </c>
      <c r="F676" s="338" t="n">
        <v>2347</v>
      </c>
      <c r="G676" s="338" t="n">
        <v>32</v>
      </c>
      <c r="H676" s="1235">
        <f>+F676+G676</f>
        <v/>
      </c>
      <c r="I676" s="340">
        <f>+AM676</f>
        <v/>
      </c>
      <c r="J676" s="341">
        <f>+H676+I676</f>
        <v/>
      </c>
      <c r="K676" s="583">
        <f>+(D676+E676)-(J676)</f>
        <v/>
      </c>
      <c r="L676" s="253" t="n">
        <v>260</v>
      </c>
      <c r="M676" s="254" t="n">
        <v>63</v>
      </c>
      <c r="N676" s="254" t="n"/>
      <c r="O676" s="1183" t="n"/>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v>2647</v>
      </c>
      <c r="AA676" s="648" t="n">
        <v>560</v>
      </c>
      <c r="AB676" s="649">
        <f>+Z676+AA676</f>
        <v/>
      </c>
      <c r="AC676" s="648" t="n">
        <v>0</v>
      </c>
      <c r="AD676" s="648" t="n">
        <v>0</v>
      </c>
      <c r="AE676" s="648" t="n">
        <v>0</v>
      </c>
      <c r="AF676" s="648" t="n">
        <v>0</v>
      </c>
      <c r="AG676" s="648" t="n">
        <v>0</v>
      </c>
      <c r="AH676" s="648" t="n">
        <v>0</v>
      </c>
      <c r="AI676" s="648" t="n">
        <v>0</v>
      </c>
      <c r="AJ676" s="648" t="n">
        <v>0</v>
      </c>
      <c r="AK676" s="648" t="n">
        <v>0</v>
      </c>
      <c r="AL676" s="648" t="n">
        <v>0</v>
      </c>
      <c r="AM676" s="421">
        <f>SUM(AB676:AL680)</f>
        <v/>
      </c>
      <c r="AN676" s="726" t="n"/>
      <c r="AU676" s="1240" t="n"/>
      <c r="AV676" s="1240" t="n"/>
    </row>
    <row r="677" ht="17.1" customHeight="1">
      <c r="A677" s="973" t="n"/>
      <c r="B677" s="971" t="n"/>
      <c r="C677" s="972" t="n"/>
      <c r="D677" s="994" t="n"/>
      <c r="E677" s="973" t="n"/>
      <c r="F677" s="994" t="n"/>
      <c r="G677" s="994" t="n"/>
      <c r="H677" s="973" t="n"/>
      <c r="I677" s="973" t="n"/>
      <c r="J677" s="973" t="n"/>
      <c r="K677" s="973" t="n"/>
      <c r="L677" s="253" t="n">
        <v>7002</v>
      </c>
      <c r="M677" s="254" t="inlineStr">
        <is>
          <t>0643S1010</t>
        </is>
      </c>
      <c r="N677" s="254" t="n"/>
      <c r="O677" s="1183" t="inlineStr">
        <is>
          <t>30/04/2028</t>
        </is>
      </c>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94" t="n"/>
      <c r="E678" s="973" t="n"/>
      <c r="F678" s="994" t="n"/>
      <c r="G678" s="994" t="n"/>
      <c r="H678" s="973" t="n"/>
      <c r="I678" s="973" t="n"/>
      <c r="J678" s="973" t="n"/>
      <c r="K678" s="973" t="n"/>
      <c r="L678" s="253" t="n">
        <v>10096</v>
      </c>
      <c r="M678" s="254" t="inlineStr">
        <is>
          <t>V4X181V</t>
        </is>
      </c>
      <c r="N678" s="254" t="n"/>
      <c r="O678" s="1183" t="inlineStr">
        <is>
          <t>30/11/2024</t>
        </is>
      </c>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94" t="n"/>
      <c r="E679" s="973" t="n"/>
      <c r="F679" s="994" t="n"/>
      <c r="G679" s="994" t="n"/>
      <c r="H679" s="973" t="n"/>
      <c r="I679" s="973" t="n"/>
      <c r="J679" s="973" t="n"/>
      <c r="K679" s="973" t="n"/>
      <c r="L679" s="253" t="n">
        <v>10</v>
      </c>
      <c r="M679" s="254" t="inlineStr">
        <is>
          <t>Y4X12</t>
        </is>
      </c>
      <c r="N679" s="254" t="n"/>
      <c r="O679" s="1183" t="inlineStr">
        <is>
          <t>30/04/2027</t>
        </is>
      </c>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94" t="n"/>
      <c r="E680" s="973" t="n"/>
      <c r="F680" s="994" t="n"/>
      <c r="G680" s="994" t="n"/>
      <c r="H680" s="973" t="n"/>
      <c r="I680" s="973" t="n"/>
      <c r="J680" s="973" t="n"/>
      <c r="K680" s="975" t="n"/>
      <c r="L680" s="253" t="n">
        <v>9990</v>
      </c>
      <c r="M680" s="254" t="inlineStr">
        <is>
          <t>Y4X16</t>
        </is>
      </c>
      <c r="N680" s="254" t="n"/>
      <c r="O680" s="1183" t="inlineStr">
        <is>
          <t>30/06/2027</t>
        </is>
      </c>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98" t="n"/>
      <c r="E681" s="975" t="n"/>
      <c r="F681" s="998" t="n"/>
      <c r="G681" s="998" t="n"/>
      <c r="H681" s="975" t="n"/>
      <c r="I681" s="975" t="n"/>
      <c r="J681" s="975" t="n"/>
      <c r="K681" s="1189">
        <f>K676=L681</f>
        <v/>
      </c>
      <c r="L681" s="491">
        <f>SUM(L676:L680)</f>
        <v/>
      </c>
      <c r="M681" s="1190" t="inlineStr">
        <is>
          <t xml:space="preserve">“Verdadero” indica que la cantidad por lote, coincide con el saldo que inicia al mes siguiente. "Falso" no coinicide. </t>
        </is>
      </c>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338" t="n">
        <v>4361</v>
      </c>
      <c r="E682" s="339">
        <f>H278</f>
        <v/>
      </c>
      <c r="F682" s="338" t="n">
        <v>1572</v>
      </c>
      <c r="G682" s="338" t="n">
        <v>25</v>
      </c>
      <c r="H682" s="1235">
        <f>+F682+G682</f>
        <v/>
      </c>
      <c r="I682" s="340">
        <f>+AM682</f>
        <v/>
      </c>
      <c r="J682" s="341">
        <f>+H682+I682</f>
        <v/>
      </c>
      <c r="K682" s="583">
        <f>+(D682+E682)-(J682)</f>
        <v/>
      </c>
      <c r="L682" s="253" t="n">
        <v>2742</v>
      </c>
      <c r="M682" s="254" t="inlineStr">
        <is>
          <t>90250603-1</t>
        </is>
      </c>
      <c r="N682" s="254" t="n"/>
      <c r="O682" s="1183" t="inlineStr">
        <is>
          <t>05/06/2029</t>
        </is>
      </c>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v>1</v>
      </c>
      <c r="AA682" s="648" t="n">
        <v>0</v>
      </c>
      <c r="AB682" s="649">
        <f>+Z682+AA682</f>
        <v/>
      </c>
      <c r="AC682" s="648" t="n">
        <v>0</v>
      </c>
      <c r="AD682" s="648" t="n">
        <v>0</v>
      </c>
      <c r="AE682" s="648" t="n">
        <v>1</v>
      </c>
      <c r="AF682" s="648" t="n">
        <v>0</v>
      </c>
      <c r="AG682" s="648" t="n">
        <v>0</v>
      </c>
      <c r="AH682" s="648" t="n">
        <v>0</v>
      </c>
      <c r="AI682" s="648" t="n">
        <v>0</v>
      </c>
      <c r="AJ682" s="648" t="n">
        <v>0</v>
      </c>
      <c r="AK682" s="648" t="n">
        <v>0</v>
      </c>
      <c r="AL682" s="648" t="n">
        <v>0</v>
      </c>
      <c r="AM682" s="421">
        <f>SUM(AB682:AL686)</f>
        <v/>
      </c>
      <c r="AN682" s="726" t="n"/>
      <c r="AU682" s="1240" t="n"/>
      <c r="AV682" s="1240" t="n"/>
    </row>
    <row r="683" ht="17.1" customHeight="1">
      <c r="A683" s="973" t="n"/>
      <c r="B683" s="971" t="n"/>
      <c r="C683" s="972" t="n"/>
      <c r="D683" s="994" t="n"/>
      <c r="E683" s="973" t="n"/>
      <c r="F683" s="994" t="n"/>
      <c r="G683" s="994" t="n"/>
      <c r="H683" s="973" t="n"/>
      <c r="I683" s="973" t="n"/>
      <c r="J683" s="973" t="n"/>
      <c r="K683" s="973" t="n"/>
      <c r="L683" s="253" t="n">
        <v>1</v>
      </c>
      <c r="M683" s="254" t="inlineStr">
        <is>
          <t>Y008218</t>
        </is>
      </c>
      <c r="N683" s="254" t="n"/>
      <c r="O683" s="1183" t="inlineStr">
        <is>
          <t>27/07/2026</t>
        </is>
      </c>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94" t="n"/>
      <c r="E684" s="973" t="n"/>
      <c r="F684" s="994" t="n"/>
      <c r="G684" s="994" t="n"/>
      <c r="H684" s="973" t="n"/>
      <c r="I684" s="973" t="n"/>
      <c r="J684" s="973" t="n"/>
      <c r="K684" s="973" t="n"/>
      <c r="L684" s="253" t="n">
        <v>19</v>
      </c>
      <c r="M684" s="254" t="inlineStr">
        <is>
          <t>Y016553</t>
        </is>
      </c>
      <c r="N684" s="254" t="n"/>
      <c r="O684" s="1183" t="inlineStr">
        <is>
          <t>16/10/2026</t>
        </is>
      </c>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94"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94"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98" t="n"/>
      <c r="E687" s="975" t="n"/>
      <c r="F687" s="998" t="n"/>
      <c r="G687" s="998" t="n"/>
      <c r="H687" s="975" t="n"/>
      <c r="I687" s="975" t="n"/>
      <c r="J687" s="975" t="n"/>
      <c r="K687" s="1189">
        <f>K682=L687</f>
        <v/>
      </c>
      <c r="L687" s="491">
        <f>SUM(L682:L686)</f>
        <v/>
      </c>
      <c r="M687" s="1190" t="inlineStr">
        <is>
          <t xml:space="preserve">“Verdadero” indica que la cantidad por lote, coincide con el saldo que inicia al mes siguiente. "Falso" no coinicide. </t>
        </is>
      </c>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338" t="n">
        <v>338</v>
      </c>
      <c r="E688" s="339">
        <f>H284</f>
        <v/>
      </c>
      <c r="F688" s="338" t="n">
        <v>228</v>
      </c>
      <c r="G688" s="338" t="n">
        <v>23</v>
      </c>
      <c r="H688" s="1235">
        <f>+F688+G688</f>
        <v/>
      </c>
      <c r="I688" s="340">
        <f>+AM688</f>
        <v/>
      </c>
      <c r="J688" s="341">
        <f>+H688+I688</f>
        <v/>
      </c>
      <c r="K688" s="583">
        <f>+(D688+E688)-(J688)</f>
        <v/>
      </c>
      <c r="L688" s="253" t="n">
        <v>11</v>
      </c>
      <c r="M688" s="254" t="inlineStr">
        <is>
          <t>6X2725</t>
        </is>
      </c>
      <c r="N688" s="254" t="n"/>
      <c r="O688" s="1183" t="n"/>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v>0</v>
      </c>
      <c r="AA688" s="648" t="n">
        <v>0</v>
      </c>
      <c r="AB688" s="649">
        <f>+Z688+AA688</f>
        <v/>
      </c>
      <c r="AC688" s="648" t="n">
        <v>0</v>
      </c>
      <c r="AD688" s="648" t="n">
        <v>0</v>
      </c>
      <c r="AE688" s="648" t="n">
        <v>0</v>
      </c>
      <c r="AF688" s="648" t="n">
        <v>0</v>
      </c>
      <c r="AG688" s="648" t="n">
        <v>0</v>
      </c>
      <c r="AH688" s="648" t="n">
        <v>0</v>
      </c>
      <c r="AI688" s="648" t="n">
        <v>0</v>
      </c>
      <c r="AJ688" s="648" t="n">
        <v>0</v>
      </c>
      <c r="AK688" s="648" t="n">
        <v>0</v>
      </c>
      <c r="AL688" s="648" t="n">
        <v>0</v>
      </c>
      <c r="AM688" s="421">
        <f>SUM(AB688:AL692)</f>
        <v/>
      </c>
      <c r="AN688" s="726" t="n"/>
      <c r="AU688" s="1240" t="n"/>
      <c r="AV688" s="1240" t="n"/>
    </row>
    <row r="689" ht="17.1" customHeight="1">
      <c r="A689" s="973" t="n"/>
      <c r="B689" s="971" t="n"/>
      <c r="C689" s="972" t="n"/>
      <c r="D689" s="994" t="n"/>
      <c r="E689" s="973" t="n"/>
      <c r="F689" s="994" t="n"/>
      <c r="G689" s="994" t="n"/>
      <c r="H689" s="973" t="n"/>
      <c r="I689" s="973" t="n"/>
      <c r="J689" s="973" t="n"/>
      <c r="K689" s="973" t="n"/>
      <c r="L689" s="253" t="n">
        <v>76</v>
      </c>
      <c r="M689" s="254" t="inlineStr">
        <is>
          <t>MH8217</t>
        </is>
      </c>
      <c r="N689" s="254" t="n"/>
      <c r="O689" s="1183" t="inlineStr">
        <is>
          <t>30/06/2027</t>
        </is>
      </c>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94" t="n"/>
      <c r="E690" s="973" t="n"/>
      <c r="F690" s="994" t="n"/>
      <c r="G690" s="994" t="n"/>
      <c r="H690" s="973" t="n"/>
      <c r="I690" s="973" t="n"/>
      <c r="J690" s="973" t="n"/>
      <c r="K690" s="973" t="n"/>
      <c r="L690" s="253" t="n"/>
      <c r="M690" s="254" t="n"/>
      <c r="N690" s="254" t="n"/>
      <c r="O690" s="1183" t="n"/>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94" t="n"/>
      <c r="E691" s="973" t="n"/>
      <c r="F691" s="994" t="n"/>
      <c r="G691" s="994" t="n"/>
      <c r="H691" s="973" t="n"/>
      <c r="I691" s="973" t="n"/>
      <c r="J691" s="973" t="n"/>
      <c r="K691" s="973" t="n"/>
      <c r="L691" s="253" t="n"/>
      <c r="M691" s="254" t="n"/>
      <c r="N691" s="254" t="n"/>
      <c r="O691" s="1183" t="n"/>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94" t="n"/>
      <c r="E692" s="973" t="n"/>
      <c r="F692" s="994" t="n"/>
      <c r="G692" s="994" t="n"/>
      <c r="H692" s="973" t="n"/>
      <c r="I692" s="973" t="n"/>
      <c r="J692" s="973" t="n"/>
      <c r="K692" s="975" t="n"/>
      <c r="L692" s="253" t="n"/>
      <c r="M692" s="254" t="n"/>
      <c r="N692" s="254" t="n"/>
      <c r="O692" s="1183" t="n"/>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98" t="n"/>
      <c r="E693" s="975" t="n"/>
      <c r="F693" s="998" t="n"/>
      <c r="G693" s="998" t="n"/>
      <c r="H693" s="975" t="n"/>
      <c r="I693" s="975" t="n"/>
      <c r="J693" s="975" t="n"/>
      <c r="K693" s="1189">
        <f>K688=L693</f>
        <v/>
      </c>
      <c r="L693" s="491">
        <f>SUM(L688:L692)</f>
        <v/>
      </c>
      <c r="M693" s="1190" t="inlineStr">
        <is>
          <t xml:space="preserve">“Verdadero” indica que la cantidad por lote, coincide con el saldo que inicia al mes siguiente. "Falso" no coinicide. </t>
        </is>
      </c>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338" t="n">
        <v>1024</v>
      </c>
      <c r="E694" s="339">
        <f>H290</f>
        <v/>
      </c>
      <c r="F694" s="338" t="n">
        <v>357</v>
      </c>
      <c r="G694" s="338" t="n">
        <v>2</v>
      </c>
      <c r="H694" s="1235">
        <f>+F694+G694</f>
        <v/>
      </c>
      <c r="I694" s="340">
        <f>+AM694</f>
        <v/>
      </c>
      <c r="J694" s="341">
        <f>+H694+I694</f>
        <v/>
      </c>
      <c r="K694" s="583">
        <f>+(D694+E694)-(J694)</f>
        <v/>
      </c>
      <c r="L694" s="253" t="n">
        <v>653</v>
      </c>
      <c r="M694" s="254" t="inlineStr">
        <is>
          <t>0654S4015</t>
        </is>
      </c>
      <c r="N694" s="254" t="n"/>
      <c r="O694" s="1183" t="inlineStr">
        <is>
          <t>31/07/2029</t>
        </is>
      </c>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v>0</v>
      </c>
      <c r="AA694" s="648" t="n">
        <v>0</v>
      </c>
      <c r="AB694" s="649">
        <f>+Z694+AA694</f>
        <v/>
      </c>
      <c r="AC694" s="648" t="n">
        <v>0</v>
      </c>
      <c r="AD694" s="648" t="n">
        <v>0</v>
      </c>
      <c r="AE694" s="648" t="n">
        <v>0</v>
      </c>
      <c r="AF694" s="648" t="n">
        <v>0</v>
      </c>
      <c r="AG694" s="648" t="n">
        <v>0</v>
      </c>
      <c r="AH694" s="648" t="n">
        <v>0</v>
      </c>
      <c r="AI694" s="648" t="n">
        <v>0</v>
      </c>
      <c r="AJ694" s="648" t="n">
        <v>0</v>
      </c>
      <c r="AK694" s="648" t="n">
        <v>0</v>
      </c>
      <c r="AL694" s="648" t="n">
        <v>0</v>
      </c>
      <c r="AM694" s="421">
        <f>SUM(AB694:AL698)</f>
        <v/>
      </c>
      <c r="AN694" s="726" t="n"/>
      <c r="AU694" s="1240" t="n"/>
      <c r="AV694" s="1240" t="n"/>
    </row>
    <row r="695" ht="17.1" customHeight="1">
      <c r="A695" s="973" t="n"/>
      <c r="B695" s="971" t="n"/>
      <c r="C695" s="972" t="n"/>
      <c r="D695" s="994" t="n"/>
      <c r="E695" s="973" t="n"/>
      <c r="F695" s="994" t="n"/>
      <c r="G695" s="994" t="n"/>
      <c r="H695" s="973" t="n"/>
      <c r="I695" s="973" t="n"/>
      <c r="J695" s="973" t="n"/>
      <c r="K695" s="973" t="n"/>
      <c r="L695" s="253" t="n">
        <v>12</v>
      </c>
      <c r="M695" s="254" t="inlineStr">
        <is>
          <t>X3H80</t>
        </is>
      </c>
      <c r="N695" s="254" t="n"/>
      <c r="O695" s="1183" t="inlineStr">
        <is>
          <t>30/06/2026</t>
        </is>
      </c>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94" t="n"/>
      <c r="E696" s="973" t="n"/>
      <c r="F696" s="994" t="n"/>
      <c r="G696" s="994" t="n"/>
      <c r="H696" s="973" t="n"/>
      <c r="I696" s="973" t="n"/>
      <c r="J696" s="973" t="n"/>
      <c r="K696" s="973" t="n"/>
      <c r="L696" s="253" t="n"/>
      <c r="M696" s="254" t="n"/>
      <c r="N696" s="254" t="n"/>
      <c r="O696" s="1183" t="n"/>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94" t="n"/>
      <c r="E697" s="973" t="n"/>
      <c r="F697" s="994" t="n"/>
      <c r="G697" s="994" t="n"/>
      <c r="H697" s="973" t="n"/>
      <c r="I697" s="973" t="n"/>
      <c r="J697" s="973" t="n"/>
      <c r="K697" s="973" t="n"/>
      <c r="L697" s="253" t="n"/>
      <c r="M697" s="254" t="n"/>
      <c r="N697" s="254" t="n"/>
      <c r="O697" s="1183" t="n"/>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94" t="n"/>
      <c r="E698" s="973" t="n"/>
      <c r="F698" s="994" t="n"/>
      <c r="G698" s="994" t="n"/>
      <c r="H698" s="973" t="n"/>
      <c r="I698" s="973" t="n"/>
      <c r="J698" s="973" t="n"/>
      <c r="K698" s="975" t="n"/>
      <c r="L698" s="253" t="n"/>
      <c r="M698" s="254" t="n"/>
      <c r="N698" s="254" t="n"/>
      <c r="O698" s="1183" t="n"/>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98" t="n"/>
      <c r="E699" s="975" t="n"/>
      <c r="F699" s="998" t="n"/>
      <c r="G699" s="998" t="n"/>
      <c r="H699" s="975" t="n"/>
      <c r="I699" s="975" t="n"/>
      <c r="J699" s="975" t="n"/>
      <c r="K699" s="1189">
        <f>K694=L699</f>
        <v/>
      </c>
      <c r="L699" s="491">
        <f>SUM(L694:L698)</f>
        <v/>
      </c>
      <c r="M699" s="1190" t="inlineStr">
        <is>
          <t xml:space="preserve">“Verdadero” indica que la cantidad por lote, coincide con el saldo que inicia al mes siguiente. "Falso" no coinicide. </t>
        </is>
      </c>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338" t="n">
        <v>0</v>
      </c>
      <c r="E700" s="339">
        <f>H296</f>
        <v/>
      </c>
      <c r="F700" s="338" t="n">
        <v>0</v>
      </c>
      <c r="G700" s="338" t="n">
        <v>0</v>
      </c>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v>0</v>
      </c>
      <c r="AA700" s="648" t="n">
        <v>0</v>
      </c>
      <c r="AB700" s="649">
        <f>+Z700+AA700</f>
        <v/>
      </c>
      <c r="AC700" s="648" t="n">
        <v>0</v>
      </c>
      <c r="AD700" s="648" t="n">
        <v>0</v>
      </c>
      <c r="AE700" s="648" t="n">
        <v>0</v>
      </c>
      <c r="AF700" s="648" t="n">
        <v>0</v>
      </c>
      <c r="AG700" s="648" t="n">
        <v>0</v>
      </c>
      <c r="AH700" s="648" t="n">
        <v>0</v>
      </c>
      <c r="AI700" s="648" t="n">
        <v>0</v>
      </c>
      <c r="AJ700" s="648" t="n">
        <v>0</v>
      </c>
      <c r="AK700" s="648" t="n">
        <v>0</v>
      </c>
      <c r="AL700" s="648" t="n">
        <v>0</v>
      </c>
      <c r="AM700" s="421">
        <f>SUM(AB700:AL704)</f>
        <v/>
      </c>
      <c r="AN700" s="726" t="n"/>
      <c r="AU700" s="1240" t="n"/>
      <c r="AV700" s="1240" t="n"/>
    </row>
    <row r="701" ht="17.1" customHeight="1">
      <c r="A701" s="973" t="n"/>
      <c r="B701" s="971" t="n"/>
      <c r="C701" s="972" t="n"/>
      <c r="D701" s="994"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94"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94"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94"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98" t="n"/>
      <c r="E705" s="975" t="n"/>
      <c r="F705" s="998" t="n"/>
      <c r="G705" s="998" t="n"/>
      <c r="H705" s="975" t="n"/>
      <c r="I705" s="975" t="n"/>
      <c r="J705" s="975" t="n"/>
      <c r="K705" s="1189">
        <f>K700=L705</f>
        <v/>
      </c>
      <c r="L705" s="491">
        <f>SUM(L700:L704)</f>
        <v/>
      </c>
      <c r="M705" s="1190" t="inlineStr">
        <is>
          <t xml:space="preserve">“Verdadero” indica que la cantidad por lote, coincide con el saldo que inicia al mes siguiente. "Falso" no coinicide. </t>
        </is>
      </c>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533"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338" t="n">
        <v>21063</v>
      </c>
      <c r="E707" s="339">
        <f>H303</f>
        <v/>
      </c>
      <c r="F707" s="338" t="n">
        <v>4992</v>
      </c>
      <c r="G707" s="338" t="n">
        <v>82</v>
      </c>
      <c r="H707" s="1235">
        <f>+F707+G707</f>
        <v/>
      </c>
      <c r="I707" s="340">
        <f>+AM707</f>
        <v/>
      </c>
      <c r="J707" s="341">
        <f>+H707+I707</f>
        <v/>
      </c>
      <c r="K707" s="583">
        <f>+(D707+E707)-(J707)</f>
        <v/>
      </c>
      <c r="L707" s="253" t="n">
        <v>100</v>
      </c>
      <c r="M707" s="254" t="n">
        <v>192102</v>
      </c>
      <c r="N707" s="254" t="n"/>
      <c r="O707" s="1183" t="n"/>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v>9</v>
      </c>
      <c r="AA707" s="648" t="n">
        <v>0</v>
      </c>
      <c r="AB707" s="649">
        <f>+Z707+AA707</f>
        <v/>
      </c>
      <c r="AC707" s="648" t="n">
        <v>9</v>
      </c>
      <c r="AD707" s="648" t="n">
        <v>0</v>
      </c>
      <c r="AE707" s="648" t="n">
        <v>0</v>
      </c>
      <c r="AF707" s="648" t="n">
        <v>0</v>
      </c>
      <c r="AG707" s="648" t="n">
        <v>0</v>
      </c>
      <c r="AH707" s="648" t="n">
        <v>0</v>
      </c>
      <c r="AI707" s="648" t="n">
        <v>0</v>
      </c>
      <c r="AJ707" s="648" t="n">
        <v>0</v>
      </c>
      <c r="AK707" s="648" t="n">
        <v>0</v>
      </c>
      <c r="AL707" s="648" t="n">
        <v>0</v>
      </c>
      <c r="AM707" s="421">
        <f>SUM(AB707:AL712)</f>
        <v/>
      </c>
      <c r="AN707" s="726" t="n"/>
      <c r="AU707" s="1240" t="n"/>
      <c r="AV707" s="1240" t="n"/>
    </row>
    <row r="708" ht="17.1" customHeight="1">
      <c r="A708" s="973" t="n"/>
      <c r="B708" s="971" t="n"/>
      <c r="C708" s="972" t="n"/>
      <c r="D708" s="994" t="n"/>
      <c r="E708" s="973" t="n"/>
      <c r="F708" s="994" t="n"/>
      <c r="G708" s="994" t="n"/>
      <c r="H708" s="973" t="n"/>
      <c r="I708" s="973" t="n"/>
      <c r="J708" s="973" t="n"/>
      <c r="K708" s="973" t="n"/>
      <c r="L708" s="253" t="n">
        <v>1254</v>
      </c>
      <c r="M708" s="254" t="n">
        <v>192104</v>
      </c>
      <c r="N708" s="254" t="n"/>
      <c r="O708" s="1183" t="n"/>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94" t="n"/>
      <c r="E709" s="973" t="n"/>
      <c r="F709" s="994" t="n"/>
      <c r="G709" s="994" t="n"/>
      <c r="H709" s="973" t="n"/>
      <c r="I709" s="973" t="n"/>
      <c r="J709" s="973" t="n"/>
      <c r="K709" s="973" t="n"/>
      <c r="L709" s="253" t="n">
        <v>321</v>
      </c>
      <c r="M709" s="254" t="n">
        <v>202102</v>
      </c>
      <c r="N709" s="254" t="n"/>
      <c r="O709" s="1183" t="n"/>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94" t="n"/>
      <c r="E710" s="973" t="n"/>
      <c r="F710" s="994" t="n"/>
      <c r="G710" s="994" t="n"/>
      <c r="H710" s="973" t="n"/>
      <c r="I710" s="973" t="n"/>
      <c r="J710" s="973" t="n"/>
      <c r="K710" s="973" t="n"/>
      <c r="L710" s="253" t="n">
        <v>8320</v>
      </c>
      <c r="M710" s="254" t="n">
        <v>252216</v>
      </c>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94" t="n"/>
      <c r="E711" s="973" t="n"/>
      <c r="F711" s="994" t="n"/>
      <c r="G711" s="994" t="n"/>
      <c r="H711" s="973" t="n"/>
      <c r="I711" s="973" t="n"/>
      <c r="J711" s="973" t="n"/>
      <c r="K711" s="973" t="n"/>
      <c r="L711" s="253" t="n">
        <v>5976</v>
      </c>
      <c r="M711" s="254" t="inlineStr">
        <is>
          <t>AR13158</t>
        </is>
      </c>
      <c r="N711" s="254" t="n"/>
      <c r="O711" s="1183" t="inlineStr">
        <is>
          <t>31/03/2027</t>
        </is>
      </c>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94"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98" t="n"/>
      <c r="E713" s="975" t="n"/>
      <c r="F713" s="998" t="n"/>
      <c r="G713" s="998" t="n"/>
      <c r="H713" s="975" t="n"/>
      <c r="I713" s="975" t="n"/>
      <c r="J713" s="975" t="n"/>
      <c r="K713" s="1189">
        <f>K707=L713</f>
        <v/>
      </c>
      <c r="L713" s="491">
        <f>SUM(L707:L712)</f>
        <v/>
      </c>
      <c r="M713" s="1190" t="inlineStr">
        <is>
          <t xml:space="preserve">“Verdadero” indica que la cantidad por lote, coincide con el saldo que inicia al mes siguiente. "Falso" no coinicide. </t>
        </is>
      </c>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338" t="n">
        <v>0</v>
      </c>
      <c r="E714" s="339">
        <f>H310</f>
        <v/>
      </c>
      <c r="F714" s="338" t="n">
        <v>0</v>
      </c>
      <c r="G714" s="338" t="n">
        <v>0</v>
      </c>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v>0</v>
      </c>
      <c r="AA714" s="648" t="n">
        <v>0</v>
      </c>
      <c r="AB714" s="649">
        <f>+Z714+AA714</f>
        <v/>
      </c>
      <c r="AC714" s="648" t="n">
        <v>0</v>
      </c>
      <c r="AD714" s="648" t="n">
        <v>0</v>
      </c>
      <c r="AE714" s="648" t="n">
        <v>0</v>
      </c>
      <c r="AF714" s="648" t="n">
        <v>0</v>
      </c>
      <c r="AG714" s="648" t="n">
        <v>0</v>
      </c>
      <c r="AH714" s="648" t="n">
        <v>0</v>
      </c>
      <c r="AI714" s="648" t="n">
        <v>0</v>
      </c>
      <c r="AJ714" s="648" t="n">
        <v>0</v>
      </c>
      <c r="AK714" s="648" t="n">
        <v>0</v>
      </c>
      <c r="AL714" s="648" t="n">
        <v>0</v>
      </c>
      <c r="AM714" s="421">
        <f>SUM(AB714:AL719)</f>
        <v/>
      </c>
      <c r="AN714" s="726" t="n"/>
      <c r="AU714" s="1240" t="n"/>
      <c r="AV714" s="1240" t="n"/>
    </row>
    <row r="715" ht="17.1" customHeight="1">
      <c r="A715" s="973" t="n"/>
      <c r="B715" s="971" t="n"/>
      <c r="C715" s="972" t="n"/>
      <c r="D715" s="994"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94"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94"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94"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94"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98"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338" t="n">
        <v>9352</v>
      </c>
      <c r="E721" s="339">
        <f>H317</f>
        <v/>
      </c>
      <c r="F721" s="338" t="n">
        <v>1167</v>
      </c>
      <c r="G721" s="338" t="n">
        <v>6</v>
      </c>
      <c r="H721" s="1235">
        <f>+F721+G721</f>
        <v/>
      </c>
      <c r="I721" s="340">
        <f>+AM721</f>
        <v/>
      </c>
      <c r="J721" s="341">
        <f>+H721+I721</f>
        <v/>
      </c>
      <c r="K721" s="583">
        <f>+(D721+E721)-(J721)</f>
        <v/>
      </c>
      <c r="L721" s="253" t="n">
        <v>4923</v>
      </c>
      <c r="M721" s="254" t="n">
        <v>192104</v>
      </c>
      <c r="N721" s="254" t="n"/>
      <c r="O721" s="1183" t="n"/>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v>0</v>
      </c>
      <c r="AA721" s="648" t="n">
        <v>0</v>
      </c>
      <c r="AB721" s="649">
        <f>+Z721+AA721</f>
        <v/>
      </c>
      <c r="AC721" s="648" t="n">
        <v>0</v>
      </c>
      <c r="AD721" s="648" t="n">
        <v>0</v>
      </c>
      <c r="AE721" s="648" t="n">
        <v>0</v>
      </c>
      <c r="AF721" s="648" t="n">
        <v>0</v>
      </c>
      <c r="AG721" s="648" t="n">
        <v>0</v>
      </c>
      <c r="AH721" s="648" t="n">
        <v>0</v>
      </c>
      <c r="AI721" s="648" t="n">
        <v>0</v>
      </c>
      <c r="AJ721" s="648" t="n">
        <v>0</v>
      </c>
      <c r="AK721" s="648" t="n">
        <v>0</v>
      </c>
      <c r="AL721" s="648" t="n">
        <v>0</v>
      </c>
      <c r="AM721" s="421">
        <f>SUM(AB721:AL726)</f>
        <v/>
      </c>
      <c r="AN721" s="726" t="n"/>
      <c r="AU721" s="1240" t="n"/>
      <c r="AV721" s="1240" t="n"/>
    </row>
    <row r="722" ht="17.1" customHeight="1">
      <c r="A722" s="973" t="n"/>
      <c r="B722" s="971" t="n"/>
      <c r="C722" s="972" t="n"/>
      <c r="D722" s="994" t="n"/>
      <c r="E722" s="973" t="n"/>
      <c r="F722" s="994" t="n"/>
      <c r="G722" s="994" t="n"/>
      <c r="H722" s="973" t="n"/>
      <c r="I722" s="973" t="n"/>
      <c r="J722" s="973" t="n"/>
      <c r="K722" s="973" t="n"/>
      <c r="L722" s="253" t="n">
        <v>455</v>
      </c>
      <c r="M722" s="254" t="n">
        <v>252216</v>
      </c>
      <c r="N722" s="254" t="n"/>
      <c r="O722" s="1183" t="n"/>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94" t="n"/>
      <c r="E723" s="973" t="n"/>
      <c r="F723" s="994" t="n"/>
      <c r="G723" s="994" t="n"/>
      <c r="H723" s="973" t="n"/>
      <c r="I723" s="973" t="n"/>
      <c r="J723" s="973" t="n"/>
      <c r="K723" s="973" t="n"/>
      <c r="L723" s="253" t="n">
        <v>655</v>
      </c>
      <c r="M723" s="254" t="inlineStr">
        <is>
          <t>AR13095</t>
        </is>
      </c>
      <c r="N723" s="254" t="n"/>
      <c r="O723" s="1183" t="inlineStr">
        <is>
          <t>30/09/2026</t>
        </is>
      </c>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94" t="n"/>
      <c r="E724" s="973" t="n"/>
      <c r="F724" s="994" t="n"/>
      <c r="G724" s="994" t="n"/>
      <c r="H724" s="973" t="n"/>
      <c r="I724" s="973" t="n"/>
      <c r="J724" s="973" t="n"/>
      <c r="K724" s="973" t="n"/>
      <c r="L724" s="253" t="n">
        <v>2146</v>
      </c>
      <c r="M724" s="254" t="inlineStr">
        <is>
          <t>AR13158</t>
        </is>
      </c>
      <c r="N724" s="254" t="n"/>
      <c r="O724" s="1183" t="inlineStr">
        <is>
          <t>31/03/2027</t>
        </is>
      </c>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94" t="n"/>
      <c r="E725" s="973" t="n"/>
      <c r="F725" s="994" t="n"/>
      <c r="G725" s="994" t="n"/>
      <c r="H725" s="973" t="n"/>
      <c r="I725" s="973" t="n"/>
      <c r="J725" s="973" t="n"/>
      <c r="K725" s="973" t="n"/>
      <c r="L725" s="253" t="n"/>
      <c r="M725" s="254" t="n"/>
      <c r="N725" s="254" t="n"/>
      <c r="O725" s="1183" t="n"/>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94" t="n"/>
      <c r="E726" s="973" t="n"/>
      <c r="F726" s="994" t="n"/>
      <c r="G726" s="994" t="n"/>
      <c r="H726" s="973" t="n"/>
      <c r="I726" s="973" t="n"/>
      <c r="J726" s="973" t="n"/>
      <c r="K726" s="975" t="n"/>
      <c r="L726" s="253" t="n"/>
      <c r="M726" s="254" t="n"/>
      <c r="N726" s="254" t="n"/>
      <c r="O726" s="1183" t="n"/>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98" t="n"/>
      <c r="E727" s="975" t="n"/>
      <c r="F727" s="998" t="n"/>
      <c r="G727" s="998" t="n"/>
      <c r="H727" s="975" t="n"/>
      <c r="I727" s="975" t="n"/>
      <c r="J727" s="975" t="n"/>
      <c r="K727" s="1189">
        <f>K721=L727</f>
        <v/>
      </c>
      <c r="L727" s="491">
        <f>SUM(L721:L726)</f>
        <v/>
      </c>
      <c r="M727" s="1190" t="inlineStr">
        <is>
          <t xml:space="preserve">“Verdadero” indica que la cantidad por lote, coincide con el saldo que inicia al mes siguiente. "Falso" no coinicide. </t>
        </is>
      </c>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338" t="n">
        <v>708</v>
      </c>
      <c r="E728" s="339">
        <f>H324</f>
        <v/>
      </c>
      <c r="F728" s="338" t="n">
        <v>57</v>
      </c>
      <c r="G728" s="338" t="n">
        <v>1</v>
      </c>
      <c r="H728" s="1235">
        <f>+F728+G728</f>
        <v/>
      </c>
      <c r="I728" s="340">
        <f>+AM728</f>
        <v/>
      </c>
      <c r="J728" s="341">
        <f>+H728+I728</f>
        <v/>
      </c>
      <c r="K728" s="583">
        <f>+(D728+E728)-(J728)</f>
        <v/>
      </c>
      <c r="L728" s="253" t="n">
        <v>400</v>
      </c>
      <c r="M728" s="254" t="n">
        <v>252216</v>
      </c>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v>0</v>
      </c>
      <c r="AA728" s="648" t="n">
        <v>0</v>
      </c>
      <c r="AB728" s="649">
        <f>+Z728+AA728</f>
        <v/>
      </c>
      <c r="AC728" s="648" t="n">
        <v>0</v>
      </c>
      <c r="AD728" s="648" t="n">
        <v>0</v>
      </c>
      <c r="AE728" s="648" t="n">
        <v>0</v>
      </c>
      <c r="AF728" s="648" t="n">
        <v>0</v>
      </c>
      <c r="AG728" s="648" t="n">
        <v>0</v>
      </c>
      <c r="AH728" s="648" t="n">
        <v>0</v>
      </c>
      <c r="AI728" s="648" t="n">
        <v>0</v>
      </c>
      <c r="AJ728" s="648" t="n">
        <v>0</v>
      </c>
      <c r="AK728" s="648" t="n">
        <v>0</v>
      </c>
      <c r="AL728" s="648" t="n">
        <v>0</v>
      </c>
      <c r="AM728" s="421">
        <f>SUM(AB728:AL733)</f>
        <v/>
      </c>
      <c r="AN728" s="726" t="n"/>
      <c r="AU728" s="1240" t="n"/>
      <c r="AV728" s="1240" t="n"/>
    </row>
    <row r="729" ht="17.1" customHeight="1">
      <c r="A729" s="973" t="n"/>
      <c r="B729" s="971" t="n"/>
      <c r="C729" s="972" t="n"/>
      <c r="D729" s="994" t="n"/>
      <c r="E729" s="973" t="n"/>
      <c r="F729" s="994" t="n"/>
      <c r="G729" s="994" t="n"/>
      <c r="H729" s="973" t="n"/>
      <c r="I729" s="973" t="n"/>
      <c r="J729" s="973" t="n"/>
      <c r="K729" s="973" t="n"/>
      <c r="L729" s="253" t="n">
        <v>250</v>
      </c>
      <c r="M729" s="254" t="inlineStr">
        <is>
          <t>AR13158</t>
        </is>
      </c>
      <c r="N729" s="254" t="n"/>
      <c r="O729" s="1183" t="inlineStr">
        <is>
          <t>31/03/2027</t>
        </is>
      </c>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94"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94"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94"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94"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98" t="n"/>
      <c r="E734" s="975" t="n"/>
      <c r="F734" s="998" t="n"/>
      <c r="G734" s="998" t="n"/>
      <c r="H734" s="975" t="n"/>
      <c r="I734" s="975" t="n"/>
      <c r="J734" s="975" t="n"/>
      <c r="K734" s="1189">
        <f>K728=L734</f>
        <v/>
      </c>
      <c r="L734" s="491">
        <f>SUM(L728:L733)</f>
        <v/>
      </c>
      <c r="M734" s="1190" t="inlineStr">
        <is>
          <t xml:space="preserve">“Verdadero” indica que la cantidad por lote, coincide con el saldo que inicia al mes siguiente. "Falso" no coinicide. </t>
        </is>
      </c>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338" t="n"/>
      <c r="E735" s="339">
        <f>H331</f>
        <v/>
      </c>
      <c r="F735" s="338" t="n"/>
      <c r="G735" s="338" t="n"/>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c r="AA735" s="648" t="n"/>
      <c r="AB735" s="649">
        <f>+Z735+AA735</f>
        <v/>
      </c>
      <c r="AC735" s="648" t="n"/>
      <c r="AD735" s="648" t="n"/>
      <c r="AE735" s="648" t="n"/>
      <c r="AF735" s="648" t="n"/>
      <c r="AG735" s="648" t="n"/>
      <c r="AH735" s="648" t="n"/>
      <c r="AI735" s="648" t="n"/>
      <c r="AJ735" s="648" t="n"/>
      <c r="AK735" s="648" t="n"/>
      <c r="AL735" s="648" t="n"/>
      <c r="AM735" s="421">
        <f>SUM(AB735:AL740)</f>
        <v/>
      </c>
      <c r="AN735" s="726" t="n"/>
      <c r="AU735" s="1240" t="n"/>
      <c r="AV735" s="1240" t="n"/>
    </row>
    <row r="736" ht="17.1" customHeight="1">
      <c r="A736" s="973" t="n"/>
      <c r="B736" s="971" t="n"/>
      <c r="C736" s="972" t="n"/>
      <c r="D736" s="994"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94"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94"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94"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94"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98" t="n"/>
      <c r="E741" s="975" t="n"/>
      <c r="F741" s="998" t="n"/>
      <c r="G741" s="998" t="n"/>
      <c r="H741" s="975" t="n"/>
      <c r="I741" s="975" t="n"/>
      <c r="J741" s="975" t="n"/>
      <c r="K741" s="1189">
        <f>K735=L741</f>
        <v/>
      </c>
      <c r="L741" s="491">
        <f>SUM(L735:L740)</f>
        <v/>
      </c>
      <c r="M741" s="1190" t="inlineStr">
        <is>
          <t xml:space="preserve">“Verdadero” indica que la cantidad por lote, coincide con el saldo que inicia al mes siguiente. "Falso" no coinicide. </t>
        </is>
      </c>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338" t="n">
        <v>16310</v>
      </c>
      <c r="E742" s="339">
        <f>H338</f>
        <v/>
      </c>
      <c r="F742" s="338" t="n">
        <v>12588</v>
      </c>
      <c r="G742" s="338" t="n">
        <v>143</v>
      </c>
      <c r="H742" s="1235">
        <f>+F742+G742</f>
        <v/>
      </c>
      <c r="I742" s="340">
        <f>+AM742</f>
        <v/>
      </c>
      <c r="J742" s="341">
        <f>+H742+I742</f>
        <v/>
      </c>
      <c r="K742" s="583">
        <f>+(D742+E742)-(J742)</f>
        <v/>
      </c>
      <c r="L742" s="253" t="n">
        <v>100</v>
      </c>
      <c r="M742" s="254" t="n">
        <v>202204</v>
      </c>
      <c r="N742" s="254" t="n"/>
      <c r="O742" s="1183" t="n"/>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v>146</v>
      </c>
      <c r="AA742" s="648" t="n">
        <v>0</v>
      </c>
      <c r="AB742" s="649">
        <f>+Z742+AA742</f>
        <v/>
      </c>
      <c r="AC742" s="648" t="n">
        <v>146</v>
      </c>
      <c r="AD742" s="648" t="n">
        <v>0</v>
      </c>
      <c r="AE742" s="648" t="n">
        <v>0</v>
      </c>
      <c r="AF742" s="648" t="n">
        <v>0</v>
      </c>
      <c r="AG742" s="648" t="n">
        <v>1</v>
      </c>
      <c r="AH742" s="648" t="n">
        <v>0</v>
      </c>
      <c r="AI742" s="648" t="n">
        <v>0</v>
      </c>
      <c r="AJ742" s="648" t="n">
        <v>0</v>
      </c>
      <c r="AK742" s="648" t="n">
        <v>0</v>
      </c>
      <c r="AL742" s="648" t="n">
        <v>0</v>
      </c>
      <c r="AM742" s="421">
        <f>SUM(AB742:AL747)</f>
        <v/>
      </c>
      <c r="AN742" s="726" t="n"/>
      <c r="AU742" s="1240" t="n"/>
      <c r="AV742" s="1240" t="n"/>
    </row>
    <row r="743" ht="17.1" customHeight="1">
      <c r="A743" s="973" t="n"/>
      <c r="B743" s="971" t="n"/>
      <c r="C743" s="972" t="n"/>
      <c r="D743" s="994" t="n"/>
      <c r="E743" s="973" t="n"/>
      <c r="F743" s="994" t="n"/>
      <c r="G743" s="994" t="n"/>
      <c r="H743" s="973" t="n"/>
      <c r="I743" s="973" t="n"/>
      <c r="J743" s="973" t="n"/>
      <c r="K743" s="973" t="n"/>
      <c r="L743" s="253" t="n">
        <v>45</v>
      </c>
      <c r="M743" s="254" t="n">
        <v>20220110</v>
      </c>
      <c r="N743" s="254" t="n"/>
      <c r="O743" s="1183" t="n"/>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94" t="n"/>
      <c r="E744" s="973" t="n"/>
      <c r="F744" s="994" t="n"/>
      <c r="G744" s="994" t="n"/>
      <c r="H744" s="973" t="n"/>
      <c r="I744" s="973" t="n"/>
      <c r="J744" s="973" t="n"/>
      <c r="K744" s="973" t="n"/>
      <c r="L744" s="253" t="n">
        <v>100</v>
      </c>
      <c r="M744" s="254" t="inlineStr">
        <is>
          <t>23FA1</t>
        </is>
      </c>
      <c r="N744" s="254" t="n"/>
      <c r="O744" s="1183" t="inlineStr">
        <is>
          <t>31/05/2028</t>
        </is>
      </c>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94" t="n"/>
      <c r="E745" s="973" t="n"/>
      <c r="F745" s="994" t="n"/>
      <c r="G745" s="994" t="n"/>
      <c r="H745" s="973" t="n"/>
      <c r="I745" s="973" t="n"/>
      <c r="J745" s="973" t="n"/>
      <c r="K745" s="973" t="n"/>
      <c r="L745" s="253" t="n">
        <v>1992</v>
      </c>
      <c r="M745" s="254" t="inlineStr">
        <is>
          <t>AR13133-8</t>
        </is>
      </c>
      <c r="N745" s="254" t="n"/>
      <c r="O745" s="1183" t="inlineStr">
        <is>
          <t>31/03/2027</t>
        </is>
      </c>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94" t="n"/>
      <c r="E746" s="973" t="n"/>
      <c r="F746" s="994" t="n"/>
      <c r="G746" s="994" t="n"/>
      <c r="H746" s="973" t="n"/>
      <c r="I746" s="973" t="n"/>
      <c r="J746" s="973" t="n"/>
      <c r="K746" s="973" t="n"/>
      <c r="L746" s="253" t="n">
        <v>1869</v>
      </c>
      <c r="M746" s="254" t="inlineStr">
        <is>
          <t>CW13132-4</t>
        </is>
      </c>
      <c r="N746" s="254" t="n"/>
      <c r="O746" s="1183" t="inlineStr">
        <is>
          <t>31/01/2027</t>
        </is>
      </c>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94" t="n"/>
      <c r="E747" s="973" t="n"/>
      <c r="F747" s="994" t="n"/>
      <c r="G747" s="994" t="n"/>
      <c r="H747" s="973" t="n"/>
      <c r="I747" s="973" t="n"/>
      <c r="J747" s="973" t="n"/>
      <c r="K747" s="975" t="n"/>
      <c r="L747" s="253" t="n">
        <v>4680</v>
      </c>
      <c r="M747" s="254" t="inlineStr">
        <is>
          <t>CW13132-5</t>
        </is>
      </c>
      <c r="N747" s="254" t="n"/>
      <c r="O747" s="1183" t="inlineStr">
        <is>
          <t>31/01/2027</t>
        </is>
      </c>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98" t="n"/>
      <c r="E748" s="975" t="n"/>
      <c r="F748" s="998" t="n"/>
      <c r="G748" s="998" t="n"/>
      <c r="H748" s="975" t="n"/>
      <c r="I748" s="975" t="n"/>
      <c r="J748" s="975" t="n"/>
      <c r="K748" s="1189">
        <f>K742=L748</f>
        <v/>
      </c>
      <c r="L748" s="491">
        <f>SUM(L742:L747)</f>
        <v/>
      </c>
      <c r="M748" s="1190" t="inlineStr">
        <is>
          <t xml:space="preserve">“Verdadero” indica que la cantidad por lote, coincide con el saldo que inicia al mes siguiente. "Falso" no coinicide. </t>
        </is>
      </c>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338" t="n"/>
      <c r="E749" s="339">
        <f>H345</f>
        <v/>
      </c>
      <c r="F749" s="338" t="n"/>
      <c r="G749" s="338" t="n"/>
      <c r="H749" s="1235">
        <f>+F749+G749</f>
        <v/>
      </c>
      <c r="I749" s="340">
        <f>+AM749</f>
        <v/>
      </c>
      <c r="J749" s="341">
        <f>+H749+I749</f>
        <v/>
      </c>
      <c r="K749" s="583">
        <f>+(D749+E749)-(J749)</f>
        <v/>
      </c>
      <c r="L749" s="253" t="n"/>
      <c r="M749" s="254" t="n"/>
      <c r="N749" s="254" t="n"/>
      <c r="O749" s="1183" t="n"/>
      <c r="P749" s="256">
        <f>IF(O749=0," ",IFERROR(IF(DATEDIF(TODAY(),O749,"M")&lt;=5,"ROJO",IF(DATEDIF(TODAY(),O749,"M")&gt;=12,"VERDE",IF(AND(DATEDIF(TODAY(),O749,"M")&gt;=6,DATEDIF(TODAY(),O749,"M")&lt;=11),"AMARILLO"))),Q749))</f>
        <v/>
      </c>
      <c r="Q749" s="256">
        <f>IF(O749=0," ",IF(O749&lt;=$L$6,"VENCIDO","NO VENCIDO"))</f>
        <v/>
      </c>
      <c r="R749" s="257" t="n"/>
      <c r="S749" s="258" t="n"/>
      <c r="T749" s="258" t="n"/>
      <c r="U749" s="1184" t="n"/>
      <c r="V749" s="1184" t="n"/>
      <c r="W749" s="1236">
        <f>+AR749</f>
        <v/>
      </c>
      <c r="X749" s="1237" t="n"/>
      <c r="Y749" s="232" t="n"/>
      <c r="Z749" s="648" t="n"/>
      <c r="AA749" s="648" t="n"/>
      <c r="AB749" s="649">
        <f>+Z749+AA749</f>
        <v/>
      </c>
      <c r="AC749" s="648" t="n"/>
      <c r="AD749" s="648" t="n"/>
      <c r="AE749" s="648" t="n"/>
      <c r="AF749" s="648" t="n"/>
      <c r="AG749" s="648" t="n"/>
      <c r="AH749" s="648" t="n"/>
      <c r="AI749" s="648" t="n"/>
      <c r="AJ749" s="648" t="n"/>
      <c r="AK749" s="648" t="n"/>
      <c r="AL749" s="648" t="n"/>
      <c r="AM749" s="421">
        <f>SUM(AB749:AL754)</f>
        <v/>
      </c>
      <c r="AN749" s="726" t="n"/>
      <c r="AU749" s="1240" t="n"/>
      <c r="AV749" s="1240" t="n"/>
    </row>
    <row r="750" ht="17.1" customHeight="1">
      <c r="A750" s="973" t="n"/>
      <c r="B750" s="971" t="n"/>
      <c r="C750" s="972" t="n"/>
      <c r="D750" s="994"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94"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94"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94"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94"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98" t="n"/>
      <c r="E755" s="975" t="n"/>
      <c r="F755" s="998" t="n"/>
      <c r="G755" s="998" t="n"/>
      <c r="H755" s="975" t="n"/>
      <c r="I755" s="975" t="n"/>
      <c r="J755" s="975" t="n"/>
      <c r="K755" s="1189">
        <f>K749=L755</f>
        <v/>
      </c>
      <c r="L755" s="491">
        <f>SUM(L749:L754)</f>
        <v/>
      </c>
      <c r="M755" s="1190" t="inlineStr">
        <is>
          <t xml:space="preserve">“Verdadero” indica que la cantidad por lote, coincide con el saldo que inicia al mes siguiente. "Falso" no coinicide. </t>
        </is>
      </c>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338" t="n">
        <v>30493</v>
      </c>
      <c r="E756" s="339">
        <f>H352</f>
        <v/>
      </c>
      <c r="F756" s="338" t="n">
        <v>4750</v>
      </c>
      <c r="G756" s="338" t="n">
        <v>46</v>
      </c>
      <c r="H756" s="1235">
        <f>+F756+G756</f>
        <v/>
      </c>
      <c r="I756" s="340">
        <f>+AM756</f>
        <v/>
      </c>
      <c r="J756" s="341">
        <f>+H756+I756</f>
        <v/>
      </c>
      <c r="K756" s="583">
        <f>+(D756+E756)-(J756)</f>
        <v/>
      </c>
      <c r="L756" s="253" t="n">
        <v>970</v>
      </c>
      <c r="M756" s="254" t="n">
        <v>492117</v>
      </c>
      <c r="N756" s="254" t="n"/>
      <c r="O756" s="1183" t="n"/>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v>26</v>
      </c>
      <c r="AA756" s="648" t="n">
        <v>44</v>
      </c>
      <c r="AB756" s="649">
        <f>+Z756+AA756</f>
        <v/>
      </c>
      <c r="AC756" s="648" t="n">
        <v>70</v>
      </c>
      <c r="AD756" s="648" t="n">
        <v>0</v>
      </c>
      <c r="AE756" s="648" t="n">
        <v>0</v>
      </c>
      <c r="AF756" s="648" t="n">
        <v>0</v>
      </c>
      <c r="AG756" s="648" t="n">
        <v>4</v>
      </c>
      <c r="AH756" s="648" t="n">
        <v>0</v>
      </c>
      <c r="AI756" s="648" t="n">
        <v>0</v>
      </c>
      <c r="AJ756" s="648" t="n">
        <v>0</v>
      </c>
      <c r="AK756" s="648" t="n">
        <v>0</v>
      </c>
      <c r="AL756" s="648" t="n">
        <v>0</v>
      </c>
      <c r="AM756" s="421">
        <f>SUM(AB756:AL761)</f>
        <v/>
      </c>
      <c r="AN756" s="726" t="n"/>
      <c r="AU756" s="1240" t="n"/>
      <c r="AV756" s="1240" t="n"/>
    </row>
    <row r="757" ht="17.1" customHeight="1">
      <c r="A757" s="973" t="n"/>
      <c r="B757" s="971" t="n"/>
      <c r="C757" s="972" t="n"/>
      <c r="D757" s="994" t="n"/>
      <c r="E757" s="973" t="n"/>
      <c r="F757" s="994" t="n"/>
      <c r="G757" s="994" t="n"/>
      <c r="H757" s="973" t="n"/>
      <c r="I757" s="973" t="n"/>
      <c r="J757" s="973" t="n"/>
      <c r="K757" s="973" t="n"/>
      <c r="L757" s="253" t="n">
        <v>136</v>
      </c>
      <c r="M757" s="254" t="n">
        <v>552214</v>
      </c>
      <c r="N757" s="254" t="n"/>
      <c r="O757" s="1183" t="n"/>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94" t="n"/>
      <c r="E758" s="973" t="n"/>
      <c r="F758" s="994" t="n"/>
      <c r="G758" s="994" t="n"/>
      <c r="H758" s="973" t="n"/>
      <c r="I758" s="973" t="n"/>
      <c r="J758" s="973" t="n"/>
      <c r="K758" s="973" t="n"/>
      <c r="L758" s="253" t="n">
        <v>51</v>
      </c>
      <c r="M758" s="254" t="n">
        <v>552217</v>
      </c>
      <c r="N758" s="254" t="n"/>
      <c r="O758" s="1183" t="n"/>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94" t="n"/>
      <c r="E759" s="973" t="n"/>
      <c r="F759" s="994" t="n"/>
      <c r="G759" s="994" t="n"/>
      <c r="H759" s="973" t="n"/>
      <c r="I759" s="973" t="n"/>
      <c r="J759" s="973" t="n"/>
      <c r="K759" s="973" t="n"/>
      <c r="L759" s="253" t="n">
        <v>7328</v>
      </c>
      <c r="M759" s="254" t="n">
        <v>20250903</v>
      </c>
      <c r="N759" s="254" t="n"/>
      <c r="O759" s="1183" t="n"/>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94" t="n"/>
      <c r="E760" s="973" t="n"/>
      <c r="F760" s="994" t="n"/>
      <c r="G760" s="994" t="n"/>
      <c r="H760" s="973" t="n"/>
      <c r="I760" s="973" t="n"/>
      <c r="J760" s="973" t="n"/>
      <c r="K760" s="973" t="n"/>
      <c r="L760" s="253" t="n">
        <v>16968</v>
      </c>
      <c r="M760" s="254" t="inlineStr">
        <is>
          <t>23FA1</t>
        </is>
      </c>
      <c r="N760" s="254" t="n"/>
      <c r="O760" s="1183" t="inlineStr">
        <is>
          <t>31/05/2028</t>
        </is>
      </c>
      <c r="P760" s="256">
        <f>IF(O760=0," ",IFERROR(IF(DATEDIF(TODAY(),O760,"M")&lt;=5,"ROJO",IF(DATEDIF(TODAY(),O760,"M")&gt;=12,"VERDE",IF(AND(DATEDIF(TODAY(),O760,"M")&gt;=6,DATEDIF(TODAY(),O760,"M")&lt;=11),"AMARILLO"))),Q760))</f>
        <v/>
      </c>
      <c r="Q760" s="256">
        <f>IF(O760=0," ",IF(O760&lt;=$L$6,"VENCIDO","NO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94" t="n"/>
      <c r="E761" s="973" t="n"/>
      <c r="F761" s="994" t="n"/>
      <c r="G761" s="994" t="n"/>
      <c r="H761" s="973" t="n"/>
      <c r="I761" s="973" t="n"/>
      <c r="J761" s="973" t="n"/>
      <c r="K761" s="975" t="n"/>
      <c r="L761" s="253" t="n">
        <v>100</v>
      </c>
      <c r="M761" s="254" t="inlineStr">
        <is>
          <t>AR13133-8</t>
        </is>
      </c>
      <c r="N761" s="254" t="n"/>
      <c r="O761" s="1183" t="inlineStr">
        <is>
          <t>31/03/2027</t>
        </is>
      </c>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98"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338" t="n">
        <v>4942</v>
      </c>
      <c r="E763" s="339">
        <f>H359</f>
        <v/>
      </c>
      <c r="F763" s="338" t="n">
        <v>615</v>
      </c>
      <c r="G763" s="338" t="n">
        <v>33</v>
      </c>
      <c r="H763" s="1235">
        <f>+F763+G763</f>
        <v/>
      </c>
      <c r="I763" s="340">
        <f>+AM763</f>
        <v/>
      </c>
      <c r="J763" s="341">
        <f>+H763+I763</f>
        <v/>
      </c>
      <c r="K763" s="583">
        <f>+(D763+E763)-(J763)</f>
        <v/>
      </c>
      <c r="L763" s="253" t="n">
        <v>21</v>
      </c>
      <c r="M763" s="254" t="n">
        <v>582101</v>
      </c>
      <c r="N763" s="254" t="n"/>
      <c r="O763" s="1183" t="n"/>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v>0</v>
      </c>
      <c r="AA763" s="648" t="n">
        <v>0</v>
      </c>
      <c r="AB763" s="649">
        <f>+Z763+AA763</f>
        <v/>
      </c>
      <c r="AC763" s="648" t="n">
        <v>0</v>
      </c>
      <c r="AD763" s="648" t="n">
        <v>0</v>
      </c>
      <c r="AE763" s="648" t="n">
        <v>0</v>
      </c>
      <c r="AF763" s="648" t="n">
        <v>2</v>
      </c>
      <c r="AG763" s="648" t="n">
        <v>26</v>
      </c>
      <c r="AH763" s="648" t="n">
        <v>0</v>
      </c>
      <c r="AI763" s="648" t="n">
        <v>4</v>
      </c>
      <c r="AJ763" s="648" t="n">
        <v>0</v>
      </c>
      <c r="AK763" s="648" t="n">
        <v>0</v>
      </c>
      <c r="AL763" s="648" t="n">
        <v>0</v>
      </c>
      <c r="AM763" s="421">
        <f>SUM(AB763:AL768)</f>
        <v/>
      </c>
      <c r="AN763" s="726" t="n"/>
      <c r="AU763" s="1240" t="n"/>
      <c r="AV763" s="1240" t="n"/>
    </row>
    <row r="764" ht="17.1" customHeight="1">
      <c r="A764" s="973" t="n"/>
      <c r="B764" s="971" t="n"/>
      <c r="C764" s="972" t="n"/>
      <c r="D764" s="994" t="n"/>
      <c r="E764" s="973" t="n"/>
      <c r="F764" s="994" t="n"/>
      <c r="G764" s="994" t="n"/>
      <c r="H764" s="973" t="n"/>
      <c r="I764" s="973" t="n"/>
      <c r="J764" s="973" t="n"/>
      <c r="K764" s="973" t="n"/>
      <c r="L764" s="253" t="n">
        <v>31</v>
      </c>
      <c r="M764" s="254" t="n">
        <v>582102</v>
      </c>
      <c r="N764" s="254" t="n"/>
      <c r="O764" s="1183" t="n"/>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94" t="n"/>
      <c r="E765" s="973" t="n"/>
      <c r="F765" s="994" t="n"/>
      <c r="G765" s="994" t="n"/>
      <c r="H765" s="973" t="n"/>
      <c r="I765" s="973" t="n"/>
      <c r="J765" s="973" t="n"/>
      <c r="K765" s="973" t="n"/>
      <c r="L765" s="253" t="n">
        <v>1769</v>
      </c>
      <c r="M765" s="254" t="n">
        <v>622204</v>
      </c>
      <c r="N765" s="254" t="n"/>
      <c r="O765" s="1183" t="n"/>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94" t="n"/>
      <c r="E766" s="973" t="n"/>
      <c r="F766" s="994" t="n"/>
      <c r="G766" s="994" t="n"/>
      <c r="H766" s="973" t="n"/>
      <c r="I766" s="973" t="n"/>
      <c r="J766" s="973" t="n"/>
      <c r="K766" s="973" t="n"/>
      <c r="L766" s="253" t="n">
        <v>1498</v>
      </c>
      <c r="M766" s="254" t="n">
        <v>662202</v>
      </c>
      <c r="N766" s="254" t="n"/>
      <c r="O766" s="1183" t="n"/>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94" t="n"/>
      <c r="E767" s="973" t="n"/>
      <c r="F767" s="994" t="n"/>
      <c r="G767" s="994" t="n"/>
      <c r="H767" s="973" t="n"/>
      <c r="I767" s="973" t="n"/>
      <c r="J767" s="973" t="n"/>
      <c r="K767" s="973" t="n"/>
      <c r="L767" s="253" t="n">
        <v>943</v>
      </c>
      <c r="M767" s="254" t="n">
        <v>662203</v>
      </c>
      <c r="N767" s="254" t="n"/>
      <c r="O767" s="1183" t="n"/>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94"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98" t="n"/>
      <c r="E769" s="975" t="n"/>
      <c r="F769" s="998" t="n"/>
      <c r="G769" s="998" t="n"/>
      <c r="H769" s="975" t="n"/>
      <c r="I769" s="975" t="n"/>
      <c r="J769" s="975" t="n"/>
      <c r="K769" s="1189">
        <f>K763=L769</f>
        <v/>
      </c>
      <c r="L769" s="491">
        <f>SUM(L763:L768)</f>
        <v/>
      </c>
      <c r="M769" s="1190" t="inlineStr">
        <is>
          <t xml:space="preserve">“Verdadero” indica que la cantidad por lote, coincide con el saldo que inicia al mes siguiente. "Falso" no coinicide. </t>
        </is>
      </c>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338" t="n">
        <v>0</v>
      </c>
      <c r="E770" s="339">
        <f>H366</f>
        <v/>
      </c>
      <c r="F770" s="338" t="n">
        <v>0</v>
      </c>
      <c r="G770" s="338" t="n">
        <v>0</v>
      </c>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v>0</v>
      </c>
      <c r="AA770" s="648" t="n">
        <v>0</v>
      </c>
      <c r="AB770" s="649">
        <f>+Z770+AA770</f>
        <v/>
      </c>
      <c r="AC770" s="648" t="n">
        <v>0</v>
      </c>
      <c r="AD770" s="648" t="n">
        <v>0</v>
      </c>
      <c r="AE770" s="648" t="n">
        <v>0</v>
      </c>
      <c r="AF770" s="648" t="n">
        <v>0</v>
      </c>
      <c r="AG770" s="648" t="n">
        <v>0</v>
      </c>
      <c r="AH770" s="648" t="n">
        <v>0</v>
      </c>
      <c r="AI770" s="648" t="n">
        <v>0</v>
      </c>
      <c r="AJ770" s="648" t="n">
        <v>0</v>
      </c>
      <c r="AK770" s="648" t="n">
        <v>0</v>
      </c>
      <c r="AL770" s="648" t="n">
        <v>0</v>
      </c>
      <c r="AM770" s="421">
        <f>SUM(AB770:AL775)</f>
        <v/>
      </c>
      <c r="AN770" s="726" t="n"/>
      <c r="AU770" s="1240" t="n"/>
      <c r="AV770" s="1240" t="n"/>
    </row>
    <row r="771" ht="17.1" customHeight="1">
      <c r="A771" s="973" t="n"/>
      <c r="B771" s="971" t="n"/>
      <c r="C771" s="972" t="n"/>
      <c r="D771" s="994"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94"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94"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94"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94"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98" t="n"/>
      <c r="E776" s="975" t="n"/>
      <c r="F776" s="998" t="n"/>
      <c r="G776" s="998" t="n"/>
      <c r="H776" s="975" t="n"/>
      <c r="I776" s="975" t="n"/>
      <c r="J776" s="975" t="n"/>
      <c r="K776" s="1189">
        <f>K770=L776</f>
        <v/>
      </c>
      <c r="L776" s="491">
        <f>SUM(L770:L775)</f>
        <v/>
      </c>
      <c r="M776" s="1190" t="inlineStr">
        <is>
          <t xml:space="preserve">“Verdadero” indica que la cantidad por lote, coincide con el saldo que inicia al mes siguiente. "Falso" no coinicide. </t>
        </is>
      </c>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338" t="n">
        <v>2321</v>
      </c>
      <c r="E777" s="339">
        <f>H373</f>
        <v/>
      </c>
      <c r="F777" s="338" t="n">
        <v>864</v>
      </c>
      <c r="G777" s="338" t="n">
        <v>36</v>
      </c>
      <c r="H777" s="576">
        <f>+F777+G777</f>
        <v/>
      </c>
      <c r="I777" s="340">
        <f>+AM777</f>
        <v/>
      </c>
      <c r="J777" s="341">
        <f>+H777+I777</f>
        <v/>
      </c>
      <c r="K777" s="584">
        <f>+(D777+E777)-(J777)</f>
        <v/>
      </c>
      <c r="L777" s="253" t="n"/>
      <c r="M777" s="254" t="n"/>
      <c r="N777" s="254" t="n"/>
      <c r="O777" s="1183" t="n"/>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v>0</v>
      </c>
      <c r="AA777" s="648" t="n">
        <v>0</v>
      </c>
      <c r="AB777" s="649">
        <f>+Z777+AA777</f>
        <v/>
      </c>
      <c r="AC777" s="648" t="n">
        <v>0</v>
      </c>
      <c r="AD777" s="648" t="n">
        <v>0</v>
      </c>
      <c r="AE777" s="648" t="n">
        <v>0</v>
      </c>
      <c r="AF777" s="648" t="n">
        <v>0</v>
      </c>
      <c r="AG777" s="648" t="n">
        <v>0</v>
      </c>
      <c r="AH777" s="648" t="n">
        <v>0</v>
      </c>
      <c r="AI777" s="648" t="n">
        <v>0</v>
      </c>
      <c r="AJ777" s="648" t="n">
        <v>0</v>
      </c>
      <c r="AK777" s="648" t="n">
        <v>0</v>
      </c>
      <c r="AL777" s="648" t="n">
        <v>0</v>
      </c>
      <c r="AM777" s="382">
        <f>SUM(AB777:AL777)</f>
        <v/>
      </c>
      <c r="AN777" s="726" t="n"/>
      <c r="AU777" s="1240" t="n"/>
      <c r="AV777" s="1240" t="n"/>
    </row>
    <row r="778" ht="30" customHeight="1">
      <c r="A778" s="585">
        <f>A777+1</f>
        <v/>
      </c>
      <c r="B778" s="629" t="inlineStr">
        <is>
          <t>Carnet de vacunación adultos</t>
        </is>
      </c>
      <c r="C778" s="967" t="n"/>
      <c r="D778" s="338" t="n">
        <v>27017</v>
      </c>
      <c r="E778" s="339">
        <f>H374</f>
        <v/>
      </c>
      <c r="F778" s="338" t="n">
        <v>3942</v>
      </c>
      <c r="G778" s="338" t="n">
        <v>35</v>
      </c>
      <c r="H778" s="576">
        <f>+F778+G778</f>
        <v/>
      </c>
      <c r="I778" s="340">
        <f>+AM778</f>
        <v/>
      </c>
      <c r="J778" s="341">
        <f>+H778+I778</f>
        <v/>
      </c>
      <c r="K778" s="584">
        <f>+(D778+E778)-(J778)</f>
        <v/>
      </c>
      <c r="L778" s="253" t="n"/>
      <c r="M778" s="254" t="n"/>
      <c r="N778" s="254" t="n"/>
      <c r="O778" s="1183" t="n"/>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v>0</v>
      </c>
      <c r="AA778" s="648" t="n">
        <v>0</v>
      </c>
      <c r="AB778" s="649">
        <f>+Z778+AA778</f>
        <v/>
      </c>
      <c r="AC778" s="648" t="n">
        <v>0</v>
      </c>
      <c r="AD778" s="648" t="n">
        <v>0</v>
      </c>
      <c r="AE778" s="648" t="n">
        <v>0</v>
      </c>
      <c r="AF778" s="648" t="n">
        <v>0</v>
      </c>
      <c r="AG778" s="648" t="n">
        <v>0</v>
      </c>
      <c r="AH778" s="648" t="n">
        <v>0</v>
      </c>
      <c r="AI778" s="648" t="n">
        <v>0</v>
      </c>
      <c r="AJ778" s="648" t="n">
        <v>0</v>
      </c>
      <c r="AK778" s="648" t="n">
        <v>0</v>
      </c>
      <c r="AL778" s="648" t="n">
        <v>0</v>
      </c>
      <c r="AM778" s="382">
        <f>SUM(AB778:AL778)</f>
        <v/>
      </c>
      <c r="AN778" s="726" t="n"/>
      <c r="AU778" s="1240" t="n"/>
      <c r="AV778" s="1240" t="n"/>
    </row>
    <row r="779" ht="30" customHeight="1">
      <c r="A779" s="585">
        <f>A778+1</f>
        <v/>
      </c>
      <c r="B779" s="629" t="inlineStr">
        <is>
          <t>Carnet/Certificado de vacunación (Covid-19)</t>
        </is>
      </c>
      <c r="C779" s="967" t="n"/>
      <c r="D779" s="338" t="n">
        <v>3656</v>
      </c>
      <c r="E779" s="339">
        <f>H375</f>
        <v/>
      </c>
      <c r="F779" s="338" t="n">
        <v>2</v>
      </c>
      <c r="G779" s="338" t="n">
        <v>0</v>
      </c>
      <c r="H779" s="576">
        <f>+F779+G779</f>
        <v/>
      </c>
      <c r="I779" s="340">
        <f>+AM779</f>
        <v/>
      </c>
      <c r="J779" s="341">
        <f>+H779+I779</f>
        <v/>
      </c>
      <c r="K779" s="584">
        <f>+(D779+E779)-(J779)</f>
        <v/>
      </c>
      <c r="L779" s="253" t="n"/>
      <c r="M779" s="254" t="n"/>
      <c r="N779" s="254" t="n"/>
      <c r="O779" s="1183" t="n"/>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v>0</v>
      </c>
      <c r="AA779" s="648" t="n">
        <v>0</v>
      </c>
      <c r="AB779" s="649">
        <f>+Z779+AA779</f>
        <v/>
      </c>
      <c r="AC779" s="648" t="n">
        <v>0</v>
      </c>
      <c r="AD779" s="648" t="n">
        <v>0</v>
      </c>
      <c r="AE779" s="648" t="n">
        <v>0</v>
      </c>
      <c r="AF779" s="648" t="n">
        <v>0</v>
      </c>
      <c r="AG779" s="648" t="n">
        <v>0</v>
      </c>
      <c r="AH779" s="648" t="n">
        <v>0</v>
      </c>
      <c r="AI779" s="648" t="n">
        <v>0</v>
      </c>
      <c r="AJ779" s="648" t="n">
        <v>0</v>
      </c>
      <c r="AK779" s="648" t="n">
        <v>0</v>
      </c>
      <c r="AL779" s="648" t="n">
        <v>0</v>
      </c>
      <c r="AM779" s="382">
        <f>SUM(AB779:AL779)</f>
        <v/>
      </c>
      <c r="AN779" s="726" t="n"/>
      <c r="AU779" s="1240" t="n"/>
      <c r="AV779" s="1240" t="n"/>
    </row>
    <row r="780" ht="30" customHeight="1">
      <c r="A780" s="585">
        <f>A779+1</f>
        <v/>
      </c>
      <c r="B780" s="629" t="inlineStr">
        <is>
          <t>Carne/certificado internacional de vacunación</t>
        </is>
      </c>
      <c r="C780" s="967" t="n"/>
      <c r="D780" s="338" t="n">
        <v>1346</v>
      </c>
      <c r="E780" s="339">
        <f>H376</f>
        <v/>
      </c>
      <c r="F780" s="338" t="n">
        <v>577</v>
      </c>
      <c r="G780" s="338" t="n">
        <v>12</v>
      </c>
      <c r="H780" s="576">
        <f>+F780+G780</f>
        <v/>
      </c>
      <c r="I780" s="340">
        <f>+AM780</f>
        <v/>
      </c>
      <c r="J780" s="341">
        <f>+H780+I780</f>
        <v/>
      </c>
      <c r="K780" s="584">
        <f>+(D780+E780)-(J780)</f>
        <v/>
      </c>
      <c r="L780" s="253" t="n"/>
      <c r="M780" s="254" t="n"/>
      <c r="N780" s="254" t="n"/>
      <c r="O780" s="1183" t="n"/>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v>1</v>
      </c>
      <c r="AA780" s="648" t="n">
        <v>0</v>
      </c>
      <c r="AB780" s="649">
        <f>+Z780+AA780</f>
        <v/>
      </c>
      <c r="AC780" s="648" t="n">
        <v>1</v>
      </c>
      <c r="AD780" s="648" t="n">
        <v>0</v>
      </c>
      <c r="AE780" s="648" t="n">
        <v>0</v>
      </c>
      <c r="AF780" s="648" t="n">
        <v>0</v>
      </c>
      <c r="AG780" s="648" t="n">
        <v>1</v>
      </c>
      <c r="AH780" s="648" t="n">
        <v>0</v>
      </c>
      <c r="AI780" s="648" t="n">
        <v>0</v>
      </c>
      <c r="AJ780" s="648" t="n">
        <v>0</v>
      </c>
      <c r="AK780" s="648" t="n">
        <v>0</v>
      </c>
      <c r="AL780" s="648" t="n">
        <v>0</v>
      </c>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338" t="n">
        <v>75</v>
      </c>
      <c r="E781" s="339">
        <f>H377</f>
        <v/>
      </c>
      <c r="F781" s="338" t="n">
        <v>1</v>
      </c>
      <c r="G781" s="338" t="n">
        <v>0</v>
      </c>
      <c r="H781" s="576">
        <f>+F781+G781</f>
        <v/>
      </c>
      <c r="I781" s="340">
        <f>+AM781</f>
        <v/>
      </c>
      <c r="J781" s="341">
        <f>+H781+I781</f>
        <v/>
      </c>
      <c r="K781" s="584">
        <f>+(D781+E781)-(J781)</f>
        <v/>
      </c>
      <c r="L781" s="253" t="n"/>
      <c r="M781" s="254" t="n"/>
      <c r="N781" s="254" t="n"/>
      <c r="O781" s="1183" t="n"/>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v>0</v>
      </c>
      <c r="AA781" s="648" t="n">
        <v>0</v>
      </c>
      <c r="AB781" s="649">
        <f>+Z781+AA781</f>
        <v/>
      </c>
      <c r="AC781" s="648" t="n">
        <v>0</v>
      </c>
      <c r="AD781" s="648" t="n">
        <v>0</v>
      </c>
      <c r="AE781" s="648" t="n">
        <v>0</v>
      </c>
      <c r="AF781" s="648" t="n">
        <v>0</v>
      </c>
      <c r="AG781" s="648" t="n">
        <v>0</v>
      </c>
      <c r="AH781" s="648" t="n">
        <v>0</v>
      </c>
      <c r="AI781" s="648" t="n">
        <v>0</v>
      </c>
      <c r="AJ781" s="648" t="n">
        <v>0</v>
      </c>
      <c r="AK781" s="648" t="n">
        <v>0</v>
      </c>
      <c r="AL781" s="648" t="n">
        <v>0</v>
      </c>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338" t="n">
        <v>144</v>
      </c>
      <c r="E782" s="339">
        <f>H378</f>
        <v/>
      </c>
      <c r="F782" s="338" t="n">
        <v>1</v>
      </c>
      <c r="G782" s="338" t="n">
        <v>0</v>
      </c>
      <c r="H782" s="576">
        <f>+F782+G782</f>
        <v/>
      </c>
      <c r="I782" s="340">
        <f>+AM782</f>
        <v/>
      </c>
      <c r="J782" s="341">
        <f>+H782+I782</f>
        <v/>
      </c>
      <c r="K782" s="584">
        <f>+(D782+E782)-(J782)</f>
        <v/>
      </c>
      <c r="L782" s="253" t="n"/>
      <c r="M782" s="254" t="n"/>
      <c r="N782" s="254" t="n"/>
      <c r="O782" s="1183" t="n"/>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v>0</v>
      </c>
      <c r="AA782" s="648" t="n">
        <v>0</v>
      </c>
      <c r="AB782" s="649">
        <f>+Z782+AA782</f>
        <v/>
      </c>
      <c r="AC782" s="648" t="n">
        <v>0</v>
      </c>
      <c r="AD782" s="648" t="n">
        <v>0</v>
      </c>
      <c r="AE782" s="648" t="n">
        <v>0</v>
      </c>
      <c r="AF782" s="648" t="n">
        <v>0</v>
      </c>
      <c r="AG782" s="648" t="n">
        <v>0</v>
      </c>
      <c r="AH782" s="648" t="n">
        <v>0</v>
      </c>
      <c r="AI782" s="648" t="n">
        <v>0</v>
      </c>
      <c r="AJ782" s="648" t="n">
        <v>0</v>
      </c>
      <c r="AK782" s="648" t="n">
        <v>0</v>
      </c>
      <c r="AL782" s="648" t="n">
        <v>0</v>
      </c>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338" t="n">
        <v>725</v>
      </c>
      <c r="E783" s="339">
        <f>H379</f>
        <v/>
      </c>
      <c r="F783" s="338" t="n">
        <v>0</v>
      </c>
      <c r="G783" s="338" t="n">
        <v>0</v>
      </c>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v>0</v>
      </c>
      <c r="AA783" s="648" t="n">
        <v>0</v>
      </c>
      <c r="AB783" s="649">
        <f>+Z783+AA783</f>
        <v/>
      </c>
      <c r="AC783" s="648" t="n">
        <v>0</v>
      </c>
      <c r="AD783" s="648" t="n">
        <v>0</v>
      </c>
      <c r="AE783" s="648" t="n">
        <v>0</v>
      </c>
      <c r="AF783" s="648" t="n">
        <v>0</v>
      </c>
      <c r="AG783" s="648" t="n">
        <v>0</v>
      </c>
      <c r="AH783" s="648" t="n">
        <v>0</v>
      </c>
      <c r="AI783" s="648" t="n">
        <v>0</v>
      </c>
      <c r="AJ783" s="648" t="n">
        <v>0</v>
      </c>
      <c r="AK783" s="648" t="n">
        <v>0</v>
      </c>
      <c r="AL783" s="648" t="n">
        <v>0</v>
      </c>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961" t="inlineStr">
        <is>
          <t>ÍTEM</t>
        </is>
      </c>
      <c r="B785" s="569" t="inlineStr">
        <is>
          <t>VACUNA COVID-19</t>
        </is>
      </c>
      <c r="C785" s="965" t="n"/>
      <c r="D785" s="1231" t="inlineStr">
        <is>
          <t>SALDO MES ANTERIOR</t>
        </is>
      </c>
      <c r="E785" s="961" t="inlineStr">
        <is>
          <t>BIOLÓGICO RECIBIDO DEL CENTRO DE ACOPIO DEPARTAMENTAL / DISTRITAL</t>
        </is>
      </c>
      <c r="F785" s="1231" t="inlineStr">
        <is>
          <t>DOSIS APLICADAS</t>
        </is>
      </c>
      <c r="G785" s="967" t="n"/>
      <c r="H785" s="1232" t="inlineStr">
        <is>
          <t>TOTAL DOSIS APLICADAS</t>
        </is>
      </c>
      <c r="I785" s="961" t="inlineStr">
        <is>
          <t>DOSIS PERDIDAS</t>
        </is>
      </c>
      <c r="J785" s="1231" t="inlineStr">
        <is>
          <t>TOTAL DOSIS ÚTILIZADAS EN EL MES</t>
        </is>
      </c>
      <c r="K785" s="623" t="inlineStr">
        <is>
          <t>SALDO QUE INICIA EL MES SIGUIENTE (SOLO MUNICIPIOS)</t>
        </is>
      </c>
      <c r="L785" s="623" t="inlineStr">
        <is>
          <t>DOSIS POR LOTES</t>
        </is>
      </c>
      <c r="M785" s="623" t="inlineStr">
        <is>
          <t xml:space="preserve">No. LOTE </t>
        </is>
      </c>
      <c r="N785" s="623" t="inlineStr">
        <is>
          <t>LABORATORIO</t>
        </is>
      </c>
      <c r="O785" s="623" t="inlineStr">
        <is>
          <t>FECHA DE VENCIMIENTO</t>
        </is>
      </c>
      <c r="P785" s="623" t="inlineStr">
        <is>
          <t>SEMAFORIZACION VIDA  ÚTIL DEL BIOLÓGICO</t>
        </is>
      </c>
      <c r="Q785" s="623" t="inlineStr">
        <is>
          <t>CONDICIÓN FINAL DEL BIOLÓGICO, DILUYENTE Y CARNET</t>
        </is>
      </c>
      <c r="R785" s="613" t="inlineStr">
        <is>
          <t>DOSIS EN CUARENTENA</t>
        </is>
      </c>
      <c r="S785" s="613" t="inlineStr">
        <is>
          <t>LABORATORIO</t>
        </is>
      </c>
      <c r="T785" s="613" t="inlineStr">
        <is>
          <t>No. LOTE</t>
        </is>
      </c>
      <c r="U785" s="613" t="inlineStr">
        <is>
          <t>FECHA DE VENCIMEINTO</t>
        </is>
      </c>
      <c r="V785" s="613" t="inlineStr">
        <is>
          <t>FECHA DE INICIO CUARENTENA</t>
        </is>
      </c>
      <c r="W785" s="613" t="inlineStr">
        <is>
          <t>OBSERVACIONES</t>
        </is>
      </c>
      <c r="X785" s="351" t="n"/>
      <c r="Y785" s="232" t="n"/>
      <c r="Z785" s="1221" t="inlineStr">
        <is>
          <t>MOTIVOS DE NO USO DE VACUNAS CONTRA LA COVID-19
RESOLUCIÓN 0118 DEL 27 DE ENERO DE 2026
DISPONIBLE EN EL SIGUIENTE LINK: https://www.minsalud.gov.co/Normatividad_Nuevo/Resolucion%20No%20118%20de%202026.pdf</t>
        </is>
      </c>
      <c r="AA785" s="968" t="n"/>
      <c r="AB785" s="968" t="n"/>
      <c r="AC785" s="968" t="n"/>
      <c r="AD785" s="968" t="n"/>
      <c r="AE785" s="968" t="n"/>
      <c r="AF785" s="968" t="n"/>
      <c r="AG785" s="968" t="n"/>
      <c r="AH785" s="968" t="n"/>
      <c r="AI785" s="968" t="n"/>
      <c r="AJ785" s="968" t="n"/>
      <c r="AK785" s="968" t="n"/>
      <c r="AL785" s="967" t="n"/>
      <c r="AM785" s="532" t="inlineStr">
        <is>
          <t xml:space="preserve">TOTAL DOSIS PERDIDAS        </t>
        </is>
      </c>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inlineStr">
        <is>
          <t>POLÍTICA DE FRASCOS ABIERTO</t>
        </is>
      </c>
      <c r="AA787" s="967" t="n"/>
      <c r="AB787" s="1222" t="inlineStr">
        <is>
          <t>INTERRUPCIÓN DE LA CADENA DE FRÍO</t>
        </is>
      </c>
      <c r="AC787" s="537" t="inlineStr">
        <is>
          <t>CONTAMINACIÓN DEL BIOLÓGICO</t>
        </is>
      </c>
      <c r="AD787" s="1222" t="inlineStr">
        <is>
          <t>ERROR EN LA MANIPULACIÓN</t>
        </is>
      </c>
      <c r="AE787" s="537" t="inlineStr">
        <is>
          <t>ERROR EN LA RECONSTITUCIÓN/DILUCIÓN</t>
        </is>
      </c>
      <c r="AF787" s="1222" t="inlineStr">
        <is>
          <t>ERROR EN LA DOSIFICACIÓN</t>
        </is>
      </c>
      <c r="AG787" s="537" t="inlineStr">
        <is>
          <t>VACUNA QUE EXCEDE EL TIEMPO DE ALMACENAMIENTO EN REFRIGERACIÓN</t>
        </is>
      </c>
      <c r="AH787" s="1222" t="inlineStr">
        <is>
          <t>VENCIMIENTO DEL BIOLÓGICO</t>
        </is>
      </c>
      <c r="AI787" s="537" t="inlineStr">
        <is>
          <t>FRASCO VIAL ROTO</t>
        </is>
      </c>
      <c r="AJ787" s="1222" t="inlineStr">
        <is>
          <t>FALLAS DE FABRICACIÓN/CALIDAD</t>
        </is>
      </c>
      <c r="AK787" s="537" t="inlineStr">
        <is>
          <t>SINIESTRO / ACCIDENTE</t>
        </is>
      </c>
      <c r="AL787" s="1222" t="inlineStr">
        <is>
          <t>ROBO/HURTO BIOLÓGICO</t>
        </is>
      </c>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inlineStr">
        <is>
          <t>INSTITUCIONAL</t>
        </is>
      </c>
      <c r="AA788" s="497" t="inlineStr">
        <is>
          <t>EXTRAMURAL</t>
        </is>
      </c>
      <c r="AB788" s="975" t="n"/>
      <c r="AC788" s="975" t="n"/>
      <c r="AD788" s="975" t="n"/>
      <c r="AE788" s="975" t="n"/>
      <c r="AF788" s="975" t="n"/>
      <c r="AG788" s="975" t="n"/>
      <c r="AH788" s="975" t="n"/>
      <c r="AI788" s="975" t="n"/>
      <c r="AJ788" s="975" t="n"/>
      <c r="AK788" s="975" t="n"/>
      <c r="AL788" s="975" t="n"/>
      <c r="AM788" s="975" t="n"/>
      <c r="AN788" s="368" t="n"/>
      <c r="AO788" s="368" t="n"/>
      <c r="AP788" s="416" t="n"/>
      <c r="AQ788" s="546" t="inlineStr">
        <is>
          <t>PORCENTAJE DE PERDIDA DEL MES
%</t>
        </is>
      </c>
      <c r="AR788" s="546" t="inlineStr">
        <is>
          <t>FACTOR DE PERDIDA DEL MES</t>
        </is>
      </c>
      <c r="AS788" s="420" t="inlineStr">
        <is>
          <t>% DE PERDIDA DEL MSPS</t>
        </is>
      </c>
      <c r="AT788" s="420" t="inlineStr">
        <is>
          <t>DOSIS POR VIAL</t>
        </is>
      </c>
      <c r="AV788" s="1240" t="n"/>
      <c r="AW788" s="1240" t="n"/>
    </row>
    <row r="789" ht="19.5" customHeight="1">
      <c r="A789" s="585" t="n">
        <v>1</v>
      </c>
      <c r="B789" s="1249" t="inlineStr">
        <is>
          <t>MODERNA ADULTO</t>
        </is>
      </c>
      <c r="C789" s="965" t="n"/>
      <c r="D789" s="731" t="n">
        <v>0</v>
      </c>
      <c r="E789" s="339">
        <f>H385</f>
        <v/>
      </c>
      <c r="F789" s="731" t="n">
        <v>0</v>
      </c>
      <c r="G789" s="731" t="n">
        <v>0</v>
      </c>
      <c r="H789" s="1235">
        <f>SUM(F789,G789)</f>
        <v/>
      </c>
      <c r="I789" s="340">
        <f>+AM789</f>
        <v/>
      </c>
      <c r="J789" s="341">
        <f>+H789+I789</f>
        <v/>
      </c>
      <c r="K789" s="583">
        <f>+(D789+E789)-(J789)</f>
        <v/>
      </c>
      <c r="L789" s="486" t="n"/>
      <c r="M789" s="487" t="n"/>
      <c r="N789" s="487" t="n"/>
      <c r="O789" s="1223" t="n"/>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c r="AA789" s="648" t="n"/>
      <c r="AB789" s="648" t="n"/>
      <c r="AC789" s="648" t="n"/>
      <c r="AD789" s="648" t="n"/>
      <c r="AE789" s="648" t="n"/>
      <c r="AF789" s="648" t="n"/>
      <c r="AG789" s="648" t="n"/>
      <c r="AH789" s="648" t="n"/>
      <c r="AI789" s="648" t="n"/>
      <c r="AJ789" s="648" t="n"/>
      <c r="AK789" s="648" t="n"/>
      <c r="AL789" s="648" t="n"/>
      <c r="AM789" s="573">
        <f>SUM(Z789:AL792)</f>
        <v/>
      </c>
      <c r="AN789" s="693" t="n"/>
      <c r="AO789" s="485" t="n"/>
      <c r="AP789" s="416" t="n"/>
      <c r="AQ789" s="1238">
        <f>IFERROR(I789/J789*100,"0")</f>
        <v/>
      </c>
      <c r="AR789" s="1238">
        <f>IFERROR(1/(1-(AQ789/100)),"0")</f>
        <v/>
      </c>
      <c r="AS789" s="1238" t="n">
        <v>0</v>
      </c>
      <c r="AT789" s="345" t="n">
        <v>5</v>
      </c>
      <c r="AU789" s="1240" t="n"/>
      <c r="AV789" s="1240" t="n"/>
    </row>
    <row r="790" ht="19.5" customHeight="1">
      <c r="A790" s="973" t="n"/>
      <c r="B790" s="971" t="n"/>
      <c r="C790" s="972" t="n"/>
      <c r="D790" s="994"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94"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94"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98" t="n"/>
      <c r="E793" s="975" t="n"/>
      <c r="F793" s="998" t="n"/>
      <c r="G793" s="998" t="n"/>
      <c r="H793" s="975" t="n"/>
      <c r="I793" s="975" t="n"/>
      <c r="J793" s="975" t="n"/>
      <c r="K793" s="1189">
        <f>K789=L793</f>
        <v/>
      </c>
      <c r="L793" s="491">
        <f>SUM(L789:L792)</f>
        <v/>
      </c>
      <c r="M793" s="1190" t="inlineStr">
        <is>
          <t xml:space="preserve">“Verdadero” indica que la cantidad por lote, coincide con el saldo que inicia al mes siguiente. "Falso" no coinicide. </t>
        </is>
      </c>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731" t="n">
        <v>0</v>
      </c>
      <c r="E794" s="339">
        <f>H390</f>
        <v/>
      </c>
      <c r="F794" s="731" t="n">
        <v>0</v>
      </c>
      <c r="G794" s="731" t="n">
        <v>0</v>
      </c>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c r="AA794" s="648" t="n"/>
      <c r="AB794" s="648" t="n"/>
      <c r="AC794" s="648" t="n"/>
      <c r="AD794" s="648" t="n"/>
      <c r="AE794" s="648" t="n"/>
      <c r="AF794" s="648" t="n"/>
      <c r="AG794" s="648" t="n"/>
      <c r="AH794" s="648" t="n"/>
      <c r="AI794" s="648" t="n"/>
      <c r="AJ794" s="648" t="n"/>
      <c r="AK794" s="648" t="n"/>
      <c r="AL794" s="648" t="n"/>
      <c r="AM794" s="573">
        <f>SUM(Z794:AL797)</f>
        <v/>
      </c>
      <c r="AN794" s="693" t="n"/>
      <c r="AO794" s="485" t="n"/>
      <c r="AP794" s="416" t="n"/>
      <c r="AQ794" s="1238">
        <f>IFERROR(I794/J794*100,"0")</f>
        <v/>
      </c>
      <c r="AR794" s="1238">
        <f>IFERROR(1/(1-(AQ794/100)),"0")</f>
        <v/>
      </c>
      <c r="AS794" s="1238" t="n">
        <v>0</v>
      </c>
      <c r="AT794" s="345" t="n">
        <v>10</v>
      </c>
      <c r="AU794" s="1240" t="n"/>
      <c r="AV794" s="1240" t="n"/>
    </row>
    <row r="795" ht="19.5" customHeight="1">
      <c r="A795" s="973" t="n"/>
      <c r="B795" s="971" t="n"/>
      <c r="C795" s="972" t="n"/>
      <c r="D795" s="994"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94"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94"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98" t="n"/>
      <c r="E798" s="975" t="n"/>
      <c r="F798" s="998" t="n"/>
      <c r="G798" s="998" t="n"/>
      <c r="H798" s="975" t="n"/>
      <c r="I798" s="975" t="n"/>
      <c r="J798" s="975" t="n"/>
      <c r="K798" s="1189">
        <f>K794=L798</f>
        <v/>
      </c>
      <c r="L798" s="491">
        <f>SUM(L794:L797)</f>
        <v/>
      </c>
      <c r="M798" s="1190" t="inlineStr">
        <is>
          <t xml:space="preserve">“Verdadero” indica que la cantidad por lote, coincide con el saldo que inicia al mes siguiente. "Falso" no coinicide. </t>
        </is>
      </c>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731" t="n">
        <v>151</v>
      </c>
      <c r="E799" s="339">
        <f>H395</f>
        <v/>
      </c>
      <c r="F799" s="731" t="n">
        <v>27</v>
      </c>
      <c r="G799" s="731" t="n">
        <v>3</v>
      </c>
      <c r="H799" s="1235">
        <f>SUM(F799,G799)</f>
        <v/>
      </c>
      <c r="I799" s="340">
        <f>+AM799</f>
        <v/>
      </c>
      <c r="J799" s="341">
        <f>+H799+I799</f>
        <v/>
      </c>
      <c r="K799" s="583">
        <f>+(D799+E799)-(J799)</f>
        <v/>
      </c>
      <c r="L799" s="486" t="n"/>
      <c r="M799" s="487" t="n"/>
      <c r="N799" s="487" t="n"/>
      <c r="O799" s="1223" t="n"/>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v>62</v>
      </c>
      <c r="AA799" s="648" t="n">
        <v>10</v>
      </c>
      <c r="AB799" s="648" t="n">
        <v>0</v>
      </c>
      <c r="AC799" s="648" t="n">
        <v>0</v>
      </c>
      <c r="AD799" s="648" t="n">
        <v>0</v>
      </c>
      <c r="AE799" s="648" t="n">
        <v>0</v>
      </c>
      <c r="AF799" s="648" t="n">
        <v>0</v>
      </c>
      <c r="AG799" s="648" t="n">
        <v>42</v>
      </c>
      <c r="AH799" s="648" t="n">
        <v>7</v>
      </c>
      <c r="AI799" s="648" t="n">
        <v>0</v>
      </c>
      <c r="AJ799" s="648" t="n">
        <v>0</v>
      </c>
      <c r="AK799" s="648" t="n">
        <v>0</v>
      </c>
      <c r="AL799" s="648" t="n">
        <v>0</v>
      </c>
      <c r="AM799" s="573">
        <f>SUM(Z799:AL802)</f>
        <v/>
      </c>
      <c r="AN799" s="693" t="n"/>
      <c r="AO799" s="485" t="n"/>
      <c r="AP799" s="416" t="n"/>
      <c r="AQ799" s="1238">
        <f>IFERROR(I799/J799*100,"0")</f>
        <v/>
      </c>
      <c r="AR799" s="1238">
        <f>IFERROR(1/(1-(AQ799/100)),"0")</f>
        <v/>
      </c>
      <c r="AS799" s="1238" t="n">
        <v>0</v>
      </c>
      <c r="AT799" s="345" t="n">
        <v>6</v>
      </c>
      <c r="AU799" s="1240" t="n"/>
      <c r="AV799" s="1240" t="n"/>
    </row>
    <row r="800" ht="19.5" customHeight="1">
      <c r="A800" s="973" t="n"/>
      <c r="B800" s="971" t="n"/>
      <c r="C800" s="972" t="n"/>
      <c r="D800" s="994"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94"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94"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98" t="n"/>
      <c r="E803" s="975" t="n"/>
      <c r="F803" s="998" t="n"/>
      <c r="G803" s="998" t="n"/>
      <c r="H803" s="975" t="n"/>
      <c r="I803" s="975" t="n"/>
      <c r="J803" s="975" t="n"/>
      <c r="K803" s="1189">
        <f>K799=L803</f>
        <v/>
      </c>
      <c r="L803" s="491">
        <f>SUM(L799:L802)</f>
        <v/>
      </c>
      <c r="M803" s="1190" t="inlineStr">
        <is>
          <t xml:space="preserve">“Verdadero” indica que la cantidad por lote, coincide con el saldo que inicia al mes siguiente. "Falso" no coinicide. </t>
        </is>
      </c>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731" t="n">
        <v>18</v>
      </c>
      <c r="E804" s="339">
        <f>H400</f>
        <v/>
      </c>
      <c r="F804" s="731" t="n">
        <v>7</v>
      </c>
      <c r="G804" s="731" t="n">
        <v>0</v>
      </c>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v>5</v>
      </c>
      <c r="AA804" s="648" t="n">
        <v>0</v>
      </c>
      <c r="AB804" s="648" t="n">
        <v>0</v>
      </c>
      <c r="AC804" s="648" t="n">
        <v>0</v>
      </c>
      <c r="AD804" s="648" t="n">
        <v>0</v>
      </c>
      <c r="AE804" s="648" t="n">
        <v>0</v>
      </c>
      <c r="AF804" s="648" t="n">
        <v>0</v>
      </c>
      <c r="AG804" s="648" t="n">
        <v>0</v>
      </c>
      <c r="AH804" s="648" t="n">
        <v>6</v>
      </c>
      <c r="AI804" s="648" t="n">
        <v>0</v>
      </c>
      <c r="AJ804" s="648" t="n">
        <v>0</v>
      </c>
      <c r="AK804" s="648" t="n">
        <v>0</v>
      </c>
      <c r="AL804" s="648" t="n">
        <v>0</v>
      </c>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94"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94"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94"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98" t="n"/>
      <c r="E808" s="975" t="n"/>
      <c r="F808" s="998" t="n"/>
      <c r="G808" s="998" t="n"/>
      <c r="H808" s="975" t="n"/>
      <c r="I808" s="975" t="n"/>
      <c r="J808" s="975" t="n"/>
      <c r="K808" s="1189">
        <f>K804=L808</f>
        <v/>
      </c>
      <c r="L808" s="491">
        <f>SUM(L804:L807)</f>
        <v/>
      </c>
      <c r="M808" s="1190" t="inlineStr">
        <is>
          <t xml:space="preserve">“Verdadero” indica que la cantidad por lote, coincide con el saldo que inicia al mes siguiente. "Falso" no coinicide. </t>
        </is>
      </c>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731" t="n">
        <v>0</v>
      </c>
      <c r="E809" s="339">
        <f>H405</f>
        <v/>
      </c>
      <c r="F809" s="731" t="n">
        <v>0</v>
      </c>
      <c r="G809" s="731" t="n">
        <v>0</v>
      </c>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v>0</v>
      </c>
      <c r="AA809" s="648" t="n">
        <v>0</v>
      </c>
      <c r="AB809" s="648" t="n">
        <v>0</v>
      </c>
      <c r="AC809" s="648" t="n">
        <v>0</v>
      </c>
      <c r="AD809" s="648" t="n">
        <v>0</v>
      </c>
      <c r="AE809" s="648" t="n">
        <v>0</v>
      </c>
      <c r="AF809" s="648" t="n">
        <v>0</v>
      </c>
      <c r="AG809" s="648" t="n">
        <v>0</v>
      </c>
      <c r="AH809" s="648" t="n">
        <v>0</v>
      </c>
      <c r="AI809" s="648" t="n">
        <v>0</v>
      </c>
      <c r="AJ809" s="648" t="n">
        <v>0</v>
      </c>
      <c r="AK809" s="648" t="n">
        <v>0</v>
      </c>
      <c r="AL809" s="648" t="n">
        <v>0</v>
      </c>
      <c r="AM809" s="573">
        <f>SUM(Z809:AL812)</f>
        <v/>
      </c>
      <c r="AN809" s="693" t="n"/>
      <c r="AO809" s="485" t="n"/>
      <c r="AP809" s="416" t="n"/>
      <c r="AQ809" s="1238">
        <f>IFERROR(I809/J809*100,"0")</f>
        <v/>
      </c>
      <c r="AR809" s="1238">
        <f>IFERROR(1/(1-(AQ809/100)),"0")</f>
        <v/>
      </c>
      <c r="AS809" s="1238" t="n">
        <v>0</v>
      </c>
      <c r="AT809" s="345" t="n"/>
      <c r="AU809" s="1240" t="n"/>
      <c r="AV809" s="1240" t="n"/>
    </row>
    <row r="810" ht="19.5" customHeight="1">
      <c r="A810" s="973" t="n"/>
      <c r="B810" s="971" t="n"/>
      <c r="C810" s="972" t="n"/>
      <c r="D810" s="994"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94"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94"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98" t="n"/>
      <c r="E813" s="975" t="n"/>
      <c r="F813" s="998" t="n"/>
      <c r="G813" s="998" t="n"/>
      <c r="H813" s="975" t="n"/>
      <c r="I813" s="975" t="n"/>
      <c r="J813" s="975" t="n"/>
      <c r="K813" s="1189">
        <f>K809=L813</f>
        <v/>
      </c>
      <c r="L813" s="491">
        <f>SUM(L809:L812)</f>
        <v/>
      </c>
      <c r="M813" s="1190" t="inlineStr">
        <is>
          <t xml:space="preserve">“Verdadero” indica que la cantidad por lote, coincide con el saldo que inicia al mes siguiente. "Falso" no coinicide. </t>
        </is>
      </c>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961" t="inlineStr">
        <is>
          <t>ÍTEM</t>
        </is>
      </c>
      <c r="B817" s="956" t="inlineStr">
        <is>
          <t>INSUMOS</t>
        </is>
      </c>
      <c r="C817" s="965" t="n"/>
      <c r="D817" s="552" t="inlineStr">
        <is>
          <t>SALDO MES ANTERIOR</t>
        </is>
      </c>
      <c r="E817" s="961" t="inlineStr">
        <is>
          <t xml:space="preserve">BIOLÓGICO RECIBIDO POR MSPS O ET </t>
        </is>
      </c>
      <c r="F817" s="545" t="inlineStr">
        <is>
          <t>DOSIS APLICADAS</t>
        </is>
      </c>
      <c r="G817" s="967" t="n"/>
      <c r="H817" s="1232" t="inlineStr">
        <is>
          <t>TOTAL DE DOSIS APLICADAS</t>
        </is>
      </c>
      <c r="I817" s="961" t="inlineStr">
        <is>
          <t>DOSIS PERDIDAS</t>
        </is>
      </c>
      <c r="J817" s="1231" t="inlineStr">
        <is>
          <t>TOTAL DE DOSIS UTILIZADAS EN EL MES</t>
        </is>
      </c>
      <c r="K817" s="961" t="inlineStr">
        <is>
          <t>DOSIS TRASLADADAS A OTROS DEPARTAMENTOS, DISTRITOS O RETORNO AL MSPS</t>
        </is>
      </c>
      <c r="L817" s="1253" t="inlineStr">
        <is>
          <t xml:space="preserve">TOTAL SALDO QUE INICIA EL MES </t>
        </is>
      </c>
      <c r="M817" s="1232" t="inlineStr">
        <is>
          <t xml:space="preserve">SALDO CON QUE EL CA DEPARTAMENTAL INICIA </t>
        </is>
      </c>
      <c r="N817" s="1231" t="inlineStr">
        <is>
          <t xml:space="preserve">SALDO CON QUE LOS MUNICIPIOS O IPS INICIAN </t>
        </is>
      </c>
      <c r="O817" s="1232" t="inlineStr">
        <is>
          <t>MESES DISPONIBLES SEGÚN DOSIS UTILIZADAS EN EL MES</t>
        </is>
      </c>
      <c r="P817" s="544" t="inlineStr">
        <is>
          <t>DOSIS EN CUARENTENA</t>
        </is>
      </c>
      <c r="Q817" s="544" t="inlineStr">
        <is>
          <t>LABORATORIO</t>
        </is>
      </c>
      <c r="R817" s="544" t="inlineStr">
        <is>
          <t>No. LOTE</t>
        </is>
      </c>
      <c r="S817" s="544" t="inlineStr">
        <is>
          <t>FECHA DE VENCIMEINTO</t>
        </is>
      </c>
      <c r="T817" s="544" t="inlineStr">
        <is>
          <t>CONDICIÓN FINAL DEL BIOLÓGICO O INSUMO</t>
        </is>
      </c>
      <c r="U817" s="561" t="n"/>
      <c r="V817" s="1254" t="n"/>
      <c r="X817" s="366" t="n"/>
      <c r="Y817" s="232" t="n"/>
      <c r="Z817" s="400" t="inlineStr">
        <is>
          <t>CAUSAS PERDIDA DE BIOLÓGICOS (Remítase a la primera hoja donde se especifica la clasificación de las perdidas)</t>
        </is>
      </c>
      <c r="AA817" s="400" t="n"/>
      <c r="AB817" s="400" t="n"/>
      <c r="AC817" s="400" t="n"/>
      <c r="AD817" s="400" t="n"/>
      <c r="AE817" s="400" t="n"/>
      <c r="AF817" s="400" t="n"/>
      <c r="AG817" s="400" t="n"/>
      <c r="AH817" s="400" t="n"/>
      <c r="AI817" s="400" t="n"/>
      <c r="AJ817" s="400" t="n"/>
      <c r="AK817" s="400" t="n"/>
      <c r="AL817" s="400" t="n"/>
      <c r="AM817" s="1181" t="inlineStr">
        <is>
          <t xml:space="preserve">TOTAL DOSIS PERDIDAS        </t>
        </is>
      </c>
      <c r="AN817" s="367" t="n"/>
      <c r="AO817" s="368" t="n"/>
    </row>
    <row r="818" ht="21.75" customHeight="1">
      <c r="A818" s="973" t="n"/>
      <c r="B818" s="971" t="n"/>
      <c r="C818" s="972" t="n"/>
      <c r="D818" s="973" t="n"/>
      <c r="E818" s="973" t="n"/>
      <c r="F818" s="552" t="inlineStr">
        <is>
          <t>DOSIS APLICADAS
COLOMBIANOS</t>
        </is>
      </c>
      <c r="G818" s="552" t="inlineStr">
        <is>
          <t>DOSIS APLICADAS EXTRANJEROS</t>
        </is>
      </c>
      <c r="H818" s="973" t="n"/>
      <c r="I818" s="973" t="n"/>
      <c r="J818" s="973" t="n"/>
      <c r="K818" s="973" t="n"/>
      <c r="L818" s="973" t="n"/>
      <c r="M818" s="973" t="n"/>
      <c r="N818" s="973" t="n"/>
      <c r="O818" s="973" t="n"/>
      <c r="P818" s="973" t="n"/>
      <c r="Q818" s="973" t="n"/>
      <c r="R818" s="973" t="n"/>
      <c r="S818" s="973" t="n"/>
      <c r="T818" s="973" t="n"/>
      <c r="X818" s="366" t="n"/>
      <c r="Y818" s="232" t="n"/>
      <c r="Z818" s="533" t="n">
        <v>1</v>
      </c>
      <c r="AA818" s="968" t="n"/>
      <c r="AB818" s="967" t="n"/>
      <c r="AC818" s="330" t="n">
        <v>2</v>
      </c>
      <c r="AD818" s="566" t="n">
        <v>3</v>
      </c>
      <c r="AE818" s="533" t="n">
        <v>4</v>
      </c>
      <c r="AF818" s="566" t="n">
        <v>5</v>
      </c>
      <c r="AG818" s="533" t="n">
        <v>6</v>
      </c>
      <c r="AH818" s="566" t="n">
        <v>7</v>
      </c>
      <c r="AI818" s="533" t="n">
        <v>8</v>
      </c>
      <c r="AJ818" s="533" t="n">
        <v>9</v>
      </c>
      <c r="AK818" s="533" t="n">
        <v>10</v>
      </c>
      <c r="AL818" s="566" t="n">
        <v>11</v>
      </c>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X819" s="366" t="n"/>
      <c r="Y819" s="232" t="n"/>
      <c r="Z819" s="533" t="inlineStr">
        <is>
          <t>POLÍTICA DE FRASCOS ABIERTO</t>
        </is>
      </c>
      <c r="AA819" s="968" t="n"/>
      <c r="AB819" s="967" t="n"/>
      <c r="AC819" s="330" t="inlineStr">
        <is>
          <t>INTERRUPCIÓN DE CADENA DE FRÍO</t>
        </is>
      </c>
      <c r="AD819" s="566" t="inlineStr">
        <is>
          <t>CONTAMINACION DEL BIOLÓGICO/DISPOSITIVO MÉDICO</t>
        </is>
      </c>
      <c r="AE819" s="533" t="inlineStr">
        <is>
          <t>VIAL ROTO</t>
        </is>
      </c>
      <c r="AF819" s="566" t="inlineStr">
        <is>
          <t>ERRORES EN LA MANIPULACIÓN</t>
        </is>
      </c>
      <c r="AG819" s="533" t="inlineStr">
        <is>
          <t>VENCIMIENTO DEL BIOLÓGICO O JERINGA</t>
        </is>
      </c>
      <c r="AH819" s="566" t="inlineStr">
        <is>
          <t>FARMACOVIGILANCIA / TECNOVIGILANCIA</t>
        </is>
      </c>
      <c r="AI819" s="533" t="inlineStr">
        <is>
          <t>VOMITO FRANCO</t>
        </is>
      </c>
      <c r="AJ819" s="533" t="inlineStr">
        <is>
          <t>APLICACIÓN FUERA DE LA EDAD</t>
        </is>
      </c>
      <c r="AK819" s="533" t="inlineStr">
        <is>
          <t>POR DECISIÓN FINAL DEL PACIENTE DE NO VACUNACIÓN</t>
        </is>
      </c>
      <c r="AL819" s="566" t="inlineStr">
        <is>
          <t>SINIESTRO O ROBO</t>
        </is>
      </c>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X820" s="366" t="n"/>
      <c r="Y820" s="232" t="n"/>
      <c r="Z820" s="533" t="inlineStr">
        <is>
          <t>INSTITUCIONAL</t>
        </is>
      </c>
      <c r="AA820" s="533" t="inlineStr">
        <is>
          <t>EXTRAMURAL</t>
        </is>
      </c>
      <c r="AB820" s="533" t="inlineStr">
        <is>
          <t>TOTAL</t>
        </is>
      </c>
      <c r="AC820" s="975" t="n"/>
      <c r="AD820" s="975" t="n"/>
      <c r="AE820" s="975" t="n"/>
      <c r="AF820" s="975" t="n"/>
      <c r="AG820" s="975" t="n"/>
      <c r="AH820" s="975" t="n"/>
      <c r="AI820" s="975" t="n"/>
      <c r="AJ820" s="975" t="n"/>
      <c r="AK820" s="975" t="n"/>
      <c r="AL820" s="975" t="n"/>
      <c r="AM820" s="975" t="n"/>
      <c r="AN820" s="333" t="n"/>
      <c r="AO820" s="368" t="n"/>
      <c r="AQ820" s="370" t="inlineStr">
        <is>
          <t>PORCENTAJE DE PERDIDA DEL MES
%</t>
        </is>
      </c>
      <c r="AR820" s="370" t="inlineStr">
        <is>
          <t>FACTOR DE PERDIDA DEL MES</t>
        </is>
      </c>
      <c r="AS820" s="371" t="inlineStr">
        <is>
          <t>% DE PERDIDA DEL MSPS</t>
        </is>
      </c>
      <c r="AT820" s="371" t="inlineStr">
        <is>
          <t>DOSIS POR VIAL</t>
        </is>
      </c>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v>65</v>
      </c>
      <c r="AT821" s="345" t="n">
        <v>10</v>
      </c>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v>0</v>
      </c>
      <c r="AT823" s="345" t="n">
        <v>0</v>
      </c>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v>15</v>
      </c>
      <c r="AT824" s="345" t="n">
        <v>5</v>
      </c>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v>0</v>
      </c>
      <c r="AT825" s="345" t="n">
        <v>0</v>
      </c>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v>0</v>
      </c>
      <c r="AT826" s="345" t="n">
        <v>0</v>
      </c>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v>0</v>
      </c>
      <c r="AT827" s="345" t="n">
        <v>0</v>
      </c>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v>0</v>
      </c>
      <c r="AT829" s="345" t="n">
        <v>1</v>
      </c>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v>0</v>
      </c>
      <c r="AT830" s="345" t="n">
        <v>1</v>
      </c>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v>0</v>
      </c>
      <c r="AT831" s="345" t="n">
        <v>1</v>
      </c>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v>0</v>
      </c>
      <c r="AT832" s="345" t="n">
        <v>1</v>
      </c>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v>0</v>
      </c>
      <c r="AT833" s="345" t="n">
        <v>1</v>
      </c>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v>0</v>
      </c>
      <c r="AT835" s="345" t="n">
        <v>1</v>
      </c>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v>0</v>
      </c>
      <c r="AT836" s="345" t="n">
        <v>1</v>
      </c>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v>0</v>
      </c>
      <c r="AT837" s="345" t="n">
        <v>1</v>
      </c>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v>25</v>
      </c>
      <c r="AT838" s="345" t="n">
        <v>5</v>
      </c>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v>0</v>
      </c>
      <c r="AT839" s="345" t="n">
        <v>1</v>
      </c>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v>70</v>
      </c>
      <c r="AT841" s="345" t="n">
        <v>10</v>
      </c>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v>0</v>
      </c>
      <c r="AT842" s="345" t="n">
        <v>1</v>
      </c>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v>0</v>
      </c>
      <c r="AT843" s="345" t="n">
        <v>1</v>
      </c>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v>0</v>
      </c>
      <c r="AT844" s="345" t="n">
        <v>1</v>
      </c>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v>10</v>
      </c>
      <c r="AT845" s="345" t="n">
        <v>10</v>
      </c>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v>10</v>
      </c>
      <c r="AT847" s="345" t="n">
        <v>20</v>
      </c>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v>10</v>
      </c>
      <c r="AT848" s="345" t="n">
        <v>10</v>
      </c>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v>0</v>
      </c>
      <c r="AT849" s="345" t="n">
        <v>1</v>
      </c>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v>0</v>
      </c>
      <c r="AT850" s="345" t="n">
        <v>1</v>
      </c>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v>0</v>
      </c>
      <c r="AT851" s="345" t="n">
        <v>1</v>
      </c>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v>0</v>
      </c>
      <c r="AT853" s="345" t="n">
        <v>1</v>
      </c>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v>0</v>
      </c>
      <c r="AT854" s="345" t="n">
        <v>1</v>
      </c>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v>0</v>
      </c>
      <c r="AT855" s="345" t="n">
        <v>1</v>
      </c>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v>0</v>
      </c>
      <c r="AT856" s="345" t="n">
        <v>1</v>
      </c>
    </row>
    <row r="857" ht="24.7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6.25"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inlineStr">
        <is>
          <t>SALDO MES ANTERIOR</t>
        </is>
      </c>
      <c r="E889" s="961" t="inlineStr">
        <is>
          <t xml:space="preserve">BIOLÓGICO RECIBIDO POR MSPS O ET </t>
        </is>
      </c>
      <c r="F889" s="545" t="inlineStr">
        <is>
          <t>DOSIS APLICADAS</t>
        </is>
      </c>
      <c r="G889" s="967" t="n"/>
      <c r="H889" s="1232" t="inlineStr">
        <is>
          <t>TOTAL DE DOSIS APLICADAS</t>
        </is>
      </c>
      <c r="I889" s="961" t="inlineStr">
        <is>
          <t>DOSIS PERDIDAS</t>
        </is>
      </c>
      <c r="J889" s="1231" t="inlineStr">
        <is>
          <t>TOTAL DE DOSIS UTILIZADAS EN EL MES</t>
        </is>
      </c>
      <c r="K889" s="961" t="inlineStr">
        <is>
          <t>DOSIS TRASLADADAS A OTROS DEPARTAMENTOS, DISTRITOS O RETORNO AL MSPS</t>
        </is>
      </c>
      <c r="L889" s="1253" t="inlineStr">
        <is>
          <t xml:space="preserve">TOTAL SALDO QUE INICIA EL MES </t>
        </is>
      </c>
      <c r="M889" s="1232" t="inlineStr">
        <is>
          <t xml:space="preserve">SALDO CON QUE EL CA DEPARTAMENTAL INICIA </t>
        </is>
      </c>
      <c r="N889" s="1231" t="inlineStr">
        <is>
          <t xml:space="preserve">SALDO CON QUE LOS MUNICIPIOS O IPS INICIAN </t>
        </is>
      </c>
      <c r="O889" s="1232" t="inlineStr">
        <is>
          <t>MESES DISPONIBLES SEGÚN DOSIS UTILIZADAS EN EL MES</t>
        </is>
      </c>
      <c r="P889" s="544" t="inlineStr">
        <is>
          <t>DOSIS EN CUARENTENA</t>
        </is>
      </c>
      <c r="Q889" s="544" t="inlineStr">
        <is>
          <t>LABORATORIO</t>
        </is>
      </c>
      <c r="R889" s="544" t="inlineStr">
        <is>
          <t>No. LOTE</t>
        </is>
      </c>
      <c r="S889" s="544" t="inlineStr">
        <is>
          <t>FECHA DE VENCIMEINTO</t>
        </is>
      </c>
      <c r="T889" s="544" t="inlineStr">
        <is>
          <t>CONDICIÓN FINAL DEL BIOLÓGICO O INSUMO</t>
        </is>
      </c>
      <c r="U889" s="561" t="n"/>
      <c r="V889" s="1254" t="n"/>
      <c r="Y889" s="232" t="n"/>
      <c r="Z889" s="1221" t="inlineStr">
        <is>
          <t>MOTIVOS DE NO USO DE VACUNAS CONTRA LA COVID-19
RESOLUCIÓN 0118 DEL 27 DE ENERO DE 2026
DISPONIBLE EN EL SIGUIENTE LINK: https://www.minsalud.gov.co/Normatividad_Nuevo/Resolucion%20No%20118%20de%202026.pdf</t>
        </is>
      </c>
      <c r="AA889" s="968" t="n"/>
      <c r="AB889" s="968" t="n"/>
      <c r="AC889" s="968" t="n"/>
      <c r="AD889" s="968" t="n"/>
      <c r="AE889" s="968" t="n"/>
      <c r="AF889" s="968" t="n"/>
      <c r="AG889" s="968" t="n"/>
      <c r="AH889" s="968" t="n"/>
      <c r="AI889" s="968" t="n"/>
      <c r="AJ889" s="968" t="n"/>
      <c r="AK889" s="968" t="n"/>
      <c r="AL889" s="967" t="n"/>
      <c r="AM889" s="532" t="inlineStr">
        <is>
          <t xml:space="preserve">TOTAL DOSIS PERDIDAS        </t>
        </is>
      </c>
      <c r="AP889" s="416" t="n"/>
      <c r="AQ889" s="416" t="n"/>
      <c r="AR889" s="416" t="n"/>
      <c r="AS889" s="416" t="n"/>
      <c r="AT889" s="416" t="n"/>
      <c r="AU889" s="1240" t="n"/>
      <c r="AV889" s="1240" t="n"/>
    </row>
    <row r="890" ht="22.5" customHeight="1">
      <c r="A890" s="971" t="n"/>
      <c r="C890" s="972" t="n"/>
      <c r="D890" s="973" t="n"/>
      <c r="E890" s="973" t="n"/>
      <c r="F890" s="552" t="inlineStr">
        <is>
          <t>DOSIS APLICADAS
COLOMBIANOS</t>
        </is>
      </c>
      <c r="G890" s="552" t="inlineStr">
        <is>
          <t>DOSIS APLICADAS EXTRANJEROS</t>
        </is>
      </c>
      <c r="H890" s="973" t="n"/>
      <c r="I890" s="973" t="n"/>
      <c r="J890" s="973" t="n"/>
      <c r="K890" s="973" t="n"/>
      <c r="L890" s="973" t="n"/>
      <c r="M890" s="973" t="n"/>
      <c r="N890" s="973" t="n"/>
      <c r="O890" s="973" t="n"/>
      <c r="P890" s="973" t="n"/>
      <c r="Q890" s="973" t="n"/>
      <c r="R890" s="973" t="n"/>
      <c r="S890" s="973" t="n"/>
      <c r="T890" s="973" t="n"/>
      <c r="Y890" s="232" t="n"/>
      <c r="Z890" s="533" t="n">
        <v>1</v>
      </c>
      <c r="AA890" s="967" t="n"/>
      <c r="AB890" s="533" t="n">
        <v>2</v>
      </c>
      <c r="AC890" s="533" t="n">
        <v>3</v>
      </c>
      <c r="AD890" s="533" t="n">
        <v>4</v>
      </c>
      <c r="AE890" s="533" t="n">
        <v>5</v>
      </c>
      <c r="AF890" s="533" t="n">
        <v>6</v>
      </c>
      <c r="AG890" s="533" t="n">
        <v>7</v>
      </c>
      <c r="AH890" s="533" t="n">
        <v>8</v>
      </c>
      <c r="AI890" s="533" t="n">
        <v>9</v>
      </c>
      <c r="AJ890" s="533" t="n">
        <v>10</v>
      </c>
      <c r="AK890" s="533" t="n">
        <v>11</v>
      </c>
      <c r="AL890" s="533" t="n">
        <v>12</v>
      </c>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inlineStr">
        <is>
          <t>POLÍTICA DE FRASCOS ABIERTO</t>
        </is>
      </c>
      <c r="AA891" s="967" t="n"/>
      <c r="AB891" s="1222" t="inlineStr">
        <is>
          <t>INTERRUPCIÓN DE LA CADENA DE FRÍO</t>
        </is>
      </c>
      <c r="AC891" s="537" t="inlineStr">
        <is>
          <t>CONTAMINACIÓN DEL BIOLÓGICO</t>
        </is>
      </c>
      <c r="AD891" s="1222" t="inlineStr">
        <is>
          <t>ERROR EN LA MANIPULACIÓN</t>
        </is>
      </c>
      <c r="AE891" s="537" t="inlineStr">
        <is>
          <t>ERROR EN LA RECONSTITUCIÓN/DILUCIÓN</t>
        </is>
      </c>
      <c r="AF891" s="1222" t="inlineStr">
        <is>
          <t>ERROR EN LA DOSIFICACIÓN</t>
        </is>
      </c>
      <c r="AG891" s="537" t="inlineStr">
        <is>
          <t>VACUNA QUE EXCEDE EL TIEMPO DE ALMACENAMIENTO EN REFRIGERACIÓN</t>
        </is>
      </c>
      <c r="AH891" s="1222" t="inlineStr">
        <is>
          <t>VENCIMIENTO DEL BIOLÓGICO</t>
        </is>
      </c>
      <c r="AI891" s="537" t="inlineStr">
        <is>
          <t>FRASCO VIAL ROTO</t>
        </is>
      </c>
      <c r="AJ891" s="1222" t="inlineStr">
        <is>
          <t>FALLAS DE FABRICACIÓN/CALIDAD</t>
        </is>
      </c>
      <c r="AK891" s="537" t="inlineStr">
        <is>
          <t>SINIESTRO / ACCIDENTE</t>
        </is>
      </c>
      <c r="AL891" s="1222" t="inlineStr">
        <is>
          <t>ROBO/HURTO BIOLÓGICO</t>
        </is>
      </c>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inlineStr">
        <is>
          <t>INSTITUCIONAL</t>
        </is>
      </c>
      <c r="AA892" s="497" t="inlineStr">
        <is>
          <t>EXTRAMURAL</t>
        </is>
      </c>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inlineStr">
        <is>
          <t>Observación</t>
        </is>
      </c>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y+rIv+cD4IMosS391FqEMA==" formatRows="1" sort="1" spinCount="100000" hashValue="uEL624cIWPNupq4pBdvm9toWitCTrLqeuO6w7Dt3IG4wIS3fTbBn/ECiaaoRZj0Xrjs8uY1nUdGVnu49cAE8hQ=="/>
  <mergeCells count="3720">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B181:C186"/>
    <mergeCell ref="I133:I138"/>
    <mergeCell ref="AC25:AC29"/>
    <mergeCell ref="AL787:AL788"/>
    <mergeCell ref="D413:D416"/>
    <mergeCell ref="AI352:AI357"/>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I435:I440"/>
    <mergeCell ref="E31:E36"/>
    <mergeCell ref="AH11:AH12"/>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AG211:AG215"/>
    <mergeCell ref="Z11:AB11"/>
    <mergeCell ref="W742:W748"/>
    <mergeCell ref="D236:D241"/>
    <mergeCell ref="AN163:AN167"/>
    <mergeCell ref="J465:J470"/>
    <mergeCell ref="B507:C512"/>
    <mergeCell ref="AV465:AV469"/>
    <mergeCell ref="Z223:Z227"/>
    <mergeCell ref="A525:A530"/>
    <mergeCell ref="D359:D365"/>
    <mergeCell ref="B778:C778"/>
    <mergeCell ref="I609:I614"/>
    <mergeCell ref="AF230:AF234"/>
    <mergeCell ref="K115:K119"/>
    <mergeCell ref="AF537:AF541"/>
    <mergeCell ref="AC79:AC83"/>
    <mergeCell ref="U9:U12"/>
    <mergeCell ref="J272:J277"/>
    <mergeCell ref="AC73:AC77"/>
    <mergeCell ref="K543:K547"/>
    <mergeCell ref="F652:F657"/>
    <mergeCell ref="K579:K583"/>
    <mergeCell ref="B37:C42"/>
    <mergeCell ref="AA615:AA619"/>
    <mergeCell ref="AK664:AK668"/>
    <mergeCell ref="AH303:AH308"/>
    <mergeCell ref="AH296:AH300"/>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J441:AJ445"/>
    <mergeCell ref="AE61:AE65"/>
    <mergeCell ref="AF714:AF719"/>
    <mergeCell ref="B121:C126"/>
    <mergeCell ref="E272:E277"/>
    <mergeCell ref="AH676:AH680"/>
    <mergeCell ref="AD543:AD547"/>
    <mergeCell ref="G459:G464"/>
    <mergeCell ref="E735:E741"/>
    <mergeCell ref="D634:D639"/>
    <mergeCell ref="AE519:AE523"/>
    <mergeCell ref="H441:H446"/>
    <mergeCell ref="J199:J204"/>
    <mergeCell ref="AE891:AE892"/>
    <mergeCell ref="AG11:AG12"/>
    <mergeCell ref="B579:C584"/>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AG296:AG300"/>
    <mergeCell ref="I193:I198"/>
    <mergeCell ref="AG303:AG308"/>
    <mergeCell ref="AD804:AD807"/>
    <mergeCell ref="K513:K517"/>
    <mergeCell ref="AI489:AI493"/>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AC187:AC191"/>
    <mergeCell ref="H85:H90"/>
    <mergeCell ref="I175:I180"/>
    <mergeCell ref="AM809:AM812"/>
    <mergeCell ref="AR441:AR445"/>
    <mergeCell ref="AB555:AB559"/>
    <mergeCell ref="AI405:AI408"/>
    <mergeCell ref="H303:H309"/>
    <mergeCell ref="AB549:AB553"/>
    <mergeCell ref="AM97:AM101"/>
    <mergeCell ref="AE721:AE726"/>
    <mergeCell ref="AD749:AD754"/>
    <mergeCell ref="AL423:AL427"/>
    <mergeCell ref="AE591:AE595"/>
    <mergeCell ref="H507:H512"/>
    <mergeCell ref="D103:D108"/>
    <mergeCell ref="AV447:AV451"/>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B782:C782"/>
    <mergeCell ref="AT525:AT529"/>
    <mergeCell ref="AA55:AA59"/>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K585:K589"/>
    <mergeCell ref="J284:J2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H465:H470"/>
    <mergeCell ref="AF310:AF315"/>
    <mergeCell ref="AC573:AC577"/>
    <mergeCell ref="B405:C409"/>
    <mergeCell ref="AL139:AL143"/>
    <mergeCell ref="AA37:AA41"/>
    <mergeCell ref="AK103:AK107"/>
    <mergeCell ref="J749:J755"/>
    <mergeCell ref="AH338:AH343"/>
    <mergeCell ref="AA73:AA77"/>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K211:K215"/>
    <mergeCell ref="AI25:AI29"/>
    <mergeCell ref="B826:C826"/>
    <mergeCell ref="AI181:AI185"/>
    <mergeCell ref="B290:C295"/>
    <mergeCell ref="AW609:AW613"/>
    <mergeCell ref="I278:I283"/>
    <mergeCell ref="AQ441:AQ445"/>
    <mergeCell ref="F531:F536"/>
    <mergeCell ref="AF756:AF761"/>
    <mergeCell ref="B785:C788"/>
    <mergeCell ref="K763:K768"/>
    <mergeCell ref="A187:A192"/>
    <mergeCell ref="AN290:AN294"/>
    <mergeCell ref="AT477:AT481"/>
    <mergeCell ref="AD591:AD595"/>
    <mergeCell ref="B828:C828"/>
    <mergeCell ref="B853:C853"/>
    <mergeCell ref="AC794:AC797"/>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H787:AH788"/>
    <mergeCell ref="E169:E174"/>
    <mergeCell ref="K331:K336"/>
    <mergeCell ref="D501:D506"/>
    <mergeCell ref="AE352:AE357"/>
    <mergeCell ref="I573:I578"/>
    <mergeCell ref="AM603:AM607"/>
    <mergeCell ref="AB390:AB393"/>
    <mergeCell ref="AL664:AL66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G345:G351"/>
    <mergeCell ref="Z139:Z143"/>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894:C894"/>
    <mergeCell ref="B565:C565"/>
    <mergeCell ref="Z799:Z802"/>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D507:D512"/>
    <mergeCell ref="AR447:AR451"/>
    <mergeCell ref="H205:H210"/>
    <mergeCell ref="AK609:AK613"/>
    <mergeCell ref="A682:A687"/>
    <mergeCell ref="R889:R892"/>
    <mergeCell ref="F413:G413"/>
    <mergeCell ref="AA714:AA719"/>
    <mergeCell ref="K278:K282"/>
    <mergeCell ref="H634:H639"/>
    <mergeCell ref="I735:I741"/>
    <mergeCell ref="AF694:AF698"/>
    <mergeCell ref="AL272:AL276"/>
    <mergeCell ref="H31:H3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Z381:AL381"/>
    <mergeCell ref="AN345:AN350"/>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J447:J452"/>
    <mergeCell ref="AC248:AC252"/>
    <mergeCell ref="AA175:AA179"/>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D891:AD892"/>
    <mergeCell ref="AT561:AT565"/>
    <mergeCell ref="AD700:AD704"/>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H382:H384"/>
    <mergeCell ref="A109:A11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B862:C862"/>
    <mergeCell ref="Z609:Z613"/>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L435:AL439"/>
    <mergeCell ref="AG543:AG547"/>
    <mergeCell ref="AW429:AW433"/>
    <mergeCell ref="AG537:AG541"/>
    <mergeCell ref="N817:N820"/>
    <mergeCell ref="J459:J464"/>
    <mergeCell ref="A567:A572"/>
    <mergeCell ref="AA646:AA650"/>
    <mergeCell ref="A561:A566"/>
    <mergeCell ref="K157:K161"/>
    <mergeCell ref="I91:I96"/>
    <mergeCell ref="Z549:Z553"/>
    <mergeCell ref="AF728:AF733"/>
    <mergeCell ref="AN395:AN398"/>
    <mergeCell ref="AK67:AK71"/>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B781:C781"/>
    <mergeCell ref="I417:I422"/>
    <mergeCell ref="I531:I536"/>
    <mergeCell ref="D317:D323"/>
    <mergeCell ref="D187:D192"/>
    <mergeCell ref="D912:G912"/>
    <mergeCell ref="AF794:AF797"/>
    <mergeCell ref="F103:F108"/>
    <mergeCell ref="B571:C571"/>
    <mergeCell ref="AI199:AI203"/>
    <mergeCell ref="J230:J235"/>
    <mergeCell ref="AE395:AE398"/>
    <mergeCell ref="AH561:AH565"/>
    <mergeCell ref="K501:K505"/>
    <mergeCell ref="Z417:Z421"/>
    <mergeCell ref="B871:C871"/>
    <mergeCell ref="Z199:Z203"/>
    <mergeCell ref="J652:J657"/>
    <mergeCell ref="J400:J404"/>
    <mergeCell ref="AL85:AL89"/>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V817:V820"/>
    <mergeCell ref="AK133:AK137"/>
    <mergeCell ref="I799:I803"/>
    <mergeCell ref="B804:C808"/>
    <mergeCell ref="A199:A204"/>
    <mergeCell ref="AV429:AV433"/>
    <mergeCell ref="Z652:Z656"/>
    <mergeCell ref="Z646:Z650"/>
    <mergeCell ref="B145:C150"/>
    <mergeCell ref="AW555:AW559"/>
    <mergeCell ref="AF211:AF215"/>
    <mergeCell ref="AR423:AR427"/>
    <mergeCell ref="A331:A337"/>
    <mergeCell ref="G513:G518"/>
    <mergeCell ref="Z43:Z47"/>
    <mergeCell ref="H91:H96"/>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I519:I524"/>
    <mergeCell ref="AD621:AD625"/>
    <mergeCell ref="AK459:AK463"/>
    <mergeCell ref="B163:C168"/>
    <mergeCell ref="B794:C798"/>
    <mergeCell ref="K242:K246"/>
    <mergeCell ref="K236:K240"/>
    <mergeCell ref="Z61:Z65"/>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Z889:AL889"/>
    <mergeCell ref="B413:C416"/>
    <mergeCell ref="B395:C399"/>
    <mergeCell ref="D615:D620"/>
    <mergeCell ref="B779:C779"/>
    <mergeCell ref="AL181:AL185"/>
    <mergeCell ref="B543:C548"/>
    <mergeCell ref="D272:D277"/>
    <mergeCell ref="Z818:AB818"/>
    <mergeCell ref="AM447:AM451"/>
    <mergeCell ref="AA483:AA487"/>
    <mergeCell ref="AF609:AF613"/>
    <mergeCell ref="K799:K802"/>
    <mergeCell ref="AA694:AA698"/>
    <mergeCell ref="U817:U820"/>
    <mergeCell ref="AJ133:AJ137"/>
    <mergeCell ref="H567:H572"/>
    <mergeCell ref="AH646:AH650"/>
    <mergeCell ref="H561:H566"/>
    <mergeCell ref="B839:C839"/>
    <mergeCell ref="AM573:AM577"/>
    <mergeCell ref="A573:A578"/>
    <mergeCell ref="AB471:AB475"/>
    <mergeCell ref="AB507:AB511"/>
    <mergeCell ref="E429:E434"/>
    <mergeCell ref="J317:J323"/>
    <mergeCell ref="AL163:AL167"/>
    <mergeCell ref="Q381:Q384"/>
    <mergeCell ref="B841:C841"/>
    <mergeCell ref="AI345:AI350"/>
    <mergeCell ref="AE809:AE812"/>
    <mergeCell ref="B707:C713"/>
    <mergeCell ref="E97:E102"/>
    <mergeCell ref="AL199:AL203"/>
    <mergeCell ref="AK531:AK535"/>
    <mergeCell ref="B378:C378"/>
    <mergeCell ref="AD579:AD583"/>
    <mergeCell ref="AK525:AK529"/>
    <mergeCell ref="B115:C120"/>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H489:H494"/>
    <mergeCell ref="Z441:Z445"/>
    <mergeCell ref="AH61:AH65"/>
    <mergeCell ref="AM284:AM288"/>
    <mergeCell ref="A284:A289"/>
    <mergeCell ref="AF331:AF336"/>
    <mergeCell ref="U413:U416"/>
    <mergeCell ref="AJ459:AJ463"/>
    <mergeCell ref="E151:E156"/>
    <mergeCell ref="AF296:AF300"/>
    <mergeCell ref="H193:H198"/>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G385:G389"/>
    <mergeCell ref="AK157:AK161"/>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L278:AL282"/>
    <mergeCell ref="AC67:AC71"/>
    <mergeCell ref="D682:D687"/>
    <mergeCell ref="AH441:AH445"/>
    <mergeCell ref="U889:U892"/>
    <mergeCell ref="AD317:AD322"/>
    <mergeCell ref="AC97:AC101"/>
    <mergeCell ref="AE290:AE294"/>
    <mergeCell ref="K567:K571"/>
    <mergeCell ref="K561:K565"/>
    <mergeCell ref="E459:E464"/>
    <mergeCell ref="J181:J186"/>
    <mergeCell ref="AL115:AL119"/>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G465:G470"/>
    <mergeCell ref="D97:D102"/>
    <mergeCell ref="AB447:AB451"/>
    <mergeCell ref="E317:E323"/>
    <mergeCell ref="AJ531:AJ535"/>
    <mergeCell ref="K714:K719"/>
    <mergeCell ref="AF248:AF252"/>
    <mergeCell ref="K139:K143"/>
    <mergeCell ref="AL477:AL481"/>
    <mergeCell ref="AM567:AM571"/>
    <mergeCell ref="AT435:AT439"/>
    <mergeCell ref="AC537:AC541"/>
    <mergeCell ref="J817:J820"/>
    <mergeCell ref="AN331:AN336"/>
    <mergeCell ref="H217:H222"/>
    <mergeCell ref="AW585:AW589"/>
    <mergeCell ref="A707:A713"/>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B832:C832"/>
    <mergeCell ref="AK395:AK398"/>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B845:C845"/>
    <mergeCell ref="Z127:Z131"/>
    <mergeCell ref="H175:H180"/>
    <mergeCell ref="AM763:AM768"/>
    <mergeCell ref="AJ447:AJ451"/>
    <mergeCell ref="AL205:AL209"/>
    <mergeCell ref="AE682:AE686"/>
    <mergeCell ref="AC609:AC613"/>
    <mergeCell ref="AR531:AR535"/>
    <mergeCell ref="AH405:AH408"/>
    <mergeCell ref="AR525:AR529"/>
    <mergeCell ref="F525:F530"/>
    <mergeCell ref="W423:W428"/>
    <mergeCell ref="AG19:AG23"/>
    <mergeCell ref="Z181:Z185"/>
    <mergeCell ref="AD272:AD276"/>
    <mergeCell ref="AK537:AK541"/>
    <mergeCell ref="AG133:AG137"/>
    <mergeCell ref="R817:R820"/>
    <mergeCell ref="AA447:AA451"/>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AF891:AF892"/>
    <mergeCell ref="K591:K595"/>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I465:I470"/>
    <mergeCell ref="AJ97:AJ101"/>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477:A482"/>
    <mergeCell ref="P9:P12"/>
    <mergeCell ref="AM477:AM481"/>
    <mergeCell ref="K670:K674"/>
    <mergeCell ref="D809:D813"/>
    <mergeCell ref="AM652:AM656"/>
    <mergeCell ref="AL67:AL71"/>
    <mergeCell ref="E483:E488"/>
    <mergeCell ref="A79:A84"/>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B477:C482"/>
    <mergeCell ref="AH447:AH451"/>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317:A323"/>
    <mergeCell ref="AL97:AL101"/>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G579:AG583"/>
    <mergeCell ref="AL345:AL350"/>
    <mergeCell ref="AW465:AW469"/>
    <mergeCell ref="AD405:AD408"/>
    <mergeCell ref="F91:F96"/>
    <mergeCell ref="AN254:AN258"/>
    <mergeCell ref="B375:C375"/>
    <mergeCell ref="AG423:AG427"/>
    <mergeCell ref="K483:K487"/>
    <mergeCell ref="AI385:AI388"/>
    <mergeCell ref="A290:A295"/>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J385:J389"/>
    <mergeCell ref="AA272:AA276"/>
    <mergeCell ref="AN157:AN161"/>
    <mergeCell ref="D555:D560"/>
    <mergeCell ref="AV417:AV421"/>
    <mergeCell ref="AA735:AA740"/>
    <mergeCell ref="AI688:AI692"/>
    <mergeCell ref="AB248:AB252"/>
    <mergeCell ref="Z31:Z35"/>
    <mergeCell ref="K400:K403"/>
    <mergeCell ref="H79:H84"/>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AH290:AH294"/>
    <mergeCell ref="J109:J11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C366:AC371"/>
    <mergeCell ref="AD181:AD185"/>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M817:M820"/>
    <mergeCell ref="AB133:AB137"/>
    <mergeCell ref="AL799:AL802"/>
    <mergeCell ref="J585:J590"/>
    <mergeCell ref="W646:W651"/>
    <mergeCell ref="J382:J384"/>
    <mergeCell ref="F31:F36"/>
    <mergeCell ref="AH310:AH315"/>
    <mergeCell ref="AB477:AB481"/>
    <mergeCell ref="AG236:AG240"/>
    <mergeCell ref="J789:J793"/>
    <mergeCell ref="AI423:AI427"/>
    <mergeCell ref="AD331:AD336"/>
    <mergeCell ref="S413:S416"/>
    <mergeCell ref="J193:J198"/>
    <mergeCell ref="AN400:AN403"/>
    <mergeCell ref="Z352:Z357"/>
    <mergeCell ref="I390:I394"/>
    <mergeCell ref="AI640:AI644"/>
    <mergeCell ref="B531:C536"/>
    <mergeCell ref="AG664:AG668"/>
    <mergeCell ref="AV483:AV487"/>
    <mergeCell ref="AG707:AG712"/>
    <mergeCell ref="T381:T384"/>
    <mergeCell ref="AD507:AD511"/>
    <mergeCell ref="AH205:AH209"/>
    <mergeCell ref="A714:A720"/>
    <mergeCell ref="AM714:AM719"/>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J477:AJ481"/>
    <mergeCell ref="AV435:AV439"/>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400:A404"/>
    <mergeCell ref="AM400:AM403"/>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J175:J180"/>
    <mergeCell ref="AM115:AM119"/>
    <mergeCell ref="D13:D18"/>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T817:T820"/>
    <mergeCell ref="P413:P416"/>
    <mergeCell ref="K794:K797"/>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J331:J337"/>
    <mergeCell ref="AB310:AB315"/>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I248:I253"/>
    <mergeCell ref="AN49:AN53"/>
    <mergeCell ref="F809:F813"/>
    <mergeCell ref="B835:C835"/>
    <mergeCell ref="B829:C829"/>
    <mergeCell ref="E85:E90"/>
    <mergeCell ref="AA199:AA203"/>
    <mergeCell ref="AK345:AK350"/>
    <mergeCell ref="AN260:AN264"/>
    <mergeCell ref="AV615:AV619"/>
    <mergeCell ref="J615:J620"/>
    <mergeCell ref="F211:F216"/>
    <mergeCell ref="I676:I681"/>
    <mergeCell ref="AG513:AG517"/>
    <mergeCell ref="AH91:AH95"/>
    <mergeCell ref="AM749:AM754"/>
    <mergeCell ref="AA395:AA398"/>
    <mergeCell ref="AK223:AK227"/>
    <mergeCell ref="AS447:AS451"/>
    <mergeCell ref="A621:A626"/>
    <mergeCell ref="AH385:AH388"/>
    <mergeCell ref="F763:F769"/>
    <mergeCell ref="Z254:Z258"/>
    <mergeCell ref="S889:S892"/>
    <mergeCell ref="B830:C830"/>
    <mergeCell ref="Z248:Z252"/>
    <mergeCell ref="AA103:AA107"/>
    <mergeCell ref="AB317:AB322"/>
    <mergeCell ref="AM742:AM747"/>
    <mergeCell ref="D19:D24"/>
    <mergeCell ref="AB441:AB445"/>
    <mergeCell ref="AC290:AC294"/>
    <mergeCell ref="J489:J494"/>
    <mergeCell ref="J43:J48"/>
    <mergeCell ref="E109:E114"/>
    <mergeCell ref="AB223:AB227"/>
    <mergeCell ref="Z465:Z469"/>
    <mergeCell ref="E145:E150"/>
    <mergeCell ref="W413:W416"/>
    <mergeCell ref="K640:K644"/>
    <mergeCell ref="E139:E144"/>
    <mergeCell ref="O785:O788"/>
    <mergeCell ref="J700:J705"/>
    <mergeCell ref="AM615:AM619"/>
    <mergeCell ref="AJ157:AJ161"/>
    <mergeCell ref="AJ151:AJ155"/>
    <mergeCell ref="AA217:AA221"/>
    <mergeCell ref="AM193:AM197"/>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K366:K371"/>
    <mergeCell ref="Z151:Z155"/>
    <mergeCell ref="AA543:AA547"/>
    <mergeCell ref="AF477:AF481"/>
    <mergeCell ref="B193:C198"/>
    <mergeCell ref="H817:H820"/>
    <mergeCell ref="AK236:AK240"/>
    <mergeCell ref="AR435:AR439"/>
    <mergeCell ref="A809:A813"/>
    <mergeCell ref="AR555:AR559"/>
    <mergeCell ref="E585:E590"/>
    <mergeCell ref="AE67:AE71"/>
    <mergeCell ref="AB242:AB246"/>
    <mergeCell ref="AQ789:AQ792"/>
    <mergeCell ref="AJ597:AJ601"/>
    <mergeCell ref="E789:E793"/>
    <mergeCell ref="AD429:AD433"/>
    <mergeCell ref="I109:I114"/>
    <mergeCell ref="W573:W578"/>
    <mergeCell ref="N413:N416"/>
    <mergeCell ref="G352:G358"/>
    <mergeCell ref="E193:E198"/>
    <mergeCell ref="B570:C570"/>
    <mergeCell ref="AI400:AI403"/>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D585:D590"/>
    <mergeCell ref="E400:E404"/>
    <mergeCell ref="AD67:AD71"/>
    <mergeCell ref="G818:G820"/>
    <mergeCell ref="AL640:AL644"/>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I223:AI227"/>
    <mergeCell ref="AD97:AD101"/>
    <mergeCell ref="AM9:AM12"/>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B390:C394"/>
    <mergeCell ref="AJ260:AJ264"/>
    <mergeCell ref="E676:E681"/>
    <mergeCell ref="J804:J808"/>
    <mergeCell ref="AV471:AV475"/>
    <mergeCell ref="J471:J476"/>
    <mergeCell ref="AD91:AD95"/>
    <mergeCell ref="G13:G18"/>
    <mergeCell ref="I324:I330"/>
    <mergeCell ref="AD385:AD388"/>
    <mergeCell ref="AK37:AK41"/>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AE230:AE234"/>
    <mergeCell ref="G151:G156"/>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E489:E494"/>
    <mergeCell ref="AN151:AN155"/>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H429:H434"/>
    <mergeCell ref="E61:E66"/>
    <mergeCell ref="AM230:AM2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S381:S384"/>
    <mergeCell ref="D109:D11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AK91:AK95"/>
    <mergeCell ref="H573:H578"/>
    <mergeCell ref="B373:C373"/>
    <mergeCell ref="K804:K807"/>
    <mergeCell ref="AM278:AM282"/>
    <mergeCell ref="K471:K475"/>
    <mergeCell ref="G49:G54"/>
    <mergeCell ref="A278:A283"/>
    <mergeCell ref="AC254:AC258"/>
    <mergeCell ref="AK385:AK388"/>
    <mergeCell ref="AJ453:AJ457"/>
    <mergeCell ref="AE317:AE322"/>
    <mergeCell ref="AL809:AL812"/>
    <mergeCell ref="AW603:AW607"/>
    <mergeCell ref="AC465:AC469"/>
    <mergeCell ref="G303:G309"/>
    <mergeCell ref="AE223:AE227"/>
    <mergeCell ref="Z97:Z101"/>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B846:C846"/>
    <mergeCell ref="AD242:AD246"/>
    <mergeCell ref="AD217:AD221"/>
    <mergeCell ref="AL519:AL523"/>
    <mergeCell ref="AG585:AG589"/>
    <mergeCell ref="AH682:AH686"/>
    <mergeCell ref="AL891:AL892"/>
    <mergeCell ref="A609:A614"/>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AE345:AE350"/>
    <mergeCell ref="F223:F228"/>
    <mergeCell ref="K324:K329"/>
    <mergeCell ref="AK567:AK571"/>
    <mergeCell ref="I591:I596"/>
    <mergeCell ref="Z19:Z23"/>
    <mergeCell ref="A640:A645"/>
    <mergeCell ref="B849:C849"/>
    <mergeCell ref="AE670:AE674"/>
    <mergeCell ref="AL405:AL408"/>
    <mergeCell ref="H794:H798"/>
    <mergeCell ref="AB627:AB631"/>
    <mergeCell ref="G395:G399"/>
    <mergeCell ref="AJ799:AJ802"/>
    <mergeCell ref="AL230:AL234"/>
    <mergeCell ref="AM79:AM83"/>
    <mergeCell ref="AV561:AV565"/>
    <mergeCell ref="H585:H590"/>
    <mergeCell ref="G890:G892"/>
    <mergeCell ref="AI73:AI77"/>
    <mergeCell ref="AE242:AE246"/>
    <mergeCell ref="A633:C633"/>
    <mergeCell ref="AE236:AE240"/>
    <mergeCell ref="Z477:Z481"/>
    <mergeCell ref="B874:C874"/>
    <mergeCell ref="K217:K221"/>
    <mergeCell ref="B296:C301"/>
    <mergeCell ref="D25:D30"/>
    <mergeCell ref="AI187:AI191"/>
    <mergeCell ref="AG429:AG433"/>
    <mergeCell ref="B303:C309"/>
    <mergeCell ref="H789:H793"/>
    <mergeCell ref="AB331:AB336"/>
    <mergeCell ref="I284:I289"/>
    <mergeCell ref="AB85:AB89"/>
    <mergeCell ref="J133:J138"/>
    <mergeCell ref="J352:J358"/>
    <mergeCell ref="I785:I788"/>
    <mergeCell ref="AG770:AG775"/>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B860:C860"/>
    <mergeCell ref="H413:H416"/>
    <mergeCell ref="AA133:AA137"/>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248:A253"/>
    <mergeCell ref="AK175:AK179"/>
    <mergeCell ref="AQ501:AQ505"/>
    <mergeCell ref="W489:W494"/>
    <mergeCell ref="AL157:AL161"/>
    <mergeCell ref="AC345:AC350"/>
    <mergeCell ref="AF260:AF264"/>
    <mergeCell ref="H700:H705"/>
    <mergeCell ref="F181:F186"/>
    <mergeCell ref="AA459:AA463"/>
    <mergeCell ref="AC217:AC221"/>
    <mergeCell ref="B317:C323"/>
    <mergeCell ref="H115:H120"/>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G794:G798"/>
    <mergeCell ref="Z205:Z209"/>
    <mergeCell ref="AS794:AS797"/>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F519:F524"/>
    <mergeCell ref="AT459:AT463"/>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G809:G813"/>
    <mergeCell ref="AJ465:AJ469"/>
    <mergeCell ref="AL223:AL227"/>
    <mergeCell ref="AS809:AS812"/>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B858:C858"/>
    <mergeCell ref="AE266:AE270"/>
    <mergeCell ref="AB345:AB350"/>
    <mergeCell ref="AE260:AE264"/>
    <mergeCell ref="AM770:AM775"/>
    <mergeCell ref="E181:E186"/>
    <mergeCell ref="L785:L78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AK603:AK607"/>
    <mergeCell ref="B817:C820"/>
    <mergeCell ref="G405:G409"/>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H331:H337"/>
    <mergeCell ref="Z310:Z315"/>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D513:D518"/>
    <mergeCell ref="AF11:AF12"/>
    <mergeCell ref="AK324:AK329"/>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H248:H253"/>
    <mergeCell ref="AM49:AM53"/>
    <mergeCell ref="AL13:AL17"/>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B827:C827"/>
    <mergeCell ref="W555:W560"/>
    <mergeCell ref="AK670:AK674"/>
    <mergeCell ref="B260:C265"/>
    <mergeCell ref="AK676:AK680"/>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B205:AB209"/>
    <mergeCell ref="AM55:AM5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G248:G253"/>
    <mergeCell ref="AL49:AL53"/>
    <mergeCell ref="AK13:AK17"/>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B895:C895"/>
    <mergeCell ref="AR603:AR607"/>
    <mergeCell ref="AG809:AG812"/>
    <mergeCell ref="AB721:AB726"/>
    <mergeCell ref="AM501:AM505"/>
    <mergeCell ref="G272:G277"/>
    <mergeCell ref="B471:C476"/>
    <mergeCell ref="AK615:AK619"/>
    <mergeCell ref="AL400:AL403"/>
    <mergeCell ref="AH157:AH161"/>
    <mergeCell ref="I459:I464"/>
    <mergeCell ref="D115:D120"/>
    <mergeCell ref="AG519:AG523"/>
    <mergeCell ref="A405:A409"/>
    <mergeCell ref="AC682:AC686"/>
    <mergeCell ref="AJ390:AJ393"/>
    <mergeCell ref="J435:J440"/>
    <mergeCell ref="AI11:AI12"/>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T465:AT469"/>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F324:F330"/>
    <mergeCell ref="G109:G114"/>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J303:J309"/>
    <mergeCell ref="AH223:AH227"/>
    <mergeCell ref="AC640:AC644"/>
    <mergeCell ref="I525:I530"/>
    <mergeCell ref="AG591:AG595"/>
    <mergeCell ref="J507:J512"/>
    <mergeCell ref="G489:G494"/>
    <mergeCell ref="B109:C114"/>
    <mergeCell ref="AG217:AG221"/>
    <mergeCell ref="D905:G905"/>
    <mergeCell ref="AD417:AD421"/>
    <mergeCell ref="AA49:AA53"/>
    <mergeCell ref="W567:W572"/>
    <mergeCell ref="B564:C564"/>
    <mergeCell ref="AL501:AL505"/>
    <mergeCell ref="AK400:AK403"/>
    <mergeCell ref="AI383:AI384"/>
    <mergeCell ref="AA266:AA270"/>
    <mergeCell ref="AA260:AA264"/>
    <mergeCell ref="H459:H464"/>
    <mergeCell ref="A181:A186"/>
    <mergeCell ref="AN109:AN113"/>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F817:G817"/>
    <mergeCell ref="AG603:AG607"/>
    <mergeCell ref="W721:W727"/>
    <mergeCell ref="AD145:AD149"/>
    <mergeCell ref="E756:E762"/>
    <mergeCell ref="G67:G72"/>
    <mergeCell ref="J429:J434"/>
    <mergeCell ref="G61:G66"/>
    <mergeCell ref="J395:J399"/>
    <mergeCell ref="A799:A803"/>
    <mergeCell ref="AM799:AM802"/>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F597:F602"/>
    <mergeCell ref="K405:K408"/>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AG324:AG329"/>
    <mergeCell ref="B67:C72"/>
    <mergeCell ref="J573:J578"/>
    <mergeCell ref="W640:W645"/>
    <mergeCell ref="AJ55:AJ59"/>
    <mergeCell ref="E9:G9"/>
    <mergeCell ref="I49:I54"/>
    <mergeCell ref="AM385:AM388"/>
    <mergeCell ref="AE254:AE258"/>
    <mergeCell ref="AN61:AN65"/>
    <mergeCell ref="I303:I309"/>
    <mergeCell ref="AB97:AB101"/>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H381:J381"/>
    <mergeCell ref="I181:I186"/>
    <mergeCell ref="AH199:AH203"/>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J787:AJ788"/>
    <mergeCell ref="AG352:AG357"/>
    <mergeCell ref="AL471:AL475"/>
    <mergeCell ref="AL145:AL149"/>
    <mergeCell ref="A359:A365"/>
    <mergeCell ref="AE483:AE487"/>
    <mergeCell ref="AB115:AB119"/>
    <mergeCell ref="J163:J168"/>
    <mergeCell ref="J794:J798"/>
    <mergeCell ref="AK507:AK511"/>
    <mergeCell ref="AG676:AG680"/>
    <mergeCell ref="B537:C542"/>
    <mergeCell ref="AG670:AG674"/>
    <mergeCell ref="AW441:AW445"/>
    <mergeCell ref="AN405:AN408"/>
    <mergeCell ref="D735:D741"/>
    <mergeCell ref="I395:I399"/>
    <mergeCell ref="F67:F72"/>
    <mergeCell ref="AN230:AN234"/>
    <mergeCell ref="AD519:AD523"/>
    <mergeCell ref="G435:G440"/>
    <mergeCell ref="AA501:AA505"/>
    <mergeCell ref="AK79:AK83"/>
    <mergeCell ref="AG242:AG246"/>
    <mergeCell ref="AK73:AK77"/>
    <mergeCell ref="AQ573:AQ577"/>
    <mergeCell ref="K459:K463"/>
    <mergeCell ref="A266:A271"/>
    <mergeCell ref="F25:F30"/>
    <mergeCell ref="AI429:AI433"/>
    <mergeCell ref="A260:A265"/>
    <mergeCell ref="D603:D608"/>
    <mergeCell ref="AT794:AT797"/>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B374:C374"/>
    <mergeCell ref="Z121:Z125"/>
    <mergeCell ref="J242:J247"/>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B847:C847"/>
    <mergeCell ref="H471:H476"/>
    <mergeCell ref="AA242:AA246"/>
    <mergeCell ref="B609:C614"/>
    <mergeCell ref="E13:E18"/>
    <mergeCell ref="AB385:AB388"/>
    <mergeCell ref="AI787:AI788"/>
    <mergeCell ref="AF352:AF357"/>
    <mergeCell ref="AC809:AC812"/>
    <mergeCell ref="A664:A669"/>
    <mergeCell ref="AK145:AK149"/>
    <mergeCell ref="I728:I734"/>
    <mergeCell ref="K531:K535"/>
    <mergeCell ref="AA115:AA119"/>
    <mergeCell ref="K525:K529"/>
    <mergeCell ref="Z447:Z451"/>
    <mergeCell ref="AI501:AI505"/>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J728:J734"/>
    <mergeCell ref="AN199:AN203"/>
    <mergeCell ref="AC405:AC408"/>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S804:AS807"/>
    <mergeCell ref="AA187:AA191"/>
    <mergeCell ref="AD555:AD559"/>
    <mergeCell ref="AN248:AN252"/>
    <mergeCell ref="AN352:AN357"/>
    <mergeCell ref="AJ579:AJ583"/>
    <mergeCell ref="AD400:AD403"/>
    <mergeCell ref="AK770:AK775"/>
    <mergeCell ref="AV603:AV607"/>
    <mergeCell ref="G804:G808"/>
    <mergeCell ref="AB465:AB469"/>
    <mergeCell ref="F303:F309"/>
    <mergeCell ref="AD223:AD227"/>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L413:L416"/>
    <mergeCell ref="AF615:AF619"/>
    <mergeCell ref="AG400:AG403"/>
    <mergeCell ref="AC157:AC161"/>
    <mergeCell ref="J627:J632"/>
    <mergeCell ref="AV627:AV631"/>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B844:C844"/>
    <mergeCell ref="AD278:AD282"/>
    <mergeCell ref="Z145:Z149"/>
    <mergeCell ref="B838:C838"/>
    <mergeCell ref="AM756:AM761"/>
    <mergeCell ref="F429:F434"/>
    <mergeCell ref="AK230:AK234"/>
    <mergeCell ref="D338:D344"/>
    <mergeCell ref="I290:I295"/>
    <mergeCell ref="AJ163:AJ167"/>
    <mergeCell ref="AK441:AK445"/>
    <mergeCell ref="Q413:Q416"/>
    <mergeCell ref="AH73:AH77"/>
    <mergeCell ref="F890:F892"/>
    <mergeCell ref="AC175:AC179"/>
    <mergeCell ref="D157:D162"/>
    <mergeCell ref="A603:A608"/>
    <mergeCell ref="AH400:AH403"/>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AB217:AB221"/>
    <mergeCell ref="G115:G120"/>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F787:AF788"/>
    <mergeCell ref="AC352:AC357"/>
    <mergeCell ref="AA193:AA197"/>
    <mergeCell ref="AH471:AH475"/>
    <mergeCell ref="AJ664:AJ668"/>
    <mergeCell ref="I756:I762"/>
    <mergeCell ref="K597:K601"/>
    <mergeCell ref="H236:H241"/>
    <mergeCell ref="F163:F168"/>
    <mergeCell ref="AI567:AI571"/>
    <mergeCell ref="F794:F798"/>
    <mergeCell ref="AR794:AR797"/>
    <mergeCell ref="AS441:AS445"/>
    <mergeCell ref="AL735:AL740"/>
    <mergeCell ref="AQ525:AQ529"/>
    <mergeCell ref="E525:E530"/>
    <mergeCell ref="AM248:AM252"/>
    <mergeCell ref="AJ405:AJ408"/>
    <mergeCell ref="E395:E399"/>
    <mergeCell ref="AJ230:AJ234"/>
    <mergeCell ref="AT567:AT571"/>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Z786:AA786"/>
    <mergeCell ref="G495:G500"/>
    <mergeCell ref="D127:D132"/>
    <mergeCell ref="AL296:AL300"/>
    <mergeCell ref="AL303:AL308"/>
    <mergeCell ref="AN359:AN364"/>
    <mergeCell ref="I688:I693"/>
    <mergeCell ref="B700:C705"/>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0:F705"/>
    <mergeCell ref="F707:F713"/>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E787:AE788"/>
    <mergeCell ref="AB352:AB357"/>
    <mergeCell ref="F573:F57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M338:AM343"/>
    <mergeCell ref="AK303:AK308"/>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Z414:AB414"/>
    <mergeCell ref="I169:I174"/>
    <mergeCell ref="AI133:AI137"/>
    <mergeCell ref="AH284:AH288"/>
    <mergeCell ref="H9:J9"/>
    <mergeCell ref="W597:W602"/>
    <mergeCell ref="AD819:AD820"/>
    <mergeCell ref="B338:C344"/>
    <mergeCell ref="AN25:AN29"/>
    <mergeCell ref="AA296:AA300"/>
    <mergeCell ref="AA303:AA308"/>
    <mergeCell ref="D579:D584"/>
    <mergeCell ref="AQ809:AQ812"/>
    <mergeCell ref="AV441:AV445"/>
    <mergeCell ref="AM405:AM408"/>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J785:J788"/>
    <mergeCell ref="AC266:AC270"/>
    <mergeCell ref="AB417:AB421"/>
    <mergeCell ref="H714:H720"/>
    <mergeCell ref="G382:G384"/>
    <mergeCell ref="AJ352:AJ357"/>
    <mergeCell ref="E413:E416"/>
    <mergeCell ref="Z400:Z403"/>
    <mergeCell ref="AJ127:AJ131"/>
    <mergeCell ref="AG390:AG393"/>
    <mergeCell ref="I495:I500"/>
    <mergeCell ref="E664:E669"/>
    <mergeCell ref="D597:D602"/>
    <mergeCell ref="AH483:AH487"/>
    <mergeCell ref="AL415:AL416"/>
    <mergeCell ref="AD359:AD364"/>
    <mergeCell ref="AI609:AI613"/>
    <mergeCell ref="B79:C84"/>
    <mergeCell ref="I67:I72"/>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2892" operator="containsText" dxfId="325" text="VERDE">
      <formula>NOT(ISERROR(SEARCH("VERDE",D229)))</formula>
    </cfRule>
    <cfRule type="containsText" priority="2893" operator="containsText" dxfId="324" text="AMARILLO">
      <formula>NOT(ISERROR(SEARCH("AMARILLO",D229)))</formula>
    </cfRule>
    <cfRule type="containsText" priority="2894" operator="containsText" dxfId="323" text="ROJO">
      <formula>NOT(ISERROR(SEARCH("ROJO",D229)))</formula>
    </cfRule>
  </conditionalFormatting>
  <conditionalFormatting sqref="D821:D856">
    <cfRule type="cellIs" priority="1042" operator="lessThan" dxfId="0" stopIfTrue="1">
      <formula>0</formula>
    </cfRule>
  </conditionalFormatting>
  <conditionalFormatting sqref="D858:D869">
    <cfRule type="cellIs" priority="1036" operator="lessThan" dxfId="0" stopIfTrue="1">
      <formula>0</formula>
    </cfRule>
  </conditionalFormatting>
  <conditionalFormatting sqref="D871:D888">
    <cfRule type="cellIs" priority="1032" operator="lessThan" dxfId="0" stopIfTrue="1">
      <formula>0</formula>
    </cfRule>
  </conditionalFormatting>
  <conditionalFormatting sqref="D893:D894">
    <cfRule type="cellIs" priority="2112" operator="lessThan" dxfId="0" stopIfTrue="1">
      <formula>0</formula>
    </cfRule>
  </conditionalFormatting>
  <conditionalFormatting sqref="E229 P410">
    <cfRule type="containsText" priority="984" operator="containsText" dxfId="325" text="VERDE">
      <formula>NOT(ISERROR(SEARCH("VERDE",E229)))</formula>
    </cfRule>
    <cfRule type="containsText" priority="985" operator="containsText" dxfId="324" text="AMARILLO">
      <formula>NOT(ISERROR(SEARCH("AMARILLO",E229)))</formula>
    </cfRule>
    <cfRule type="containsText" priority="986" operator="containsText" dxfId="323" text="ROJO">
      <formula>NOT(ISERROR(SEARCH("ROJO",E229)))</formula>
    </cfRule>
  </conditionalFormatting>
  <conditionalFormatting sqref="E821:I856">
    <cfRule type="cellIs" priority="369" operator="lessThan" dxfId="0" stopIfTrue="1">
      <formula>0</formula>
    </cfRule>
  </conditionalFormatting>
  <conditionalFormatting sqref="E858:I869">
    <cfRule type="cellIs" priority="368" operator="lessThan" dxfId="0" stopIfTrue="1">
      <formula>0</formula>
    </cfRule>
  </conditionalFormatting>
  <conditionalFormatting sqref="E871:I888">
    <cfRule type="cellIs" priority="367" operator="lessThan" dxfId="0" stopIfTrue="1">
      <formula>0</formula>
    </cfRule>
  </conditionalFormatting>
  <conditionalFormatting sqref="E893:I893 E894:G894 H894:I897">
    <cfRule type="cellIs" priority="933" operator="lessThan" dxfId="0" stopIfTrue="1">
      <formula>0</formula>
    </cfRule>
  </conditionalFormatting>
  <conditionalFormatting sqref="K13:K17">
    <cfRule type="cellIs" priority="987" operator="lessThan" dxfId="0" stopIfTrue="1">
      <formula>0</formula>
    </cfRule>
  </conditionalFormatting>
  <conditionalFormatting sqref="K303:K308 K777:K783">
    <cfRule type="cellIs" priority="925" operator="lessThan" dxfId="0" stopIfTrue="1">
      <formula>0</formula>
    </cfRule>
  </conditionalFormatting>
  <conditionalFormatting sqref="K309">
    <cfRule type="containsText" priority="954" operator="containsText" dxfId="8" text="Falso">
      <formula>NOT(ISERROR(SEARCH("Falso",K309)))</formula>
    </cfRule>
  </conditionalFormatting>
  <conditionalFormatting sqref="K373:K380">
    <cfRule type="cellIs" priority="936" operator="lessThan" dxfId="0" stopIfTrue="1">
      <formula>0</formula>
    </cfRule>
  </conditionalFormatting>
  <conditionalFormatting sqref="K385:K388">
    <cfRule type="cellIs" priority="988" operator="lessThan" dxfId="0" stopIfTrue="1">
      <formula>0</formula>
    </cfRule>
  </conditionalFormatting>
  <conditionalFormatting sqref="K389">
    <cfRule type="containsText" priority="989" operator="containsText" dxfId="8" text="Falso">
      <formula>NOT(ISERROR(SEARCH("Falso",K389)))</formula>
    </cfRule>
  </conditionalFormatting>
  <conditionalFormatting sqref="K394">
    <cfRule type="containsText" priority="935" operator="containsText" dxfId="8" text="Falso">
      <formula>NOT(ISERROR(SEARCH("Falso",K394)))</formula>
    </cfRule>
  </conditionalFormatting>
  <conditionalFormatting sqref="K399 K404 K409">
    <cfRule type="containsText" priority="934" operator="containsText" dxfId="8" text="Falso">
      <formula>NOT(ISERROR(SEARCH("Falso",K399)))</formula>
    </cfRule>
  </conditionalFormatting>
  <conditionalFormatting sqref="K714:K719 K721:K726">
    <cfRule type="cellIs" priority="469" operator="lessThan" dxfId="0" stopIfTrue="1">
      <formula>0</formula>
    </cfRule>
  </conditionalFormatting>
  <conditionalFormatting sqref="K634:K638">
    <cfRule type="cellIs" priority="506" operator="lessThan" dxfId="0" stopIfTrue="1">
      <formula>0</formula>
    </cfRule>
  </conditionalFormatting>
  <conditionalFormatting sqref="K749:K754 K756:K761">
    <cfRule type="cellIs" priority="457" operator="lessThan" dxfId="0" stopIfTrue="1">
      <formula>0</formula>
    </cfRule>
  </conditionalFormatting>
  <conditionalFormatting sqref="K763:K768">
    <cfRule type="cellIs" priority="451" operator="lessThan" dxfId="0" stopIfTrue="1">
      <formula>0</formula>
    </cfRule>
  </conditionalFormatting>
  <conditionalFormatting sqref="K770:K775">
    <cfRule type="cellIs" priority="445" operator="lessThan" dxfId="0" stopIfTrue="1">
      <formula>0</formula>
    </cfRule>
  </conditionalFormatting>
  <conditionalFormatting sqref="K707:K712">
    <cfRule type="cellIs" priority="475" operator="lessThan" dxfId="0" stopIfTrue="1">
      <formula>0</formula>
    </cfRule>
  </conditionalFormatting>
  <conditionalFormatting sqref="K728:K733 K735:K740 K742:K747">
    <cfRule type="cellIs" priority="463" operator="lessThan" dxfId="0" stopIfTrue="1">
      <formula>0</formula>
    </cfRule>
  </conditionalFormatting>
  <conditionalFormatting sqref="K821:O856">
    <cfRule type="cellIs" priority="366" operator="lessThan" dxfId="0" stopIfTrue="1">
      <formula>0</formula>
    </cfRule>
  </conditionalFormatting>
  <conditionalFormatting sqref="K858:N869">
    <cfRule type="cellIs" priority="365" operator="lessThan" dxfId="0" stopIfTrue="1">
      <formula>0</formula>
    </cfRule>
  </conditionalFormatting>
  <conditionalFormatting sqref="K871:K887 K888:O888 M871:N887">
    <cfRule type="cellIs" priority="364" operator="lessThan" dxfId="0" stopIfTrue="1">
      <formula>0</formula>
    </cfRule>
  </conditionalFormatting>
  <conditionalFormatting sqref="K893:K894 M893:N894">
    <cfRule type="cellIs" priority="363" operator="lessThan" dxfId="0" stopIfTrue="1">
      <formula>0</formula>
    </cfRule>
  </conditionalFormatting>
  <conditionalFormatting sqref="P13:P17 P303:P308">
    <cfRule type="containsText" priority="921" operator="containsText" dxfId="131" text="VENCIDO">
      <formula>NOT(ISERROR(SEARCH("VENCIDO",P13)))</formula>
    </cfRule>
    <cfRule type="containsText" priority="922" operator="containsText" dxfId="130" text="VERDE">
      <formula>NOT(ISERROR(SEARCH("VERDE",P13)))</formula>
    </cfRule>
    <cfRule type="containsText" priority="923" operator="containsText" dxfId="129" stopIfTrue="1" text="AMARILLO">
      <formula>NOT(ISERROR(SEARCH("AMARILLO",P13)))</formula>
    </cfRule>
    <cfRule type="containsText" priority="924" operator="containsText" dxfId="128" text="ROJO">
      <formula>NOT(ISERROR(SEARCH("ROJO",P13)))</formula>
    </cfRule>
  </conditionalFormatting>
  <conditionalFormatting sqref="P373:P379">
    <cfRule type="containsText" priority="873" operator="containsText" dxfId="131" text="VENCIDO">
      <formula>NOT(ISERROR(SEARCH("VENCIDO",P373)))</formula>
    </cfRule>
    <cfRule type="containsText" priority="874" operator="containsText" dxfId="130" text="VERDE">
      <formula>NOT(ISERROR(SEARCH("VERDE",P373)))</formula>
    </cfRule>
    <cfRule type="containsText" priority="875" operator="containsText" dxfId="129" stopIfTrue="1" text="AMARILLO">
      <formula>NOT(ISERROR(SEARCH("AMARILLO",P373)))</formula>
    </cfRule>
    <cfRule type="containsText" priority="876" operator="containsText" dxfId="128" text="ROJO">
      <formula>NOT(ISERROR(SEARCH("ROJO",P373)))</formula>
    </cfRule>
  </conditionalFormatting>
  <conditionalFormatting sqref="P385:P388">
    <cfRule type="containsText" priority="869" operator="containsText" dxfId="131" text="VENCIDO">
      <formula>NOT(ISERROR(SEARCH("VENCIDO",P385)))</formula>
    </cfRule>
    <cfRule type="containsText" priority="870" operator="containsText" dxfId="130" text="VERDE">
      <formula>NOT(ISERROR(SEARCH("VERDE",P385)))</formula>
    </cfRule>
    <cfRule type="containsText" priority="871" operator="containsText" dxfId="129" stopIfTrue="1" text="AMARILLO">
      <formula>NOT(ISERROR(SEARCH("AMARILLO",P385)))</formula>
    </cfRule>
    <cfRule type="containsText" priority="872" operator="containsText" dxfId="128" text="ROJO">
      <formula>NOT(ISERROR(SEARCH("ROJO",P385)))</formula>
    </cfRule>
  </conditionalFormatting>
  <conditionalFormatting sqref="P417:P421">
    <cfRule type="containsText" priority="719" operator="containsText" dxfId="131" text="VENCIDO">
      <formula>NOT(ISERROR(SEARCH("VENCIDO",P417)))</formula>
    </cfRule>
    <cfRule type="containsText" priority="720" operator="containsText" dxfId="130" text="VERDE">
      <formula>NOT(ISERROR(SEARCH("VERDE",P417)))</formula>
    </cfRule>
    <cfRule type="containsText" priority="721" operator="containsText" dxfId="129" stopIfTrue="1" text="AMARILLO">
      <formula>NOT(ISERROR(SEARCH("AMARILLO",P417)))</formula>
    </cfRule>
    <cfRule type="containsText" priority="722" operator="containsText" dxfId="128" text="ROJO">
      <formula>NOT(ISERROR(SEARCH("ROJO",P417)))</formula>
    </cfRule>
  </conditionalFormatting>
  <conditionalFormatting sqref="P561:P565">
    <cfRule type="containsText" priority="615" operator="containsText" dxfId="131" text="VENCIDO">
      <formula>NOT(ISERROR(SEARCH("VENCIDO",P561)))</formula>
    </cfRule>
    <cfRule type="containsText" priority="616" operator="containsText" dxfId="130" text="VERDE">
      <formula>NOT(ISERROR(SEARCH("VERDE",P561)))</formula>
    </cfRule>
    <cfRule type="containsText" priority="617" operator="containsText" dxfId="129" stopIfTrue="1" text="AMARILLO">
      <formula>NOT(ISERROR(SEARCH("AMARILLO",P561)))</formula>
    </cfRule>
    <cfRule type="containsText" priority="618" operator="containsText" dxfId="128" text="ROJO">
      <formula>NOT(ISERROR(SEARCH("ROJO",P561)))</formula>
    </cfRule>
  </conditionalFormatting>
  <conditionalFormatting sqref="P707:P712">
    <cfRule type="containsText" priority="470" operator="containsText" dxfId="131" text="VENCIDO">
      <formula>NOT(ISERROR(SEARCH("VENCIDO",P707)))</formula>
    </cfRule>
    <cfRule type="containsText" priority="471" operator="containsText" dxfId="130" text="VERDE">
      <formula>NOT(ISERROR(SEARCH("VERDE",P707)))</formula>
    </cfRule>
    <cfRule type="containsText" priority="472" operator="containsText" dxfId="129" stopIfTrue="1" text="AMARILLO">
      <formula>NOT(ISERROR(SEARCH("AMARILLO",P707)))</formula>
    </cfRule>
    <cfRule type="containsText" priority="473" operator="containsText" dxfId="128" text="ROJO">
      <formula>NOT(ISERROR(SEARCH("ROJO",P707)))</formula>
    </cfRule>
  </conditionalFormatting>
  <conditionalFormatting sqref="P777:P783">
    <cfRule type="containsText" priority="436" operator="containsText" dxfId="131" text="VENCIDO">
      <formula>NOT(ISERROR(SEARCH("VENCIDO",P777)))</formula>
    </cfRule>
    <cfRule type="containsText" priority="437" operator="containsText" dxfId="130" text="VERDE">
      <formula>NOT(ISERROR(SEARCH("VERDE",P777)))</formula>
    </cfRule>
    <cfRule type="containsText" priority="438" operator="containsText" dxfId="129" stopIfTrue="1" text="AMARILLO">
      <formula>NOT(ISERROR(SEARCH("AMARILLO",P777)))</formula>
    </cfRule>
    <cfRule type="containsText" priority="439" operator="containsText" dxfId="128" text="ROJO">
      <formula>NOT(ISERROR(SEARCH("ROJO",P777)))</formula>
    </cfRule>
  </conditionalFormatting>
  <conditionalFormatting sqref="Q833:Q848">
    <cfRule type="containsText" priority="430" operator="containsText" dxfId="325" text="VERDE">
      <formula>NOT(ISERROR(SEARCH("VERDE",Q833)))</formula>
    </cfRule>
    <cfRule type="containsText" priority="431" operator="containsText" dxfId="324" text="AMARILLO">
      <formula>NOT(ISERROR(SEARCH("AMARILLO",Q833)))</formula>
    </cfRule>
    <cfRule type="containsText" priority="432" operator="containsText" dxfId="323" text="ROJO">
      <formula>NOT(ISERROR(SEARCH("ROJO",Q833)))</formula>
    </cfRule>
  </conditionalFormatting>
  <conditionalFormatting sqref="Q821:R832">
    <cfRule type="containsText" priority="858" operator="containsText" dxfId="325" text="VERDE">
      <formula>NOT(ISERROR(SEARCH("VERDE",Q821)))</formula>
    </cfRule>
    <cfRule type="containsText" priority="859" operator="containsText" dxfId="324" text="AMARILLO">
      <formula>NOT(ISERROR(SEARCH("AMARILLO",Q821)))</formula>
    </cfRule>
    <cfRule type="containsText" priority="860" operator="containsText" dxfId="323" text="ROJO">
      <formula>NOT(ISERROR(SEARCH("ROJO",Q821)))</formula>
    </cfRule>
  </conditionalFormatting>
  <conditionalFormatting sqref="AO821:AO827 AO838:AO860 AO868:AO871 AO873 AO875:AO887">
    <cfRule type="expression" priority="926" dxfId="314">
      <formula>$AO821&lt;&gt;#REF!</formula>
    </cfRule>
  </conditionalFormatting>
  <conditionalFormatting sqref="AO828:AO835">
    <cfRule type="expression" priority="990" dxfId="314">
      <formula>$AO828&lt;&gt;#REF!</formula>
    </cfRule>
  </conditionalFormatting>
  <conditionalFormatting sqref="AO836:AO837">
    <cfRule type="expression" priority="435" dxfId="314">
      <formula>$AO836&lt;&gt;#REF!</formula>
    </cfRule>
  </conditionalFormatting>
  <conditionalFormatting sqref="AO861">
    <cfRule type="expression" priority="429" dxfId="314">
      <formula>$AO861&lt;&gt;#REF!</formula>
    </cfRule>
  </conditionalFormatting>
  <conditionalFormatting sqref="AO862:AO866">
    <cfRule type="expression" priority="428" dxfId="314">
      <formula>$AO862&lt;&gt;#REF!</formula>
    </cfRule>
  </conditionalFormatting>
  <conditionalFormatting sqref="AO867">
    <cfRule type="expression" priority="427" dxfId="314">
      <formula>$AO867&lt;&gt;#REF!</formula>
    </cfRule>
  </conditionalFormatting>
  <conditionalFormatting sqref="AO872">
    <cfRule type="expression" priority="426" dxfId="314">
      <formula>$AO872&lt;&gt;#REF!</formula>
    </cfRule>
  </conditionalFormatting>
  <conditionalFormatting sqref="AO874">
    <cfRule type="expression" priority="425" dxfId="314">
      <formula>$AO874&lt;&gt;#REF!</formula>
    </cfRule>
  </conditionalFormatting>
  <conditionalFormatting sqref="AO888">
    <cfRule type="expression" priority="992" dxfId="314">
      <formula>$AO888&lt;&gt;$L888</formula>
    </cfRule>
  </conditionalFormatting>
  <conditionalFormatting sqref="AS417">
    <cfRule type="cellIs" priority="928" operator="greaterThan" dxfId="8">
      <formula>1</formula>
    </cfRule>
  </conditionalFormatting>
  <conditionalFormatting sqref="AS423">
    <cfRule type="cellIs" priority="597" operator="greaterThan" dxfId="8">
      <formula>1</formula>
    </cfRule>
  </conditionalFormatting>
  <conditionalFormatting sqref="AS429">
    <cfRule type="cellIs" priority="595" operator="greaterThan" dxfId="8">
      <formula>1</formula>
    </cfRule>
  </conditionalFormatting>
  <conditionalFormatting sqref="AS435">
    <cfRule type="cellIs" priority="593" operator="greaterThan" dxfId="8">
      <formula>1</formula>
    </cfRule>
  </conditionalFormatting>
  <conditionalFormatting sqref="AS441">
    <cfRule type="cellIs" priority="591" operator="greaterThan" dxfId="8">
      <formula>1</formula>
    </cfRule>
  </conditionalFormatting>
  <conditionalFormatting sqref="AS447">
    <cfRule type="cellIs" priority="589" operator="greaterThan" dxfId="8">
      <formula>1</formula>
    </cfRule>
  </conditionalFormatting>
  <conditionalFormatting sqref="AS453">
    <cfRule type="cellIs" priority="587" operator="greaterThan" dxfId="8">
      <formula>1</formula>
    </cfRule>
  </conditionalFormatting>
  <conditionalFormatting sqref="AS459">
    <cfRule type="cellIs" priority="585" operator="greaterThan" dxfId="8">
      <formula>1</formula>
    </cfRule>
  </conditionalFormatting>
  <conditionalFormatting sqref="AS465">
    <cfRule type="cellIs" priority="583" operator="greaterThan" dxfId="8">
      <formula>1</formula>
    </cfRule>
  </conditionalFormatting>
  <conditionalFormatting sqref="AS471">
    <cfRule type="cellIs" priority="581" operator="greaterThan" dxfId="8">
      <formula>1</formula>
    </cfRule>
  </conditionalFormatting>
  <conditionalFormatting sqref="AS477">
    <cfRule type="cellIs" priority="579" operator="greaterThan" dxfId="8">
      <formula>1</formula>
    </cfRule>
  </conditionalFormatting>
  <conditionalFormatting sqref="AS483">
    <cfRule type="cellIs" priority="577" operator="greaterThan" dxfId="8">
      <formula>1</formula>
    </cfRule>
  </conditionalFormatting>
  <conditionalFormatting sqref="AS489">
    <cfRule type="cellIs" priority="575" operator="greaterThan" dxfId="8">
      <formula>1</formula>
    </cfRule>
  </conditionalFormatting>
  <conditionalFormatting sqref="AS495">
    <cfRule type="cellIs" priority="573" operator="greaterThan" dxfId="8">
      <formula>1</formula>
    </cfRule>
  </conditionalFormatting>
  <conditionalFormatting sqref="AS501">
    <cfRule type="cellIs" priority="571" operator="greaterThan" dxfId="8">
      <formula>1</formula>
    </cfRule>
  </conditionalFormatting>
  <conditionalFormatting sqref="AS507">
    <cfRule type="cellIs" priority="569" operator="greaterThan" dxfId="8">
      <formula>1</formula>
    </cfRule>
  </conditionalFormatting>
  <conditionalFormatting sqref="AS513">
    <cfRule type="cellIs" priority="567" operator="greaterThan" dxfId="8">
      <formula>1</formula>
    </cfRule>
  </conditionalFormatting>
  <conditionalFormatting sqref="AS519">
    <cfRule type="cellIs" priority="565" operator="greaterThan" dxfId="8">
      <formula>1</formula>
    </cfRule>
  </conditionalFormatting>
  <conditionalFormatting sqref="AS525">
    <cfRule type="cellIs" priority="563" operator="greaterThan" dxfId="8">
      <formula>1</formula>
    </cfRule>
  </conditionalFormatting>
  <conditionalFormatting sqref="AS531">
    <cfRule type="cellIs" priority="561" operator="greaterThan" dxfId="8">
      <formula>1</formula>
    </cfRule>
  </conditionalFormatting>
  <conditionalFormatting sqref="AS537">
    <cfRule type="cellIs" priority="559" operator="greaterThan" dxfId="8">
      <formula>1</formula>
    </cfRule>
  </conditionalFormatting>
  <conditionalFormatting sqref="AS543">
    <cfRule type="cellIs" priority="557" operator="greaterThan" dxfId="8">
      <formula>1</formula>
    </cfRule>
  </conditionalFormatting>
  <conditionalFormatting sqref="AS549">
    <cfRule type="cellIs" priority="555" operator="greaterThan" dxfId="8">
      <formula>1</formula>
    </cfRule>
  </conditionalFormatting>
  <conditionalFormatting sqref="AS555">
    <cfRule type="cellIs" priority="553" operator="greaterThan" dxfId="8">
      <formula>1</formula>
    </cfRule>
  </conditionalFormatting>
  <conditionalFormatting sqref="AS561">
    <cfRule type="cellIs" priority="551" operator="greaterThan" dxfId="8">
      <formula>1</formula>
    </cfRule>
  </conditionalFormatting>
  <conditionalFormatting sqref="AS567">
    <cfRule type="cellIs" priority="549" operator="greaterThan" dxfId="8">
      <formula>1</formula>
    </cfRule>
  </conditionalFormatting>
  <conditionalFormatting sqref="AS573">
    <cfRule type="cellIs" priority="544" operator="greaterThan" dxfId="8">
      <formula>1</formula>
    </cfRule>
  </conditionalFormatting>
  <conditionalFormatting sqref="AS579">
    <cfRule type="cellIs" priority="546" operator="greaterThan" dxfId="8">
      <formula>1</formula>
    </cfRule>
  </conditionalFormatting>
  <conditionalFormatting sqref="AS585">
    <cfRule type="cellIs" priority="537" operator="greaterThan" dxfId="8">
      <formula>1</formula>
    </cfRule>
  </conditionalFormatting>
  <conditionalFormatting sqref="AS591">
    <cfRule type="cellIs" priority="529" operator="greaterThan" dxfId="8">
      <formula>1</formula>
    </cfRule>
  </conditionalFormatting>
  <conditionalFormatting sqref="AS597 AS603">
    <cfRule type="cellIs" priority="521" operator="greaterThan" dxfId="8">
      <formula>1</formula>
    </cfRule>
  </conditionalFormatting>
  <conditionalFormatting sqref="AS609 AS615 AS621 AS627">
    <cfRule type="cellIs" priority="513" operator="greaterThan" dxfId="8">
      <formula>1</formula>
    </cfRule>
  </conditionalFormatting>
  <conditionalFormatting sqref="AS780:AS787">
    <cfRule type="cellIs" priority="946" operator="greaterThan" dxfId="8">
      <formula>1</formula>
    </cfRule>
  </conditionalFormatting>
  <conditionalFormatting sqref="AS821:AS856">
    <cfRule type="cellIs" priority="434" operator="greaterThan" dxfId="8">
      <formula>1</formula>
    </cfRule>
  </conditionalFormatting>
  <conditionalFormatting sqref="AT417">
    <cfRule type="cellIs" priority="927" operator="greaterThan" dxfId="121">
      <formula>1</formula>
    </cfRule>
  </conditionalFormatting>
  <conditionalFormatting sqref="AT423">
    <cfRule type="cellIs" priority="596" operator="greaterThan" dxfId="121">
      <formula>1</formula>
    </cfRule>
  </conditionalFormatting>
  <conditionalFormatting sqref="AT429">
    <cfRule type="cellIs" priority="594" operator="greaterThan" dxfId="121">
      <formula>1</formula>
    </cfRule>
  </conditionalFormatting>
  <conditionalFormatting sqref="AT435">
    <cfRule type="cellIs" priority="592" operator="greaterThan" dxfId="121">
      <formula>1</formula>
    </cfRule>
  </conditionalFormatting>
  <conditionalFormatting sqref="AT441">
    <cfRule type="cellIs" priority="590" operator="greaterThan" dxfId="121">
      <formula>1</formula>
    </cfRule>
  </conditionalFormatting>
  <conditionalFormatting sqref="AT447">
    <cfRule type="cellIs" priority="588" operator="greaterThan" dxfId="121">
      <formula>1</formula>
    </cfRule>
  </conditionalFormatting>
  <conditionalFormatting sqref="AT453">
    <cfRule type="cellIs" priority="586" operator="greaterThan" dxfId="121">
      <formula>1</formula>
    </cfRule>
  </conditionalFormatting>
  <conditionalFormatting sqref="AT459">
    <cfRule type="cellIs" priority="584" operator="greaterThan" dxfId="121">
      <formula>1</formula>
    </cfRule>
  </conditionalFormatting>
  <conditionalFormatting sqref="AT465">
    <cfRule type="cellIs" priority="582" operator="greaterThan" dxfId="121">
      <formula>1</formula>
    </cfRule>
  </conditionalFormatting>
  <conditionalFormatting sqref="AT471">
    <cfRule type="cellIs" priority="580" operator="greaterThan" dxfId="121">
      <formula>1</formula>
    </cfRule>
  </conditionalFormatting>
  <conditionalFormatting sqref="AT477">
    <cfRule type="cellIs" priority="578" operator="greaterThan" dxfId="121">
      <formula>1</formula>
    </cfRule>
  </conditionalFormatting>
  <conditionalFormatting sqref="AT483">
    <cfRule type="cellIs" priority="576" operator="greaterThan" dxfId="121">
      <formula>1</formula>
    </cfRule>
  </conditionalFormatting>
  <conditionalFormatting sqref="AT489">
    <cfRule type="cellIs" priority="574" operator="greaterThan" dxfId="121">
      <formula>1</formula>
    </cfRule>
  </conditionalFormatting>
  <conditionalFormatting sqref="AT495">
    <cfRule type="cellIs" priority="572" operator="greaterThan" dxfId="121">
      <formula>1</formula>
    </cfRule>
  </conditionalFormatting>
  <conditionalFormatting sqref="AT501">
    <cfRule type="cellIs" priority="570" operator="greaterThan" dxfId="121">
      <formula>1</formula>
    </cfRule>
  </conditionalFormatting>
  <conditionalFormatting sqref="AT507">
    <cfRule type="cellIs" priority="568" operator="greaterThan" dxfId="121">
      <formula>1</formula>
    </cfRule>
  </conditionalFormatting>
  <conditionalFormatting sqref="AT513">
    <cfRule type="cellIs" priority="566" operator="greaterThan" dxfId="121">
      <formula>1</formula>
    </cfRule>
  </conditionalFormatting>
  <conditionalFormatting sqref="AT519">
    <cfRule type="cellIs" priority="564" operator="greaterThan" dxfId="121">
      <formula>1</formula>
    </cfRule>
  </conditionalFormatting>
  <conditionalFormatting sqref="AT525">
    <cfRule type="cellIs" priority="562" operator="greaterThan" dxfId="121">
      <formula>1</formula>
    </cfRule>
  </conditionalFormatting>
  <conditionalFormatting sqref="AT531">
    <cfRule type="cellIs" priority="560" operator="greaterThan" dxfId="121">
      <formula>1</formula>
    </cfRule>
  </conditionalFormatting>
  <conditionalFormatting sqref="AT537">
    <cfRule type="cellIs" priority="558" operator="greaterThan" dxfId="121">
      <formula>1</formula>
    </cfRule>
  </conditionalFormatting>
  <conditionalFormatting sqref="AT543">
    <cfRule type="cellIs" priority="556" operator="greaterThan" dxfId="121">
      <formula>1</formula>
    </cfRule>
  </conditionalFormatting>
  <conditionalFormatting sqref="AT549">
    <cfRule type="cellIs" priority="554" operator="greaterThan" dxfId="121">
      <formula>1</formula>
    </cfRule>
  </conditionalFormatting>
  <conditionalFormatting sqref="AT555">
    <cfRule type="cellIs" priority="552" operator="greaterThan" dxfId="121">
      <formula>1</formula>
    </cfRule>
  </conditionalFormatting>
  <conditionalFormatting sqref="AT561">
    <cfRule type="cellIs" priority="550" operator="greaterThan" dxfId="121">
      <formula>1</formula>
    </cfRule>
  </conditionalFormatting>
  <conditionalFormatting sqref="AT567">
    <cfRule type="cellIs" priority="548" operator="greaterThan" dxfId="121">
      <formula>1</formula>
    </cfRule>
  </conditionalFormatting>
  <conditionalFormatting sqref="AT573">
    <cfRule type="cellIs" priority="547" operator="greaterThan" dxfId="121">
      <formula>1</formula>
    </cfRule>
  </conditionalFormatting>
  <conditionalFormatting sqref="AT579">
    <cfRule type="cellIs" priority="545" operator="greaterThan" dxfId="121">
      <formula>1</formula>
    </cfRule>
  </conditionalFormatting>
  <conditionalFormatting sqref="AT585">
    <cfRule type="cellIs" priority="536" operator="greaterThan" dxfId="121">
      <formula>1</formula>
    </cfRule>
  </conditionalFormatting>
  <conditionalFormatting sqref="AT591">
    <cfRule type="cellIs" priority="528" operator="greaterThan" dxfId="121">
      <formula>1</formula>
    </cfRule>
  </conditionalFormatting>
  <conditionalFormatting sqref="AT597 AT603">
    <cfRule type="cellIs" priority="520" operator="greaterThan" dxfId="121">
      <formula>1</formula>
    </cfRule>
  </conditionalFormatting>
  <conditionalFormatting sqref="AT609 AT615 AT621 AT627">
    <cfRule type="cellIs" priority="512" operator="greaterThan" dxfId="121">
      <formula>1</formula>
    </cfRule>
  </conditionalFormatting>
  <conditionalFormatting sqref="AT780:AT787">
    <cfRule type="cellIs" priority="945" operator="greaterThan" dxfId="121">
      <formula>1</formula>
    </cfRule>
  </conditionalFormatting>
  <conditionalFormatting sqref="AT821:AT856">
    <cfRule type="cellIs" priority="433" operator="greaterThan" dxfId="121">
      <formula>1</formula>
    </cfRule>
  </conditionalFormatting>
  <conditionalFormatting sqref="K561:K565">
    <cfRule type="cellIs" priority="362" operator="lessThan" dxfId="0" stopIfTrue="1">
      <formula>0</formula>
    </cfRule>
  </conditionalFormatting>
  <conditionalFormatting sqref="K417:K421">
    <cfRule type="cellIs" priority="359" operator="lessThan" dxfId="0" stopIfTrue="1">
      <formula>0</formula>
    </cfRule>
  </conditionalFormatting>
  <conditionalFormatting sqref="D566">
    <cfRule type="cellIs" priority="358" operator="lessThan" dxfId="384" stopIfTrue="1">
      <formula>0</formula>
    </cfRule>
  </conditionalFormatting>
  <conditionalFormatting sqref="K405:K408">
    <cfRule type="cellIs" priority="341" operator="lessThan" dxfId="0" stopIfTrue="1">
      <formula>0</formula>
    </cfRule>
  </conditionalFormatting>
  <conditionalFormatting sqref="K395:K398">
    <cfRule type="cellIs" priority="338" operator="lessThan" dxfId="0" stopIfTrue="1">
      <formula>0</formula>
    </cfRule>
  </conditionalFormatting>
  <conditionalFormatting sqref="K400:K403">
    <cfRule type="cellIs" priority="337" operator="lessThan" dxfId="0" stopIfTrue="1">
      <formula>0</formula>
    </cfRule>
  </conditionalFormatting>
  <conditionalFormatting sqref="K390:K393">
    <cfRule type="cellIs" priority="336" operator="lessThan" dxfId="0" stopIfTrue="1">
      <formula>0</formula>
    </cfRule>
  </conditionalFormatting>
  <conditionalFormatting sqref="P390:P393">
    <cfRule type="containsText" priority="332" operator="containsText" dxfId="131" text="VENCIDO">
      <formula>NOT(ISERROR(SEARCH("VENCIDO",P390)))</formula>
    </cfRule>
    <cfRule type="containsText" priority="333" operator="containsText" dxfId="130" text="VERDE">
      <formula>NOT(ISERROR(SEARCH("VERDE",P390)))</formula>
    </cfRule>
    <cfRule type="containsText" priority="334" operator="containsText" dxfId="129" stopIfTrue="1" text="AMARILLO">
      <formula>NOT(ISERROR(SEARCH("AMARILLO",P390)))</formula>
    </cfRule>
    <cfRule type="containsText" priority="335" operator="containsText" dxfId="128" text="ROJO">
      <formula>NOT(ISERROR(SEARCH("ROJO",P390)))</formula>
    </cfRule>
  </conditionalFormatting>
  <conditionalFormatting sqref="P395:P398">
    <cfRule type="containsText" priority="328" operator="containsText" dxfId="131" text="VENCIDO">
      <formula>NOT(ISERROR(SEARCH("VENCIDO",P395)))</formula>
    </cfRule>
    <cfRule type="containsText" priority="329" operator="containsText" dxfId="130" text="VERDE">
      <formula>NOT(ISERROR(SEARCH("VERDE",P395)))</formula>
    </cfRule>
    <cfRule type="containsText" priority="330" operator="containsText" dxfId="129" stopIfTrue="1" text="AMARILLO">
      <formula>NOT(ISERROR(SEARCH("AMARILLO",P395)))</formula>
    </cfRule>
    <cfRule type="containsText" priority="331" operator="containsText" dxfId="128" text="ROJO">
      <formula>NOT(ISERROR(SEARCH("ROJO",P395)))</formula>
    </cfRule>
  </conditionalFormatting>
  <conditionalFormatting sqref="P400:P403">
    <cfRule type="containsText" priority="324" operator="containsText" dxfId="131" text="VENCIDO">
      <formula>NOT(ISERROR(SEARCH("VENCIDO",P400)))</formula>
    </cfRule>
    <cfRule type="containsText" priority="325" operator="containsText" dxfId="130" text="VERDE">
      <formula>NOT(ISERROR(SEARCH("VERDE",P400)))</formula>
    </cfRule>
    <cfRule type="containsText" priority="326" operator="containsText" dxfId="129" stopIfTrue="1" text="AMARILLO">
      <formula>NOT(ISERROR(SEARCH("AMARILLO",P400)))</formula>
    </cfRule>
    <cfRule type="containsText" priority="327" operator="containsText" dxfId="128" text="ROJO">
      <formula>NOT(ISERROR(SEARCH("ROJO",P400)))</formula>
    </cfRule>
  </conditionalFormatting>
  <conditionalFormatting sqref="P405:P408">
    <cfRule type="containsText" priority="320" operator="containsText" dxfId="131" text="VENCIDO">
      <formula>NOT(ISERROR(SEARCH("VENCIDO",P405)))</formula>
    </cfRule>
    <cfRule type="containsText" priority="321" operator="containsText" dxfId="130" text="VERDE">
      <formula>NOT(ISERROR(SEARCH("VERDE",P405)))</formula>
    </cfRule>
    <cfRule type="containsText" priority="322" operator="containsText" dxfId="129" stopIfTrue="1" text="AMARILLO">
      <formula>NOT(ISERROR(SEARCH("AMARILLO",P405)))</formula>
    </cfRule>
    <cfRule type="containsText" priority="323" operator="containsText" dxfId="128" text="ROJO">
      <formula>NOT(ISERROR(SEARCH("ROJO",P405)))</formula>
    </cfRule>
  </conditionalFormatting>
  <conditionalFormatting sqref="K640:K644 K646:K650 K652:K656 K658:K662 K664:K668 K670:K674 K676:K680 K682:K686 K688:K692 K694:K698 K700:K704">
    <cfRule type="cellIs" priority="213"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66"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61" operator="containsText" dxfId="131" text="VENCIDO">
      <formula>NOT(ISERROR(SEARCH("VENCIDO",P19)))</formula>
    </cfRule>
    <cfRule type="containsText" priority="262" operator="containsText" dxfId="130" text="VERDE">
      <formula>NOT(ISERROR(SEARCH("VERDE",P19)))</formula>
    </cfRule>
    <cfRule type="containsText" priority="263" operator="containsText" dxfId="129" stopIfTrue="1" text="AMARILLO">
      <formula>NOT(ISERROR(SEARCH("AMARILLO",P19)))</formula>
    </cfRule>
    <cfRule type="containsText" priority="264" operator="containsText" dxfId="128" text="ROJO">
      <formula>NOT(ISERROR(SEARCH("ROJO",P19)))</formula>
    </cfRule>
  </conditionalFormatting>
  <conditionalFormatting sqref="K230:K234 K236:K240 K242:K246 K248:K252 K254:K258 K260:K264 K266:K270 K272:K276 K278:K282 K284:K288 K290:K294 K296:K300">
    <cfRule type="cellIs" priority="260" operator="lessThan" dxfId="0" stopIfTrue="1">
      <formula>0</formula>
    </cfRule>
  </conditionalFormatting>
  <conditionalFormatting sqref="P230:P234 P236:P240 P242:P246 P248:P252 P254:P258 P260:P264 P266:P270 P272:P276 P278:P282 P284:P288 P290:P294 P296:P300">
    <cfRule type="containsText" priority="255" operator="containsText" dxfId="131" text="VENCIDO">
      <formula>NOT(ISERROR(SEARCH("VENCIDO",P230)))</formula>
    </cfRule>
    <cfRule type="containsText" priority="256" operator="containsText" dxfId="130" text="VERDE">
      <formula>NOT(ISERROR(SEARCH("VERDE",P230)))</formula>
    </cfRule>
    <cfRule type="containsText" priority="257" operator="containsText" dxfId="129" stopIfTrue="1" text="AMARILLO">
      <formula>NOT(ISERROR(SEARCH("AMARILLO",P230)))</formula>
    </cfRule>
    <cfRule type="containsText" priority="258" operator="containsText" dxfId="128" text="ROJO">
      <formula>NOT(ISERROR(SEARCH("ROJO",P230)))</formula>
    </cfRule>
  </conditionalFormatting>
  <conditionalFormatting sqref="K316 K323 K330 K337 K344 K351 K358 K365 K372">
    <cfRule type="containsText" priority="254" operator="containsText" dxfId="8" text="Falso">
      <formula>NOT(ISERROR(SEARCH("Falso",K316)))</formula>
    </cfRule>
  </conditionalFormatting>
  <conditionalFormatting sqref="P310:P315 P317:P322 P324:P329 P331:P336 P338:P343 P345:P350 P352:P357 P359:P364 P366:P371">
    <cfRule type="containsText" priority="249" operator="containsText" dxfId="131" text="VENCIDO">
      <formula>NOT(ISERROR(SEARCH("VENCIDO",P310)))</formula>
    </cfRule>
    <cfRule type="containsText" priority="250" operator="containsText" dxfId="130" text="VERDE">
      <formula>NOT(ISERROR(SEARCH("VERDE",P310)))</formula>
    </cfRule>
    <cfRule type="containsText" priority="251" operator="containsText" dxfId="129" stopIfTrue="1" text="AMARILLO">
      <formula>NOT(ISERROR(SEARCH("AMARILLO",P310)))</formula>
    </cfRule>
    <cfRule type="containsText" priority="252" operator="containsText" dxfId="128" text="ROJO">
      <formula>NOT(ISERROR(SEARCH("ROJO",P310)))</formula>
    </cfRule>
  </conditionalFormatting>
  <conditionalFormatting sqref="K310:K315">
    <cfRule type="cellIs" priority="248" operator="lessThan" dxfId="0" stopIfTrue="1">
      <formula>0</formula>
    </cfRule>
  </conditionalFormatting>
  <conditionalFormatting sqref="K317:K322">
    <cfRule type="cellIs" priority="247" operator="lessThan" dxfId="0" stopIfTrue="1">
      <formula>0</formula>
    </cfRule>
  </conditionalFormatting>
  <conditionalFormatting sqref="K324:K329">
    <cfRule type="cellIs" priority="246" operator="lessThan" dxfId="0" stopIfTrue="1">
      <formula>0</formula>
    </cfRule>
  </conditionalFormatting>
  <conditionalFormatting sqref="K331:K336">
    <cfRule type="cellIs" priority="245" operator="lessThan" dxfId="0" stopIfTrue="1">
      <formula>0</formula>
    </cfRule>
  </conditionalFormatting>
  <conditionalFormatting sqref="K338:K343">
    <cfRule type="cellIs" priority="244" operator="lessThan" dxfId="0" stopIfTrue="1">
      <formula>0</formula>
    </cfRule>
  </conditionalFormatting>
  <conditionalFormatting sqref="K345:K350">
    <cfRule type="cellIs" priority="243" operator="lessThan" dxfId="0" stopIfTrue="1">
      <formula>0</formula>
    </cfRule>
  </conditionalFormatting>
  <conditionalFormatting sqref="K352:K357">
    <cfRule type="cellIs" priority="242" operator="lessThan" dxfId="0" stopIfTrue="1">
      <formula>0</formula>
    </cfRule>
  </conditionalFormatting>
  <conditionalFormatting sqref="K359:K364">
    <cfRule type="cellIs" priority="241" operator="lessThan" dxfId="0" stopIfTrue="1">
      <formula>0</formula>
    </cfRule>
  </conditionalFormatting>
  <conditionalFormatting sqref="K366:K371">
    <cfRule type="cellIs" priority="240"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236" operator="containsText" dxfId="131" text="VENCIDO">
      <formula>NOT(ISERROR(SEARCH("VENCIDO",P423)))</formula>
    </cfRule>
    <cfRule type="containsText" priority="237" operator="containsText" dxfId="130" text="VERDE">
      <formula>NOT(ISERROR(SEARCH("VERDE",P423)))</formula>
    </cfRule>
    <cfRule type="containsText" priority="238" operator="containsText" dxfId="129" stopIfTrue="1" text="AMARILLO">
      <formula>NOT(ISERROR(SEARCH("AMARILLO",P423)))</formula>
    </cfRule>
    <cfRule type="containsText" priority="239"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234" operator="lessThan" dxfId="0" stopIfTrue="1">
      <formula>0</formula>
    </cfRule>
  </conditionalFormatting>
  <conditionalFormatting sqref="P567:P571">
    <cfRule type="containsText" priority="230" operator="containsText" dxfId="131" text="VENCIDO">
      <formula>NOT(ISERROR(SEARCH("VENCIDO",P567)))</formula>
    </cfRule>
    <cfRule type="containsText" priority="231" operator="containsText" dxfId="130" text="VERDE">
      <formula>NOT(ISERROR(SEARCH("VERDE",P567)))</formula>
    </cfRule>
    <cfRule type="containsText" priority="232" operator="containsText" dxfId="129" stopIfTrue="1" text="AMARILLO">
      <formula>NOT(ISERROR(SEARCH("AMARILLO",P567)))</formula>
    </cfRule>
    <cfRule type="containsText" priority="233" operator="containsText" dxfId="128" text="ROJO">
      <formula>NOT(ISERROR(SEARCH("ROJO",P567)))</formula>
    </cfRule>
  </conditionalFormatting>
  <conditionalFormatting sqref="K567:K571">
    <cfRule type="cellIs" priority="229" operator="lessThan" dxfId="0" stopIfTrue="1">
      <formula>0</formula>
    </cfRule>
  </conditionalFormatting>
  <conditionalFormatting sqref="D572">
    <cfRule type="cellIs" priority="227" operator="lessThan" dxfId="384" stopIfTrue="1">
      <formula>0</formula>
    </cfRule>
  </conditionalFormatting>
  <conditionalFormatting sqref="P573:P577 P579:P583 P585:P589 P591:P595 P597:P601 P603:P607 P609:P613 P615:P619 P621:P625 P627:P631">
    <cfRule type="containsText" priority="221" operator="containsText" dxfId="131" text="VENCIDO">
      <formula>NOT(ISERROR(SEARCH("VENCIDO",P573)))</formula>
    </cfRule>
    <cfRule type="containsText" priority="222" operator="containsText" dxfId="130" text="VERDE">
      <formula>NOT(ISERROR(SEARCH("VERDE",P573)))</formula>
    </cfRule>
    <cfRule type="containsText" priority="223" operator="containsText" dxfId="129" stopIfTrue="1" text="AMARILLO">
      <formula>NOT(ISERROR(SEARCH("AMARILLO",P573)))</formula>
    </cfRule>
    <cfRule type="containsText" priority="224" operator="containsText" dxfId="128" text="ROJO">
      <formula>NOT(ISERROR(SEARCH("ROJO",P573)))</formula>
    </cfRule>
  </conditionalFormatting>
  <conditionalFormatting sqref="K573:K577 K579:K583 K585:K589 K591:K595 K597:K601 K603:K607 K609:K613 K615:K619 K621:K625 K627:K631">
    <cfRule type="cellIs" priority="219" operator="lessThan" dxfId="0" stopIfTrue="1">
      <formula>0</formula>
    </cfRule>
  </conditionalFormatting>
  <conditionalFormatting sqref="P634:P638">
    <cfRule type="containsText" priority="215" operator="containsText" dxfId="131" text="VENCIDO">
      <formula>NOT(ISERROR(SEARCH("VENCIDO",P634)))</formula>
    </cfRule>
    <cfRule type="containsText" priority="216" operator="containsText" dxfId="130" text="VERDE">
      <formula>NOT(ISERROR(SEARCH("VERDE",P634)))</formula>
    </cfRule>
    <cfRule type="containsText" priority="217" operator="containsText" dxfId="129" stopIfTrue="1" text="AMARILLO">
      <formula>NOT(ISERROR(SEARCH("AMARILLO",P634)))</formula>
    </cfRule>
    <cfRule type="containsText" priority="218" operator="containsText" dxfId="128" text="ROJO">
      <formula>NOT(ISERROR(SEARCH("ROJO",P634)))</formula>
    </cfRule>
  </conditionalFormatting>
  <conditionalFormatting sqref="P640:P644 P646:P650 P652:P656 P658:P662 P664:P668 P670:P674 P676:P680 P682:P686 P688:P692 P694:P698 P700:P704">
    <cfRule type="containsText" priority="209" operator="containsText" dxfId="131" text="VENCIDO">
      <formula>NOT(ISERROR(SEARCH("VENCIDO",P640)))</formula>
    </cfRule>
    <cfRule type="containsText" priority="210" operator="containsText" dxfId="130" text="VERDE">
      <formula>NOT(ISERROR(SEARCH("VERDE",P640)))</formula>
    </cfRule>
    <cfRule type="containsText" priority="211" operator="containsText" dxfId="129" stopIfTrue="1" text="AMARILLO">
      <formula>NOT(ISERROR(SEARCH("AMARILLO",P640)))</formula>
    </cfRule>
    <cfRule type="containsText" priority="212" operator="containsText" dxfId="128" text="ROJO">
      <formula>NOT(ISERROR(SEARCH("ROJO",P640)))</formula>
    </cfRule>
  </conditionalFormatting>
  <conditionalFormatting sqref="P714:P719">
    <cfRule type="containsText" priority="205" operator="containsText" dxfId="131" text="VENCIDO">
      <formula>NOT(ISERROR(SEARCH("VENCIDO",P714)))</formula>
    </cfRule>
    <cfRule type="containsText" priority="206" operator="containsText" dxfId="130" text="VERDE">
      <formula>NOT(ISERROR(SEARCH("VERDE",P714)))</formula>
    </cfRule>
    <cfRule type="containsText" priority="207" operator="containsText" dxfId="129" stopIfTrue="1" text="AMARILLO">
      <formula>NOT(ISERROR(SEARCH("AMARILLO",P714)))</formula>
    </cfRule>
    <cfRule type="containsText" priority="208" operator="containsText" dxfId="128" text="ROJO">
      <formula>NOT(ISERROR(SEARCH("ROJO",P714)))</formula>
    </cfRule>
  </conditionalFormatting>
  <conditionalFormatting sqref="P721:P726">
    <cfRule type="containsText" priority="201" operator="containsText" dxfId="131" text="VENCIDO">
      <formula>NOT(ISERROR(SEARCH("VENCIDO",P721)))</formula>
    </cfRule>
    <cfRule type="containsText" priority="202" operator="containsText" dxfId="130" text="VERDE">
      <formula>NOT(ISERROR(SEARCH("VERDE",P721)))</formula>
    </cfRule>
    <cfRule type="containsText" priority="203" operator="containsText" dxfId="129" stopIfTrue="1" text="AMARILLO">
      <formula>NOT(ISERROR(SEARCH("AMARILLO",P721)))</formula>
    </cfRule>
    <cfRule type="containsText" priority="204" operator="containsText" dxfId="128" text="ROJO">
      <formula>NOT(ISERROR(SEARCH("ROJO",P721)))</formula>
    </cfRule>
  </conditionalFormatting>
  <conditionalFormatting sqref="P728:P733">
    <cfRule type="containsText" priority="197" operator="containsText" dxfId="131" text="VENCIDO">
      <formula>NOT(ISERROR(SEARCH("VENCIDO",P728)))</formula>
    </cfRule>
    <cfRule type="containsText" priority="198" operator="containsText" dxfId="130" text="VERDE">
      <formula>NOT(ISERROR(SEARCH("VERDE",P728)))</formula>
    </cfRule>
    <cfRule type="containsText" priority="199" operator="containsText" dxfId="129" stopIfTrue="1" text="AMARILLO">
      <formula>NOT(ISERROR(SEARCH("AMARILLO",P728)))</formula>
    </cfRule>
    <cfRule type="containsText" priority="200" operator="containsText" dxfId="128" text="ROJO">
      <formula>NOT(ISERROR(SEARCH("ROJO",P728)))</formula>
    </cfRule>
  </conditionalFormatting>
  <conditionalFormatting sqref="P735:P740">
    <cfRule type="containsText" priority="193" operator="containsText" dxfId="131" text="VENCIDO">
      <formula>NOT(ISERROR(SEARCH("VENCIDO",P735)))</formula>
    </cfRule>
    <cfRule type="containsText" priority="194" operator="containsText" dxfId="130" text="VERDE">
      <formula>NOT(ISERROR(SEARCH("VERDE",P735)))</formula>
    </cfRule>
    <cfRule type="containsText" priority="195" operator="containsText" dxfId="129" stopIfTrue="1" text="AMARILLO">
      <formula>NOT(ISERROR(SEARCH("AMARILLO",P735)))</formula>
    </cfRule>
    <cfRule type="containsText" priority="196" operator="containsText" dxfId="128" text="ROJO">
      <formula>NOT(ISERROR(SEARCH("ROJO",P735)))</formula>
    </cfRule>
  </conditionalFormatting>
  <conditionalFormatting sqref="P742:P747">
    <cfRule type="containsText" priority="189" operator="containsText" dxfId="131" text="VENCIDO">
      <formula>NOT(ISERROR(SEARCH("VENCIDO",P742)))</formula>
    </cfRule>
    <cfRule type="containsText" priority="190" operator="containsText" dxfId="130" text="VERDE">
      <formula>NOT(ISERROR(SEARCH("VERDE",P742)))</formula>
    </cfRule>
    <cfRule type="containsText" priority="191" operator="containsText" dxfId="129" stopIfTrue="1" text="AMARILLO">
      <formula>NOT(ISERROR(SEARCH("AMARILLO",P742)))</formula>
    </cfRule>
    <cfRule type="containsText" priority="192" operator="containsText" dxfId="128" text="ROJO">
      <formula>NOT(ISERROR(SEARCH("ROJO",P742)))</formula>
    </cfRule>
  </conditionalFormatting>
  <conditionalFormatting sqref="P749:P754">
    <cfRule type="containsText" priority="185" operator="containsText" dxfId="131" text="VENCIDO">
      <formula>NOT(ISERROR(SEARCH("VENCIDO",P749)))</formula>
    </cfRule>
    <cfRule type="containsText" priority="186" operator="containsText" dxfId="130" text="VERDE">
      <formula>NOT(ISERROR(SEARCH("VERDE",P749)))</formula>
    </cfRule>
    <cfRule type="containsText" priority="187" operator="containsText" dxfId="129" stopIfTrue="1" text="AMARILLO">
      <formula>NOT(ISERROR(SEARCH("AMARILLO",P749)))</formula>
    </cfRule>
    <cfRule type="containsText" priority="188" operator="containsText" dxfId="128" text="ROJO">
      <formula>NOT(ISERROR(SEARCH("ROJO",P749)))</formula>
    </cfRule>
  </conditionalFormatting>
  <conditionalFormatting sqref="P756:P761">
    <cfRule type="containsText" priority="181" operator="containsText" dxfId="131" text="VENCIDO">
      <formula>NOT(ISERROR(SEARCH("VENCIDO",P756)))</formula>
    </cfRule>
    <cfRule type="containsText" priority="182" operator="containsText" dxfId="130" text="VERDE">
      <formula>NOT(ISERROR(SEARCH("VERDE",P756)))</formula>
    </cfRule>
    <cfRule type="containsText" priority="183" operator="containsText" dxfId="129" stopIfTrue="1" text="AMARILLO">
      <formula>NOT(ISERROR(SEARCH("AMARILLO",P756)))</formula>
    </cfRule>
    <cfRule type="containsText" priority="184" operator="containsText" dxfId="128" text="ROJO">
      <formula>NOT(ISERROR(SEARCH("ROJO",P756)))</formula>
    </cfRule>
  </conditionalFormatting>
  <conditionalFormatting sqref="P763:P768">
    <cfRule type="containsText" priority="177" operator="containsText" dxfId="131" text="VENCIDO">
      <formula>NOT(ISERROR(SEARCH("VENCIDO",P763)))</formula>
    </cfRule>
    <cfRule type="containsText" priority="178" operator="containsText" dxfId="130" text="VERDE">
      <formula>NOT(ISERROR(SEARCH("VERDE",P763)))</formula>
    </cfRule>
    <cfRule type="containsText" priority="179" operator="containsText" dxfId="129" stopIfTrue="1" text="AMARILLO">
      <formula>NOT(ISERROR(SEARCH("AMARILLO",P763)))</formula>
    </cfRule>
    <cfRule type="containsText" priority="180" operator="containsText" dxfId="128" text="ROJO">
      <formula>NOT(ISERROR(SEARCH("ROJO",P763)))</formula>
    </cfRule>
  </conditionalFormatting>
  <conditionalFormatting sqref="P770:P775">
    <cfRule type="containsText" priority="173" operator="containsText" dxfId="131" text="VENCIDO">
      <formula>NOT(ISERROR(SEARCH("VENCIDO",P770)))</formula>
    </cfRule>
    <cfRule type="containsText" priority="174" operator="containsText" dxfId="130" text="VERDE">
      <formula>NOT(ISERROR(SEARCH("VERDE",P770)))</formula>
    </cfRule>
    <cfRule type="containsText" priority="175" operator="containsText" dxfId="129" stopIfTrue="1" text="AMARILLO">
      <formula>NOT(ISERROR(SEARCH("AMARILLO",P770)))</formula>
    </cfRule>
    <cfRule type="containsText" priority="176" operator="containsText" dxfId="128" text="ROJO">
      <formula>NOT(ISERROR(SEARCH("ROJO",P770)))</formula>
    </cfRule>
  </conditionalFormatting>
  <conditionalFormatting sqref="P789:P792">
    <cfRule type="containsText" priority="166" operator="containsText" dxfId="131" text="VENCIDO">
      <formula>NOT(ISERROR(SEARCH("VENCIDO",P789)))</formula>
    </cfRule>
    <cfRule type="containsText" priority="167" operator="containsText" dxfId="130" text="VERDE">
      <formula>NOT(ISERROR(SEARCH("VERDE",P789)))</formula>
    </cfRule>
    <cfRule type="containsText" priority="168" operator="containsText" dxfId="129" stopIfTrue="1" text="AMARILLO">
      <formula>NOT(ISERROR(SEARCH("AMARILLO",P789)))</formula>
    </cfRule>
    <cfRule type="containsText" priority="169" operator="containsText" dxfId="128" text="ROJO">
      <formula>NOT(ISERROR(SEARCH("ROJO",P789)))</formula>
    </cfRule>
  </conditionalFormatting>
  <conditionalFormatting sqref="P794:P797">
    <cfRule type="containsText" priority="159" operator="containsText" dxfId="131" text="VENCIDO">
      <formula>NOT(ISERROR(SEARCH("VENCIDO",P794)))</formula>
    </cfRule>
    <cfRule type="containsText" priority="160" operator="containsText" dxfId="130" text="VERDE">
      <formula>NOT(ISERROR(SEARCH("VERDE",P794)))</formula>
    </cfRule>
    <cfRule type="containsText" priority="161" operator="containsText" dxfId="129" stopIfTrue="1" text="AMARILLO">
      <formula>NOT(ISERROR(SEARCH("AMARILLO",P794)))</formula>
    </cfRule>
    <cfRule type="containsText" priority="162" operator="containsText" dxfId="128" text="ROJO">
      <formula>NOT(ISERROR(SEARCH("ROJO",P794)))</formula>
    </cfRule>
  </conditionalFormatting>
  <conditionalFormatting sqref="P799:P802 P804:P807 P809:P812">
    <cfRule type="containsText" priority="128" operator="containsText" dxfId="131" text="VENCIDO">
      <formula>NOT(ISERROR(SEARCH("VENCIDO",P799)))</formula>
    </cfRule>
    <cfRule type="containsText" priority="129" operator="containsText" dxfId="130" text="VERDE">
      <formula>NOT(ISERROR(SEARCH("VERDE",P799)))</formula>
    </cfRule>
    <cfRule type="containsText" priority="130" operator="containsText" dxfId="129" stopIfTrue="1" text="AMARILLO">
      <formula>NOT(ISERROR(SEARCH("AMARILLO",P799)))</formula>
    </cfRule>
    <cfRule type="containsText" priority="131" operator="containsText" dxfId="128" text="ROJO">
      <formula>NOT(ISERROR(SEARCH("ROJO",P799)))</formula>
    </cfRule>
  </conditionalFormatting>
  <conditionalFormatting sqref="K789:K792">
    <cfRule type="cellIs" priority="127" operator="lessThan" dxfId="0" stopIfTrue="1">
      <formula>0</formula>
    </cfRule>
  </conditionalFormatting>
  <conditionalFormatting sqref="K794:K797">
    <cfRule type="cellIs" priority="126" operator="lessThan" dxfId="0" stopIfTrue="1">
      <formula>0</formula>
    </cfRule>
  </conditionalFormatting>
  <conditionalFormatting sqref="K799:K802">
    <cfRule type="cellIs" priority="125" operator="lessThan" dxfId="0" stopIfTrue="1">
      <formula>0</formula>
    </cfRule>
  </conditionalFormatting>
  <conditionalFormatting sqref="K804:K807">
    <cfRule type="cellIs" priority="124" operator="lessThan" dxfId="0" stopIfTrue="1">
      <formula>0</formula>
    </cfRule>
  </conditionalFormatting>
  <conditionalFormatting sqref="K809:K812">
    <cfRule type="cellIs" priority="123" operator="lessThan" dxfId="0" stopIfTrue="1">
      <formula>0</formula>
    </cfRule>
  </conditionalFormatting>
  <conditionalFormatting sqref="AT789">
    <cfRule type="cellIs" priority="122" operator="greaterThan" dxfId="121">
      <formula>1</formula>
    </cfRule>
  </conditionalFormatting>
  <conditionalFormatting sqref="AT794 AT799 AT804 AT809">
    <cfRule type="cellIs" priority="121" operator="greaterThan" dxfId="121">
      <formula>1</formula>
    </cfRule>
  </conditionalFormatting>
  <conditionalFormatting sqref="D895:D897">
    <cfRule type="cellIs" priority="120" operator="lessThan" dxfId="0" stopIfTrue="1">
      <formula>0</formula>
    </cfRule>
  </conditionalFormatting>
  <conditionalFormatting sqref="E895:G897">
    <cfRule type="cellIs" priority="119" operator="lessThan" dxfId="0" stopIfTrue="1">
      <formula>0</formula>
    </cfRule>
  </conditionalFormatting>
  <conditionalFormatting sqref="K895:K897 M895:N897">
    <cfRule type="cellIs" priority="118" operator="lessThan" dxfId="0" stopIfTrue="1">
      <formula>0</formula>
    </cfRule>
  </conditionalFormatting>
  <conditionalFormatting sqref="K301">
    <cfRule type="containsText" priority="116" operator="containsText" dxfId="8" text="Falso">
      <formula>NOT(ISERROR(SEARCH("Falso",K301)))</formula>
    </cfRule>
  </conditionalFormatting>
  <conditionalFormatting sqref="K295">
    <cfRule type="containsText" priority="115" operator="containsText" dxfId="8" text="Falso">
      <formula>NOT(ISERROR(SEARCH("Falso",K295)))</formula>
    </cfRule>
  </conditionalFormatting>
  <conditionalFormatting sqref="K289">
    <cfRule type="containsText" priority="114" operator="containsText" dxfId="8" text="Falso">
      <formula>NOT(ISERROR(SEARCH("Falso",K289)))</formula>
    </cfRule>
  </conditionalFormatting>
  <conditionalFormatting sqref="K283">
    <cfRule type="containsText" priority="113" operator="containsText" dxfId="8" text="Falso">
      <formula>NOT(ISERROR(SEARCH("Falso",K283)))</formula>
    </cfRule>
  </conditionalFormatting>
  <conditionalFormatting sqref="K277">
    <cfRule type="containsText" priority="112" operator="containsText" dxfId="8" text="Falso">
      <formula>NOT(ISERROR(SEARCH("Falso",K277)))</formula>
    </cfRule>
  </conditionalFormatting>
  <conditionalFormatting sqref="K271">
    <cfRule type="containsText" priority="111" operator="containsText" dxfId="8" text="Falso">
      <formula>NOT(ISERROR(SEARCH("Falso",K271)))</formula>
    </cfRule>
  </conditionalFormatting>
  <conditionalFormatting sqref="K265">
    <cfRule type="containsText" priority="110" operator="containsText" dxfId="8" text="Falso">
      <formula>NOT(ISERROR(SEARCH("Falso",K265)))</formula>
    </cfRule>
  </conditionalFormatting>
  <conditionalFormatting sqref="K259">
    <cfRule type="containsText" priority="109" operator="containsText" dxfId="8" text="Falso">
      <formula>NOT(ISERROR(SEARCH("Falso",K259)))</formula>
    </cfRule>
  </conditionalFormatting>
  <conditionalFormatting sqref="K253">
    <cfRule type="containsText" priority="108" operator="containsText" dxfId="8" text="Falso">
      <formula>NOT(ISERROR(SEARCH("Falso",K253)))</formula>
    </cfRule>
  </conditionalFormatting>
  <conditionalFormatting sqref="K247">
    <cfRule type="containsText" priority="107" operator="containsText" dxfId="8" text="Falso">
      <formula>NOT(ISERROR(SEARCH("Falso",K247)))</formula>
    </cfRule>
  </conditionalFormatting>
  <conditionalFormatting sqref="K235">
    <cfRule type="containsText" priority="106" operator="containsText" dxfId="8" text="Falso">
      <formula>NOT(ISERROR(SEARCH("Falso",K235)))</formula>
    </cfRule>
  </conditionalFormatting>
  <conditionalFormatting sqref="K241">
    <cfRule type="containsText" priority="105" operator="containsText" dxfId="8" text="Falso">
      <formula>NOT(ISERROR(SEARCH("Falso",K241)))</formula>
    </cfRule>
  </conditionalFormatting>
  <conditionalFormatting sqref="K228">
    <cfRule type="containsText" priority="104" operator="containsText" dxfId="8" text="Falso">
      <formula>NOT(ISERROR(SEARCH("Falso",K228)))</formula>
    </cfRule>
  </conditionalFormatting>
  <conditionalFormatting sqref="K222">
    <cfRule type="containsText" priority="103" operator="containsText" dxfId="8" text="Falso">
      <formula>NOT(ISERROR(SEARCH("Falso",K222)))</formula>
    </cfRule>
  </conditionalFormatting>
  <conditionalFormatting sqref="K216">
    <cfRule type="containsText" priority="102" operator="containsText" dxfId="8" text="Falso">
      <formula>NOT(ISERROR(SEARCH("Falso",K216)))</formula>
    </cfRule>
  </conditionalFormatting>
  <conditionalFormatting sqref="K210">
    <cfRule type="containsText" priority="101" operator="containsText" dxfId="8" text="Falso">
      <formula>NOT(ISERROR(SEARCH("Falso",K210)))</formula>
    </cfRule>
  </conditionalFormatting>
  <conditionalFormatting sqref="K204">
    <cfRule type="containsText" priority="100" operator="containsText" dxfId="8" text="Falso">
      <formula>NOT(ISERROR(SEARCH("Falso",K204)))</formula>
    </cfRule>
  </conditionalFormatting>
  <conditionalFormatting sqref="K198">
    <cfRule type="containsText" priority="99" operator="containsText" dxfId="8" text="Falso">
      <formula>NOT(ISERROR(SEARCH("Falso",K198)))</formula>
    </cfRule>
  </conditionalFormatting>
  <conditionalFormatting sqref="K192">
    <cfRule type="containsText" priority="98" operator="containsText" dxfId="8" text="Falso">
      <formula>NOT(ISERROR(SEARCH("Falso",K192)))</formula>
    </cfRule>
  </conditionalFormatting>
  <conditionalFormatting sqref="K186">
    <cfRule type="containsText" priority="97" operator="containsText" dxfId="8" text="Falso">
      <formula>NOT(ISERROR(SEARCH("Falso",K186)))</formula>
    </cfRule>
  </conditionalFormatting>
  <conditionalFormatting sqref="K180">
    <cfRule type="containsText" priority="96" operator="containsText" dxfId="8" text="Falso">
      <formula>NOT(ISERROR(SEARCH("Falso",K180)))</formula>
    </cfRule>
  </conditionalFormatting>
  <conditionalFormatting sqref="K174">
    <cfRule type="containsText" priority="95" operator="containsText" dxfId="8" text="Falso">
      <formula>NOT(ISERROR(SEARCH("Falso",K174)))</formula>
    </cfRule>
  </conditionalFormatting>
  <conditionalFormatting sqref="K168">
    <cfRule type="containsText" priority="94" operator="containsText" dxfId="8" text="Falso">
      <formula>NOT(ISERROR(SEARCH("Falso",K168)))</formula>
    </cfRule>
  </conditionalFormatting>
  <conditionalFormatting sqref="K162">
    <cfRule type="containsText" priority="93" operator="containsText" dxfId="8" text="Falso">
      <formula>NOT(ISERROR(SEARCH("Falso",K162)))</formula>
    </cfRule>
  </conditionalFormatting>
  <conditionalFormatting sqref="K156">
    <cfRule type="containsText" priority="92" operator="containsText" dxfId="8" text="Falso">
      <formula>NOT(ISERROR(SEARCH("Falso",K156)))</formula>
    </cfRule>
  </conditionalFormatting>
  <conditionalFormatting sqref="K150">
    <cfRule type="containsText" priority="91" operator="containsText" dxfId="8" text="Falso">
      <formula>NOT(ISERROR(SEARCH("Falso",K150)))</formula>
    </cfRule>
  </conditionalFormatting>
  <conditionalFormatting sqref="K144">
    <cfRule type="containsText" priority="90" operator="containsText" dxfId="8" text="Falso">
      <formula>NOT(ISERROR(SEARCH("Falso",K144)))</formula>
    </cfRule>
  </conditionalFormatting>
  <conditionalFormatting sqref="K138">
    <cfRule type="containsText" priority="89" operator="containsText" dxfId="8" text="Falso">
      <formula>NOT(ISERROR(SEARCH("Falso",K138)))</formula>
    </cfRule>
  </conditionalFormatting>
  <conditionalFormatting sqref="K132">
    <cfRule type="containsText" priority="88" operator="containsText" dxfId="8" text="Falso">
      <formula>NOT(ISERROR(SEARCH("Falso",K132)))</formula>
    </cfRule>
  </conditionalFormatting>
  <conditionalFormatting sqref="K126">
    <cfRule type="containsText" priority="87" operator="containsText" dxfId="8" text="Falso">
      <formula>NOT(ISERROR(SEARCH("Falso",K126)))</formula>
    </cfRule>
  </conditionalFormatting>
  <conditionalFormatting sqref="K120">
    <cfRule type="containsText" priority="86" operator="containsText" dxfId="8" text="Falso">
      <formula>NOT(ISERROR(SEARCH("Falso",K120)))</formula>
    </cfRule>
  </conditionalFormatting>
  <conditionalFormatting sqref="K114">
    <cfRule type="containsText" priority="85" operator="containsText" dxfId="8" text="Falso">
      <formula>NOT(ISERROR(SEARCH("Falso",K114)))</formula>
    </cfRule>
  </conditionalFormatting>
  <conditionalFormatting sqref="K108">
    <cfRule type="containsText" priority="84" operator="containsText" dxfId="8" text="Falso">
      <formula>NOT(ISERROR(SEARCH("Falso",K108)))</formula>
    </cfRule>
  </conditionalFormatting>
  <conditionalFormatting sqref="K102">
    <cfRule type="containsText" priority="83" operator="containsText" dxfId="8" text="Falso">
      <formula>NOT(ISERROR(SEARCH("Falso",K102)))</formula>
    </cfRule>
  </conditionalFormatting>
  <conditionalFormatting sqref="K96">
    <cfRule type="containsText" priority="82" operator="containsText" dxfId="8" text="Falso">
      <formula>NOT(ISERROR(SEARCH("Falso",K96)))</formula>
    </cfRule>
  </conditionalFormatting>
  <conditionalFormatting sqref="K90">
    <cfRule type="containsText" priority="81" operator="containsText" dxfId="8" text="Falso">
      <formula>NOT(ISERROR(SEARCH("Falso",K90)))</formula>
    </cfRule>
  </conditionalFormatting>
  <conditionalFormatting sqref="K84">
    <cfRule type="containsText" priority="80" operator="containsText" dxfId="8" text="Falso">
      <formula>NOT(ISERROR(SEARCH("Falso",K84)))</formula>
    </cfRule>
  </conditionalFormatting>
  <conditionalFormatting sqref="K78">
    <cfRule type="containsText" priority="79" operator="containsText" dxfId="8" text="Falso">
      <formula>NOT(ISERROR(SEARCH("Falso",K78)))</formula>
    </cfRule>
  </conditionalFormatting>
  <conditionalFormatting sqref="K72">
    <cfRule type="containsText" priority="78" operator="containsText" dxfId="8" text="Falso">
      <formula>NOT(ISERROR(SEARCH("Falso",K72)))</formula>
    </cfRule>
  </conditionalFormatting>
  <conditionalFormatting sqref="K66">
    <cfRule type="containsText" priority="77" operator="containsText" dxfId="8" text="Falso">
      <formula>NOT(ISERROR(SEARCH("Falso",K66)))</formula>
    </cfRule>
  </conditionalFormatting>
  <conditionalFormatting sqref="K60">
    <cfRule type="containsText" priority="76" operator="containsText" dxfId="8" text="Falso">
      <formula>NOT(ISERROR(SEARCH("Falso",K60)))</formula>
    </cfRule>
  </conditionalFormatting>
  <conditionalFormatting sqref="K54">
    <cfRule type="containsText" priority="75" operator="containsText" dxfId="8" text="Falso">
      <formula>NOT(ISERROR(SEARCH("Falso",K54)))</formula>
    </cfRule>
  </conditionalFormatting>
  <conditionalFormatting sqref="K48">
    <cfRule type="containsText" priority="74" operator="containsText" dxfId="8" text="Falso">
      <formula>NOT(ISERROR(SEARCH("Falso",K48)))</formula>
    </cfRule>
  </conditionalFormatting>
  <conditionalFormatting sqref="K42">
    <cfRule type="containsText" priority="73" operator="containsText" dxfId="8" text="Falso">
      <formula>NOT(ISERROR(SEARCH("Falso",K42)))</formula>
    </cfRule>
  </conditionalFormatting>
  <conditionalFormatting sqref="K36">
    <cfRule type="containsText" priority="72" operator="containsText" dxfId="8" text="Falso">
      <formula>NOT(ISERROR(SEARCH("Falso",K36)))</formula>
    </cfRule>
  </conditionalFormatting>
  <conditionalFormatting sqref="K30">
    <cfRule type="containsText" priority="71" operator="containsText" dxfId="8" text="Falso">
      <formula>NOT(ISERROR(SEARCH("Falso",K30)))</formula>
    </cfRule>
  </conditionalFormatting>
  <conditionalFormatting sqref="K24">
    <cfRule type="containsText" priority="70" operator="containsText" dxfId="8" text="Falso">
      <formula>NOT(ISERROR(SEARCH("Falso",K24)))</formula>
    </cfRule>
  </conditionalFormatting>
  <conditionalFormatting sqref="K18">
    <cfRule type="containsText" priority="69" operator="containsText" dxfId="8" text="Falso">
      <formula>NOT(ISERROR(SEARCH("Falso",K18)))</formula>
    </cfRule>
  </conditionalFormatting>
  <conditionalFormatting sqref="K422">
    <cfRule type="containsText" priority="68" operator="containsText" dxfId="8" text="Falso">
      <formula>NOT(ISERROR(SEARCH("Falso",K422)))</formula>
    </cfRule>
  </conditionalFormatting>
  <conditionalFormatting sqref="K428">
    <cfRule type="containsText" priority="67" operator="containsText" dxfId="8" text="Falso">
      <formula>NOT(ISERROR(SEARCH("Falso",K428)))</formula>
    </cfRule>
  </conditionalFormatting>
  <conditionalFormatting sqref="K434">
    <cfRule type="containsText" priority="66" operator="containsText" dxfId="8" text="Falso">
      <formula>NOT(ISERROR(SEARCH("Falso",K434)))</formula>
    </cfRule>
  </conditionalFormatting>
  <conditionalFormatting sqref="K440">
    <cfRule type="containsText" priority="65" operator="containsText" dxfId="8" text="Falso">
      <formula>NOT(ISERROR(SEARCH("Falso",K440)))</formula>
    </cfRule>
  </conditionalFormatting>
  <conditionalFormatting sqref="K446">
    <cfRule type="containsText" priority="64" operator="containsText" dxfId="8" text="Falso">
      <formula>NOT(ISERROR(SEARCH("Falso",K446)))</formula>
    </cfRule>
  </conditionalFormatting>
  <conditionalFormatting sqref="K452">
    <cfRule type="containsText" priority="63" operator="containsText" dxfId="8" text="Falso">
      <formula>NOT(ISERROR(SEARCH("Falso",K452)))</formula>
    </cfRule>
  </conditionalFormatting>
  <conditionalFormatting sqref="K458">
    <cfRule type="containsText" priority="62" operator="containsText" dxfId="8" text="Falso">
      <formula>NOT(ISERROR(SEARCH("Falso",K458)))</formula>
    </cfRule>
  </conditionalFormatting>
  <conditionalFormatting sqref="K464">
    <cfRule type="containsText" priority="61" operator="containsText" dxfId="8" text="Falso">
      <formula>NOT(ISERROR(SEARCH("Falso",K464)))</formula>
    </cfRule>
  </conditionalFormatting>
  <conditionalFormatting sqref="K470">
    <cfRule type="containsText" priority="60" operator="containsText" dxfId="8" text="Falso">
      <formula>NOT(ISERROR(SEARCH("Falso",K470)))</formula>
    </cfRule>
  </conditionalFormatting>
  <conditionalFormatting sqref="K476">
    <cfRule type="containsText" priority="59" operator="containsText" dxfId="8" text="Falso">
      <formula>NOT(ISERROR(SEARCH("Falso",K476)))</formula>
    </cfRule>
  </conditionalFormatting>
  <conditionalFormatting sqref="K482">
    <cfRule type="containsText" priority="58" operator="containsText" dxfId="8" text="Falso">
      <formula>NOT(ISERROR(SEARCH("Falso",K482)))</formula>
    </cfRule>
  </conditionalFormatting>
  <conditionalFormatting sqref="K488">
    <cfRule type="containsText" priority="57" operator="containsText" dxfId="8" text="Falso">
      <formula>NOT(ISERROR(SEARCH("Falso",K488)))</formula>
    </cfRule>
  </conditionalFormatting>
  <conditionalFormatting sqref="K494">
    <cfRule type="containsText" priority="56" operator="containsText" dxfId="8" text="Falso">
      <formula>NOT(ISERROR(SEARCH("Falso",K494)))</formula>
    </cfRule>
  </conditionalFormatting>
  <conditionalFormatting sqref="K500">
    <cfRule type="containsText" priority="55" operator="containsText" dxfId="8" text="Falso">
      <formula>NOT(ISERROR(SEARCH("Falso",K500)))</formula>
    </cfRule>
  </conditionalFormatting>
  <conditionalFormatting sqref="K506">
    <cfRule type="containsText" priority="54" operator="containsText" dxfId="8" text="Falso">
      <formula>NOT(ISERROR(SEARCH("Falso",K506)))</formula>
    </cfRule>
  </conditionalFormatting>
  <conditionalFormatting sqref="K512">
    <cfRule type="containsText" priority="53" operator="containsText" dxfId="8" text="Falso">
      <formula>NOT(ISERROR(SEARCH("Falso",K512)))</formula>
    </cfRule>
  </conditionalFormatting>
  <conditionalFormatting sqref="K518">
    <cfRule type="containsText" priority="52" operator="containsText" dxfId="8" text="Falso">
      <formula>NOT(ISERROR(SEARCH("Falso",K518)))</formula>
    </cfRule>
  </conditionalFormatting>
  <conditionalFormatting sqref="K524">
    <cfRule type="containsText" priority="51" operator="containsText" dxfId="8" text="Falso">
      <formula>NOT(ISERROR(SEARCH("Falso",K524)))</formula>
    </cfRule>
  </conditionalFormatting>
  <conditionalFormatting sqref="K530">
    <cfRule type="containsText" priority="50" operator="containsText" dxfId="8" text="Falso">
      <formula>NOT(ISERROR(SEARCH("Falso",K530)))</formula>
    </cfRule>
  </conditionalFormatting>
  <conditionalFormatting sqref="K536">
    <cfRule type="containsText" priority="49" operator="containsText" dxfId="8" text="Falso">
      <formula>NOT(ISERROR(SEARCH("Falso",K536)))</formula>
    </cfRule>
  </conditionalFormatting>
  <conditionalFormatting sqref="K542">
    <cfRule type="containsText" priority="48" operator="containsText" dxfId="8" text="Falso">
      <formula>NOT(ISERROR(SEARCH("Falso",K542)))</formula>
    </cfRule>
  </conditionalFormatting>
  <conditionalFormatting sqref="K548">
    <cfRule type="containsText" priority="47" operator="containsText" dxfId="8" text="Falso">
      <formula>NOT(ISERROR(SEARCH("Falso",K548)))</formula>
    </cfRule>
  </conditionalFormatting>
  <conditionalFormatting sqref="K554">
    <cfRule type="containsText" priority="46" operator="containsText" dxfId="8" text="Falso">
      <formula>NOT(ISERROR(SEARCH("Falso",K554)))</formula>
    </cfRule>
  </conditionalFormatting>
  <conditionalFormatting sqref="K560">
    <cfRule type="containsText" priority="45" operator="containsText" dxfId="8" text="Falso">
      <formula>NOT(ISERROR(SEARCH("Falso",K560)))</formula>
    </cfRule>
  </conditionalFormatting>
  <conditionalFormatting sqref="K566">
    <cfRule type="containsText" priority="44" operator="containsText" dxfId="8" text="Falso">
      <formula>NOT(ISERROR(SEARCH("Falso",K566)))</formula>
    </cfRule>
  </conditionalFormatting>
  <conditionalFormatting sqref="K572">
    <cfRule type="containsText" priority="43" operator="containsText" dxfId="8" text="Falso">
      <formula>NOT(ISERROR(SEARCH("Falso",K572)))</formula>
    </cfRule>
  </conditionalFormatting>
  <conditionalFormatting sqref="K578">
    <cfRule type="containsText" priority="42" operator="containsText" dxfId="8" text="Falso">
      <formula>NOT(ISERROR(SEARCH("Falso",K578)))</formula>
    </cfRule>
  </conditionalFormatting>
  <conditionalFormatting sqref="K584">
    <cfRule type="containsText" priority="41" operator="containsText" dxfId="8" text="Falso">
      <formula>NOT(ISERROR(SEARCH("Falso",K584)))</formula>
    </cfRule>
  </conditionalFormatting>
  <conditionalFormatting sqref="K590">
    <cfRule type="containsText" priority="40" operator="containsText" dxfId="8" text="Falso">
      <formula>NOT(ISERROR(SEARCH("Falso",K590)))</formula>
    </cfRule>
  </conditionalFormatting>
  <conditionalFormatting sqref="K596">
    <cfRule type="containsText" priority="39" operator="containsText" dxfId="8" text="Falso">
      <formula>NOT(ISERROR(SEARCH("Falso",K596)))</formula>
    </cfRule>
  </conditionalFormatting>
  <conditionalFormatting sqref="K602">
    <cfRule type="containsText" priority="38" operator="containsText" dxfId="8" text="Falso">
      <formula>NOT(ISERROR(SEARCH("Falso",K602)))</formula>
    </cfRule>
  </conditionalFormatting>
  <conditionalFormatting sqref="K608">
    <cfRule type="containsText" priority="37" operator="containsText" dxfId="8" text="Falso">
      <formula>NOT(ISERROR(SEARCH("Falso",K608)))</formula>
    </cfRule>
  </conditionalFormatting>
  <conditionalFormatting sqref="K614">
    <cfRule type="containsText" priority="36" operator="containsText" dxfId="8" text="Falso">
      <formula>NOT(ISERROR(SEARCH("Falso",K614)))</formula>
    </cfRule>
  </conditionalFormatting>
  <conditionalFormatting sqref="K620">
    <cfRule type="containsText" priority="35" operator="containsText" dxfId="8" text="Falso">
      <formula>NOT(ISERROR(SEARCH("Falso",K620)))</formula>
    </cfRule>
  </conditionalFormatting>
  <conditionalFormatting sqref="K626">
    <cfRule type="containsText" priority="34" operator="containsText" dxfId="8" text="Falso">
      <formula>NOT(ISERROR(SEARCH("Falso",K626)))</formula>
    </cfRule>
  </conditionalFormatting>
  <conditionalFormatting sqref="K632">
    <cfRule type="containsText" priority="33" operator="containsText" dxfId="8" text="Falso">
      <formula>NOT(ISERROR(SEARCH("Falso",K632)))</formula>
    </cfRule>
  </conditionalFormatting>
  <conditionalFormatting sqref="K639">
    <cfRule type="containsText" priority="32" operator="containsText" dxfId="8" text="Falso">
      <formula>NOT(ISERROR(SEARCH("Falso",K639)))</formula>
    </cfRule>
  </conditionalFormatting>
  <conditionalFormatting sqref="K645">
    <cfRule type="containsText" priority="31" operator="containsText" dxfId="8" text="Falso">
      <formula>NOT(ISERROR(SEARCH("Falso",K645)))</formula>
    </cfRule>
  </conditionalFormatting>
  <conditionalFormatting sqref="K651">
    <cfRule type="containsText" priority="30" operator="containsText" dxfId="8" text="Falso">
      <formula>NOT(ISERROR(SEARCH("Falso",K651)))</formula>
    </cfRule>
  </conditionalFormatting>
  <conditionalFormatting sqref="K657">
    <cfRule type="containsText" priority="29" operator="containsText" dxfId="8" text="Falso">
      <formula>NOT(ISERROR(SEARCH("Falso",K657)))</formula>
    </cfRule>
  </conditionalFormatting>
  <conditionalFormatting sqref="K663">
    <cfRule type="containsText" priority="28" operator="containsText" dxfId="8" text="Falso">
      <formula>NOT(ISERROR(SEARCH("Falso",K663)))</formula>
    </cfRule>
  </conditionalFormatting>
  <conditionalFormatting sqref="K669">
    <cfRule type="containsText" priority="27" operator="containsText" dxfId="8" text="Falso">
      <formula>NOT(ISERROR(SEARCH("Falso",K669)))</formula>
    </cfRule>
  </conditionalFormatting>
  <conditionalFormatting sqref="K675">
    <cfRule type="containsText" priority="26" operator="containsText" dxfId="8" text="Falso">
      <formula>NOT(ISERROR(SEARCH("Falso",K675)))</formula>
    </cfRule>
  </conditionalFormatting>
  <conditionalFormatting sqref="K681">
    <cfRule type="containsText" priority="25" operator="containsText" dxfId="8" text="Falso">
      <formula>NOT(ISERROR(SEARCH("Falso",K681)))</formula>
    </cfRule>
  </conditionalFormatting>
  <conditionalFormatting sqref="K687">
    <cfRule type="containsText" priority="24" operator="containsText" dxfId="8" text="Falso">
      <formula>NOT(ISERROR(SEARCH("Falso",K687)))</formula>
    </cfRule>
  </conditionalFormatting>
  <conditionalFormatting sqref="K693">
    <cfRule type="containsText" priority="23" operator="containsText" dxfId="8" text="Falso">
      <formula>NOT(ISERROR(SEARCH("Falso",K693)))</formula>
    </cfRule>
  </conditionalFormatting>
  <conditionalFormatting sqref="K699">
    <cfRule type="containsText" priority="22" operator="containsText" dxfId="8" text="Falso">
      <formula>NOT(ISERROR(SEARCH("Falso",K699)))</formula>
    </cfRule>
  </conditionalFormatting>
  <conditionalFormatting sqref="K705">
    <cfRule type="containsText" priority="21" operator="containsText" dxfId="8" text="Falso">
      <formula>NOT(ISERROR(SEARCH("Falso",K705)))</formula>
    </cfRule>
  </conditionalFormatting>
  <conditionalFormatting sqref="K713">
    <cfRule type="containsText" priority="20" operator="containsText" dxfId="8" text="Falso">
      <formula>NOT(ISERROR(SEARCH("Falso",K713)))</formula>
    </cfRule>
  </conditionalFormatting>
  <conditionalFormatting sqref="K720">
    <cfRule type="containsText" priority="19" operator="containsText" dxfId="8" text="Falso">
      <formula>NOT(ISERROR(SEARCH("Falso",K720)))</formula>
    </cfRule>
  </conditionalFormatting>
  <conditionalFormatting sqref="K727">
    <cfRule type="containsText" priority="18" operator="containsText" dxfId="8" text="Falso">
      <formula>NOT(ISERROR(SEARCH("Falso",K727)))</formula>
    </cfRule>
  </conditionalFormatting>
  <conditionalFormatting sqref="K734">
    <cfRule type="containsText" priority="17" operator="containsText" dxfId="8" text="Falso">
      <formula>NOT(ISERROR(SEARCH("Falso",K734)))</formula>
    </cfRule>
  </conditionalFormatting>
  <conditionalFormatting sqref="K741">
    <cfRule type="containsText" priority="16" operator="containsText" dxfId="8" text="Falso">
      <formula>NOT(ISERROR(SEARCH("Falso",K741)))</formula>
    </cfRule>
  </conditionalFormatting>
  <conditionalFormatting sqref="K748">
    <cfRule type="containsText" priority="15" operator="containsText" dxfId="8" text="Falso">
      <formula>NOT(ISERROR(SEARCH("Falso",K748)))</formula>
    </cfRule>
  </conditionalFormatting>
  <conditionalFormatting sqref="K755">
    <cfRule type="containsText" priority="14" operator="containsText" dxfId="8" text="Falso">
      <formula>NOT(ISERROR(SEARCH("Falso",K755)))</formula>
    </cfRule>
  </conditionalFormatting>
  <conditionalFormatting sqref="K762">
    <cfRule type="containsText" priority="13" operator="containsText" dxfId="8" text="Falso">
      <formula>NOT(ISERROR(SEARCH("Falso",K762)))</formula>
    </cfRule>
  </conditionalFormatting>
  <conditionalFormatting sqref="K769">
    <cfRule type="containsText" priority="12" operator="containsText" dxfId="8" text="Falso">
      <formula>NOT(ISERROR(SEARCH("Falso",K769)))</formula>
    </cfRule>
  </conditionalFormatting>
  <conditionalFormatting sqref="K776">
    <cfRule type="containsText" priority="11" operator="containsText" dxfId="8" text="Falso">
      <formula>NOT(ISERROR(SEARCH("Falso",K776)))</formula>
    </cfRule>
  </conditionalFormatting>
  <conditionalFormatting sqref="K793">
    <cfRule type="containsText" priority="10" operator="containsText" dxfId="8" text="Falso">
      <formula>NOT(ISERROR(SEARCH("Falso",K793)))</formula>
    </cfRule>
  </conditionalFormatting>
  <conditionalFormatting sqref="K798">
    <cfRule type="containsText" priority="9" operator="containsText" dxfId="8" text="Falso">
      <formula>NOT(ISERROR(SEARCH("Falso",K798)))</formula>
    </cfRule>
  </conditionalFormatting>
  <conditionalFormatting sqref="K803">
    <cfRule type="containsText" priority="8" operator="containsText" dxfId="8" text="Falso">
      <formula>NOT(ISERROR(SEARCH("Falso",K803)))</formula>
    </cfRule>
  </conditionalFormatting>
  <conditionalFormatting sqref="K808">
    <cfRule type="containsText" priority="7" operator="containsText" dxfId="8" text="Falso">
      <formula>NOT(ISERROR(SEARCH("Falso",K808)))</formula>
    </cfRule>
  </conditionalFormatting>
  <conditionalFormatting sqref="K813">
    <cfRule type="containsText" priority="6" operator="containsText" dxfId="8" text="Falso">
      <formula>NOT(ISERROR(SEARCH("Falso",K813)))</formula>
    </cfRule>
  </conditionalFormatting>
  <conditionalFormatting sqref="L871:L887">
    <cfRule type="cellIs" priority="5" operator="lessThan" dxfId="0" stopIfTrue="1">
      <formula>0</formula>
    </cfRule>
  </conditionalFormatting>
  <conditionalFormatting sqref="L893:L897">
    <cfRule type="cellIs" priority="4" operator="lessThan" dxfId="0" stopIfTrue="1">
      <formula>0</formula>
    </cfRule>
  </conditionalFormatting>
  <conditionalFormatting sqref="O858:O869">
    <cfRule type="cellIs" priority="3" operator="lessThan" dxfId="0" stopIfTrue="1">
      <formula>0</formula>
    </cfRule>
  </conditionalFormatting>
  <conditionalFormatting sqref="O871:O887">
    <cfRule type="cellIs" priority="2" operator="lessThan" dxfId="0" stopIfTrue="1">
      <formula>0</formula>
    </cfRule>
  </conditionalFormatting>
  <conditionalFormatting sqref="O893:O897">
    <cfRule type="cellIs" priority="1" operator="lessThan" dxfId="0" stopIfTrue="1">
      <formula>0</formula>
    </cfRule>
  </conditionalFormatting>
  <dataValidations count="3">
    <dataValidation sqref="O278:O279 O284:O285 O292" showDropDown="0" showInputMessage="1" showErrorMessage="1" allowBlank="1" errorTitle="INGRESE LA FECHA" error="FECHA DE VENCIMIENTO" type="date" operator="greaterThan">
      <formula1>39083</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C903:C907 C912:C913" showDropDown="0" showInputMessage="1" showErrorMessage="1" allowBlank="1" type="list">
      <formula1>"SI,NO"</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xl/worksheets/sheet7.xml><?xml version="1.0" encoding="utf-8"?>
<worksheet xmlns="http://schemas.openxmlformats.org/spreadsheetml/2006/main">
  <sheetPr codeName="Hoja16">
    <tabColor theme="9" tint="0.3999755851924192"/>
    <outlinePr summaryBelow="1" summaryRight="1"/>
    <pageSetUpPr/>
  </sheetPr>
  <dimension ref="A1:AZ919"/>
  <sheetViews>
    <sheetView topLeftCell="A346" zoomScale="50" zoomScaleNormal="50" workbookViewId="0">
      <selection activeCell="L359" sqref="L359:O362"/>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inlineStr">
        <is>
          <t>FEBRERO</t>
        </is>
      </c>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748"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496">
        <f>ENERO!K13</f>
        <v/>
      </c>
      <c r="E13" s="731" t="n"/>
      <c r="F13" s="731" t="n"/>
      <c r="G13" s="730">
        <f>E13+F13</f>
        <v/>
      </c>
      <c r="H13" s="731" t="n">
        <v>1940</v>
      </c>
      <c r="I13" s="731" t="n"/>
      <c r="J13" s="732">
        <f>AM13</f>
        <v/>
      </c>
      <c r="K13" s="738">
        <f>+(D13+G13)-(H13+I13+J13)</f>
        <v/>
      </c>
      <c r="L13" s="253">
        <f>1870-940</f>
        <v/>
      </c>
      <c r="M13" s="254" t="inlineStr">
        <is>
          <t>0374MA071</t>
        </is>
      </c>
      <c r="N13" s="254" t="n"/>
      <c r="O13" s="1183" t="inlineStr">
        <is>
          <t>31/12/2026</t>
        </is>
      </c>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inlineStr">
        <is>
          <t>AMAZONAS</t>
        </is>
      </c>
      <c r="AZ13" s="231" t="inlineStr">
        <is>
          <t>ENERO</t>
        </is>
      </c>
    </row>
    <row r="14" ht="18.75" customHeight="1">
      <c r="A14" s="973" t="n"/>
      <c r="B14" s="971" t="n"/>
      <c r="C14" s="972" t="n"/>
      <c r="D14" s="973" t="n"/>
      <c r="E14" s="994" t="n"/>
      <c r="F14" s="994" t="n"/>
      <c r="G14" s="973" t="n"/>
      <c r="H14" s="994" t="n"/>
      <c r="I14" s="994" t="n"/>
      <c r="J14" s="973" t="n"/>
      <c r="K14" s="973" t="n"/>
      <c r="L14" s="253">
        <f>6000-1000</f>
        <v/>
      </c>
      <c r="M14" s="254" t="inlineStr">
        <is>
          <t>0374MA072</t>
        </is>
      </c>
      <c r="N14" s="254" t="n"/>
      <c r="O14" s="1183" t="inlineStr">
        <is>
          <t>31/12/2026</t>
        </is>
      </c>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inlineStr">
        <is>
          <t>ANTIOQUIA</t>
        </is>
      </c>
      <c r="AZ14" s="231" t="inlineStr">
        <is>
          <t>FEBRERO</t>
        </is>
      </c>
    </row>
    <row r="15" ht="18.75" customHeight="1">
      <c r="A15" s="973" t="n"/>
      <c r="B15" s="971" t="n"/>
      <c r="C15" s="972" t="n"/>
      <c r="D15" s="973" t="n"/>
      <c r="E15" s="994" t="n"/>
      <c r="F15" s="994" t="n"/>
      <c r="G15" s="973" t="n"/>
      <c r="H15" s="994" t="n"/>
      <c r="I15" s="994" t="n"/>
      <c r="J15" s="973" t="n"/>
      <c r="K15" s="973" t="n"/>
      <c r="L15" s="253" t="n"/>
      <c r="M15" s="254" t="n"/>
      <c r="N15" s="254" t="n"/>
      <c r="O15" s="1183" t="n"/>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73"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inlineStr">
        <is>
          <t>ATLANTICO</t>
        </is>
      </c>
      <c r="AZ16" s="231" t="inlineStr">
        <is>
          <t>ABRIL</t>
        </is>
      </c>
    </row>
    <row r="17" ht="18.75" customHeight="1">
      <c r="A17" s="973" t="n"/>
      <c r="B17" s="971" t="n"/>
      <c r="C17" s="972" t="n"/>
      <c r="D17" s="973"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inlineStr">
        <is>
          <t>BARRANQUILLA</t>
        </is>
      </c>
      <c r="AZ17" s="231" t="inlineStr">
        <is>
          <t>MAYO</t>
        </is>
      </c>
    </row>
    <row r="18" ht="18.75" customHeight="1">
      <c r="A18" s="975" t="n"/>
      <c r="B18" s="1182" t="n"/>
      <c r="C18" s="1103" t="n"/>
      <c r="D18" s="975"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JUNIO</t>
        </is>
      </c>
    </row>
    <row r="19" ht="18.75" customHeight="1">
      <c r="A19" s="741">
        <f>A13+1</f>
        <v/>
      </c>
      <c r="B19" s="733" t="inlineStr">
        <is>
          <t>Vacuna de Hepatitis B Recombinante Pediátrica - Liquida</t>
        </is>
      </c>
      <c r="C19" s="965" t="n"/>
      <c r="D19" s="496">
        <f>ENERO!K19</f>
        <v/>
      </c>
      <c r="E19" s="731" t="n"/>
      <c r="F19" s="731" t="n"/>
      <c r="G19" s="730">
        <f>E19+F19</f>
        <v/>
      </c>
      <c r="H19" s="731" t="n">
        <v>634</v>
      </c>
      <c r="I19" s="731" t="n"/>
      <c r="J19" s="732">
        <f>AM19</f>
        <v/>
      </c>
      <c r="K19" s="738">
        <f>+(D19+G19)-(H19+I19+J19)</f>
        <v/>
      </c>
      <c r="L19" s="253">
        <f>91-34</f>
        <v/>
      </c>
      <c r="M19" s="254" t="inlineStr">
        <is>
          <t>0324L013A</t>
        </is>
      </c>
      <c r="N19" s="254" t="n"/>
      <c r="O19" s="1183" t="n"/>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inlineStr">
        <is>
          <t>BOLIVAR</t>
        </is>
      </c>
      <c r="AZ19" s="231" t="inlineStr">
        <is>
          <t>JULIO</t>
        </is>
      </c>
    </row>
    <row r="20" ht="18.75" customHeight="1">
      <c r="A20" s="973" t="n"/>
      <c r="B20" s="971" t="n"/>
      <c r="C20" s="972" t="n"/>
      <c r="D20" s="973" t="n"/>
      <c r="E20" s="994" t="n"/>
      <c r="F20" s="994" t="n"/>
      <c r="G20" s="973" t="n"/>
      <c r="H20" s="994" t="n"/>
      <c r="I20" s="994" t="n"/>
      <c r="J20" s="973" t="n"/>
      <c r="K20" s="973" t="n"/>
      <c r="L20" s="253">
        <f>1750-600</f>
        <v/>
      </c>
      <c r="M20" s="254" t="inlineStr">
        <is>
          <t>0324L013B</t>
        </is>
      </c>
      <c r="N20" s="254" t="n"/>
      <c r="O20" s="1183" t="n"/>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73" t="n"/>
      <c r="E21" s="994" t="n"/>
      <c r="F21" s="994" t="n"/>
      <c r="G21" s="973" t="n"/>
      <c r="H21" s="994" t="n"/>
      <c r="I21" s="994" t="n"/>
      <c r="J21" s="973" t="n"/>
      <c r="K21" s="973" t="n"/>
      <c r="L21" s="253" t="n"/>
      <c r="M21" s="254" t="n"/>
      <c r="N21" s="254" t="n"/>
      <c r="O21" s="1183" t="n"/>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inlineStr">
        <is>
          <t>CARTAGENA</t>
        </is>
      </c>
      <c r="AZ21" s="231" t="inlineStr">
        <is>
          <t>AGOSTO</t>
        </is>
      </c>
    </row>
    <row r="22" ht="18.75" customHeight="1">
      <c r="A22" s="973" t="n"/>
      <c r="B22" s="971" t="n"/>
      <c r="C22" s="972" t="n"/>
      <c r="D22" s="973" t="n"/>
      <c r="E22" s="994" t="n"/>
      <c r="F22" s="994" t="n"/>
      <c r="G22" s="973" t="n"/>
      <c r="H22" s="994" t="n"/>
      <c r="I22" s="994" t="n"/>
      <c r="J22" s="973" t="n"/>
      <c r="K22" s="973" t="n"/>
      <c r="L22" s="253" t="n"/>
      <c r="M22" s="254" t="n"/>
      <c r="N22" s="254" t="n"/>
      <c r="O22" s="1183" t="n"/>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inlineStr">
        <is>
          <t>BOYACA</t>
        </is>
      </c>
      <c r="AZ22" s="231" t="inlineStr">
        <is>
          <t>SEPTIEMBRE</t>
        </is>
      </c>
    </row>
    <row r="23" ht="18.75" customHeight="1">
      <c r="A23" s="973" t="n"/>
      <c r="B23" s="971" t="n"/>
      <c r="C23" s="972" t="n"/>
      <c r="D23" s="973"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inlineStr">
        <is>
          <t>CAQUETA</t>
        </is>
      </c>
      <c r="AZ23" s="231" t="inlineStr">
        <is>
          <t>NOVIEMBRE</t>
        </is>
      </c>
    </row>
    <row r="24" ht="18.75" customHeight="1">
      <c r="A24" s="975" t="n"/>
      <c r="B24" s="1182" t="n"/>
      <c r="C24" s="1103" t="n"/>
      <c r="D24" s="975"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496">
        <f>ENERO!K25</f>
        <v/>
      </c>
      <c r="E25" s="731" t="n"/>
      <c r="F25" s="731" t="n"/>
      <c r="G25" s="730">
        <f>E25+F25</f>
        <v/>
      </c>
      <c r="H25" s="731" t="n"/>
      <c r="I25" s="731" t="n"/>
      <c r="J25" s="732">
        <f>AM25</f>
        <v/>
      </c>
      <c r="K25" s="738">
        <f>+(D25+G25)-(H25+I25+J25)</f>
        <v/>
      </c>
      <c r="L25" s="253" t="n"/>
      <c r="M25" s="254" t="n"/>
      <c r="N25" s="254" t="n"/>
      <c r="O25" s="1183" t="n"/>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inlineStr">
        <is>
          <t>BOLIVAR</t>
        </is>
      </c>
    </row>
    <row r="26" ht="18.75" customHeight="1">
      <c r="A26" s="973" t="n"/>
      <c r="B26" s="971" t="n"/>
      <c r="C26" s="972" t="n"/>
      <c r="D26" s="973"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73"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inlineStr">
        <is>
          <t>CARTAGENA</t>
        </is>
      </c>
    </row>
    <row r="28" ht="18.75" customHeight="1">
      <c r="A28" s="973" t="n"/>
      <c r="B28" s="971" t="n"/>
      <c r="C28" s="972" t="n"/>
      <c r="D28" s="973"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inlineStr">
        <is>
          <t>BOYACA</t>
        </is>
      </c>
    </row>
    <row r="29" ht="18.75" customHeight="1">
      <c r="A29" s="973" t="n"/>
      <c r="B29" s="971" t="n"/>
      <c r="C29" s="972" t="n"/>
      <c r="D29" s="973"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inlineStr">
        <is>
          <t>CAQUETA</t>
        </is>
      </c>
    </row>
    <row r="30" ht="18.75" customHeight="1">
      <c r="A30" s="975" t="n"/>
      <c r="B30" s="1182" t="n"/>
      <c r="C30" s="1103" t="n"/>
      <c r="D30" s="975"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496">
        <f>ENERO!K31</f>
        <v/>
      </c>
      <c r="E31" s="731" t="n"/>
      <c r="F31" s="731" t="n"/>
      <c r="G31" s="730">
        <f>E31+F31</f>
        <v/>
      </c>
      <c r="H31" s="731" t="n">
        <v>1600</v>
      </c>
      <c r="I31" s="731" t="n"/>
      <c r="J31" s="732">
        <f>AM31</f>
        <v/>
      </c>
      <c r="K31" s="738">
        <f>+(D31+G31)-(H31+I31+J31)</f>
        <v/>
      </c>
      <c r="L31" s="253">
        <f>3295-1600</f>
        <v/>
      </c>
      <c r="M31" s="254" t="inlineStr">
        <is>
          <t>2435007A</t>
        </is>
      </c>
      <c r="N31" s="254" t="n"/>
      <c r="O31" s="1183" t="inlineStr">
        <is>
          <t>14/05/2027</t>
        </is>
      </c>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inlineStr">
        <is>
          <t>CAUCA</t>
        </is>
      </c>
    </row>
    <row r="32" ht="18.75" customHeight="1">
      <c r="A32" s="973" t="n"/>
      <c r="B32" s="971" t="n"/>
      <c r="C32" s="972" t="n"/>
      <c r="D32" s="973" t="n"/>
      <c r="E32" s="994" t="n"/>
      <c r="F32" s="994" t="n"/>
      <c r="G32" s="973" t="n"/>
      <c r="H32" s="994" t="n"/>
      <c r="I32" s="994" t="n"/>
      <c r="J32" s="973" t="n"/>
      <c r="K32" s="973" t="n"/>
      <c r="L32" s="253" t="n">
        <v>9800</v>
      </c>
      <c r="M32" s="254" t="inlineStr">
        <is>
          <t>2522006A</t>
        </is>
      </c>
      <c r="N32" s="254" t="n"/>
      <c r="O32" s="1183" t="inlineStr">
        <is>
          <t>25/02/2028</t>
        </is>
      </c>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73" t="n"/>
      <c r="E33" s="994" t="n"/>
      <c r="F33" s="994" t="n"/>
      <c r="G33" s="973" t="n"/>
      <c r="H33" s="994" t="n"/>
      <c r="I33" s="994" t="n"/>
      <c r="J33" s="973" t="n"/>
      <c r="K33" s="973" t="n"/>
      <c r="L33" s="253" t="n"/>
      <c r="M33" s="254" t="n"/>
      <c r="N33" s="254" t="n"/>
      <c r="O33" s="1183" t="n"/>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inlineStr">
        <is>
          <t>CESAR</t>
        </is>
      </c>
    </row>
    <row r="34" ht="18.75" customHeight="1">
      <c r="A34" s="973" t="n"/>
      <c r="B34" s="971" t="n"/>
      <c r="C34" s="972" t="n"/>
      <c r="D34" s="973"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inlineStr">
        <is>
          <t>CHOCO</t>
        </is>
      </c>
    </row>
    <row r="35" ht="18.75" customHeight="1">
      <c r="A35" s="973" t="n"/>
      <c r="B35" s="971" t="n"/>
      <c r="C35" s="972" t="n"/>
      <c r="D35" s="973"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inlineStr">
        <is>
          <t>CORDOBA</t>
        </is>
      </c>
    </row>
    <row r="36" ht="18.75" customHeight="1">
      <c r="A36" s="975" t="n"/>
      <c r="B36" s="1182" t="n"/>
      <c r="C36" s="1103" t="n"/>
      <c r="D36" s="975"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496">
        <f>ENERO!K37</f>
        <v/>
      </c>
      <c r="E37" s="731" t="n"/>
      <c r="F37" s="731" t="n"/>
      <c r="G37" s="730">
        <f>E37+F37</f>
        <v/>
      </c>
      <c r="H37" s="731" t="n">
        <v>1565</v>
      </c>
      <c r="I37" s="731" t="n"/>
      <c r="J37" s="732">
        <f>AM37</f>
        <v/>
      </c>
      <c r="K37" s="738">
        <f>+(D37+G37)-(H37+I37+J37)</f>
        <v/>
      </c>
      <c r="L37" s="253">
        <f>850-715</f>
        <v/>
      </c>
      <c r="M37" s="254" t="inlineStr">
        <is>
          <t>2854X041B</t>
        </is>
      </c>
      <c r="N37" s="254" t="n"/>
      <c r="O37" s="1183" t="inlineStr">
        <is>
          <t>30/04/2027</t>
        </is>
      </c>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inlineStr">
        <is>
          <t>NARIÑO</t>
        </is>
      </c>
    </row>
    <row r="38" ht="19.5" customHeight="1">
      <c r="A38" s="973" t="n"/>
      <c r="B38" s="971" t="n"/>
      <c r="C38" s="972" t="n"/>
      <c r="D38" s="973" t="n"/>
      <c r="E38" s="994" t="n"/>
      <c r="F38" s="994" t="n"/>
      <c r="G38" s="973" t="n"/>
      <c r="H38" s="994" t="n"/>
      <c r="I38" s="994" t="n"/>
      <c r="J38" s="973" t="n"/>
      <c r="K38" s="973" t="n"/>
      <c r="L38" s="253">
        <f>6650-850</f>
        <v/>
      </c>
      <c r="M38" s="254" t="inlineStr">
        <is>
          <t>2855X001A</t>
        </is>
      </c>
      <c r="N38" s="254" t="n"/>
      <c r="O38" s="1183" t="inlineStr">
        <is>
          <t>30/06/2027</t>
        </is>
      </c>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73" t="n"/>
      <c r="E39" s="994" t="n"/>
      <c r="F39" s="994" t="n"/>
      <c r="G39" s="973" t="n"/>
      <c r="H39" s="994" t="n"/>
      <c r="I39" s="994" t="n"/>
      <c r="J39" s="973" t="n"/>
      <c r="K39" s="973" t="n"/>
      <c r="L39" s="253" t="n"/>
      <c r="M39" s="254" t="n"/>
      <c r="N39" s="254" t="n"/>
      <c r="O39" s="1183" t="n"/>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inlineStr">
        <is>
          <t>NORTE DE SANTANDER</t>
        </is>
      </c>
    </row>
    <row r="40" ht="19.5" customHeight="1">
      <c r="A40" s="973" t="n"/>
      <c r="B40" s="971" t="n"/>
      <c r="C40" s="972" t="n"/>
      <c r="D40" s="973"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73"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inlineStr">
        <is>
          <t>PUTUMAYO</t>
        </is>
      </c>
    </row>
    <row r="42" ht="19.5" customHeight="1">
      <c r="A42" s="975" t="n"/>
      <c r="B42" s="1182" t="n"/>
      <c r="C42" s="1103" t="n"/>
      <c r="D42" s="975"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496">
        <f>ENERO!K43</f>
        <v/>
      </c>
      <c r="E43" s="731" t="n"/>
      <c r="F43" s="731" t="n"/>
      <c r="G43" s="730">
        <f>E43+F43</f>
        <v/>
      </c>
      <c r="H43" s="731" t="n"/>
      <c r="I43" s="731" t="n"/>
      <c r="J43" s="732">
        <f>AM43</f>
        <v/>
      </c>
      <c r="K43" s="706">
        <f>+(D43+G43)-(H43+I43+J43)</f>
        <v/>
      </c>
      <c r="L43" s="253" t="n"/>
      <c r="M43" s="254" t="n"/>
      <c r="N43" s="254" t="n"/>
      <c r="O43" s="1183" t="n"/>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inlineStr">
        <is>
          <t>NARIÑO</t>
        </is>
      </c>
    </row>
    <row r="44" ht="19.5" customHeight="1">
      <c r="A44" s="973" t="n"/>
      <c r="B44" s="971" t="n"/>
      <c r="C44" s="972" t="n"/>
      <c r="D44" s="973"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73"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inlineStr">
        <is>
          <t>NORTE DE SANTANDER</t>
        </is>
      </c>
    </row>
    <row r="46" ht="19.5" customHeight="1">
      <c r="A46" s="973" t="n"/>
      <c r="B46" s="971" t="n"/>
      <c r="C46" s="972" t="n"/>
      <c r="D46" s="973"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inlineStr">
        <is>
          <t>PUTUMAYO</t>
        </is>
      </c>
    </row>
    <row r="47" ht="19.5" customHeight="1">
      <c r="A47" s="973" t="n"/>
      <c r="B47" s="971" t="n"/>
      <c r="C47" s="972" t="n"/>
      <c r="D47" s="973"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inlineStr">
        <is>
          <t>QUINDIO</t>
        </is>
      </c>
    </row>
    <row r="48" ht="19.5" customHeight="1">
      <c r="A48" s="975" t="n"/>
      <c r="B48" s="1182" t="n"/>
      <c r="C48" s="1103" t="n"/>
      <c r="D48" s="975"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496">
        <f>ENERO!K49</f>
        <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inlineStr">
        <is>
          <t>NARIÑO</t>
        </is>
      </c>
    </row>
    <row r="50" ht="19.5" customHeight="1">
      <c r="A50" s="973" t="n"/>
      <c r="B50" s="971" t="n"/>
      <c r="C50" s="972" t="n"/>
      <c r="D50" s="973"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73"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inlineStr">
        <is>
          <t>NORTE DE SANTANDER</t>
        </is>
      </c>
    </row>
    <row r="52" ht="19.5" customHeight="1">
      <c r="A52" s="973" t="n"/>
      <c r="B52" s="971" t="n"/>
      <c r="C52" s="972" t="n"/>
      <c r="D52" s="973"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inlineStr">
        <is>
          <t>PUTUMAYO</t>
        </is>
      </c>
    </row>
    <row r="53" ht="19.5" customHeight="1">
      <c r="A53" s="973" t="n"/>
      <c r="B53" s="971" t="n"/>
      <c r="C53" s="972" t="n"/>
      <c r="D53" s="973"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inlineStr">
        <is>
          <t>QUINDIO</t>
        </is>
      </c>
    </row>
    <row r="54" ht="19.5" customHeight="1">
      <c r="A54" s="975" t="n"/>
      <c r="B54" s="1182" t="n"/>
      <c r="C54" s="1103" t="n"/>
      <c r="D54" s="975"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496">
        <f>ENERO!K55</f>
        <v/>
      </c>
      <c r="E55" s="731" t="n"/>
      <c r="F55" s="731" t="n"/>
      <c r="G55" s="730">
        <f>E55+F55</f>
        <v/>
      </c>
      <c r="H55" s="731" t="n">
        <v>740</v>
      </c>
      <c r="I55" s="731" t="n"/>
      <c r="J55" s="732">
        <f>AM55</f>
        <v/>
      </c>
      <c r="K55" s="738">
        <f>+(D55+G55)-(H55+I55+J55)</f>
        <v/>
      </c>
      <c r="L55" s="253">
        <f>2070-740</f>
        <v/>
      </c>
      <c r="M55" s="254" t="inlineStr">
        <is>
          <t>221100624A</t>
        </is>
      </c>
      <c r="N55" s="254" t="n"/>
      <c r="O55" s="1183" t="inlineStr">
        <is>
          <t>30/11/2026</t>
        </is>
      </c>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inlineStr">
        <is>
          <t>SANTANDER</t>
        </is>
      </c>
    </row>
    <row r="56" ht="19.5" customHeight="1">
      <c r="A56" s="973" t="n"/>
      <c r="B56" s="971" t="n"/>
      <c r="C56" s="972" t="n"/>
      <c r="D56" s="973" t="n"/>
      <c r="E56" s="994" t="n"/>
      <c r="F56" s="994" t="n"/>
      <c r="G56" s="973" t="n"/>
      <c r="H56" s="994" t="n"/>
      <c r="I56" s="994" t="n"/>
      <c r="J56" s="973" t="n"/>
      <c r="K56" s="973" t="n"/>
      <c r="L56" s="253" t="n"/>
      <c r="M56" s="254" t="n"/>
      <c r="N56" s="254" t="n"/>
      <c r="O56" s="1183" t="n"/>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73"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inlineStr">
        <is>
          <t>SUCRE</t>
        </is>
      </c>
    </row>
    <row r="58" ht="19.5" customHeight="1">
      <c r="A58" s="973" t="n"/>
      <c r="B58" s="971" t="n"/>
      <c r="C58" s="972" t="n"/>
      <c r="D58" s="973"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inlineStr">
        <is>
          <t>TOLIMA</t>
        </is>
      </c>
    </row>
    <row r="59" ht="19.5" customHeight="1">
      <c r="A59" s="973" t="n"/>
      <c r="B59" s="971" t="n"/>
      <c r="C59" s="972" t="n"/>
      <c r="D59" s="973"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inlineStr">
        <is>
          <t>VALLE</t>
        </is>
      </c>
    </row>
    <row r="60" ht="19.5" customHeight="1">
      <c r="A60" s="975" t="n"/>
      <c r="B60" s="971" t="n"/>
      <c r="C60" s="972" t="n"/>
      <c r="D60" s="975"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496">
        <f>ENERO!K61</f>
        <v/>
      </c>
      <c r="E61" s="731" t="n"/>
      <c r="F61" s="731" t="n"/>
      <c r="G61" s="730">
        <f>E61+F61</f>
        <v/>
      </c>
      <c r="H61" s="731" t="n">
        <v>17</v>
      </c>
      <c r="I61" s="731" t="n"/>
      <c r="J61" s="732">
        <f>AM61</f>
        <v/>
      </c>
      <c r="K61" s="738">
        <f>+(D61+G61)-(H61+I61+J61)</f>
        <v/>
      </c>
      <c r="L61" s="253">
        <f>18-17</f>
        <v/>
      </c>
      <c r="M61" s="254" t="inlineStr">
        <is>
          <t>4CA03C1</t>
        </is>
      </c>
      <c r="N61" s="254" t="n"/>
      <c r="O61" s="1183" t="inlineStr">
        <is>
          <t>31/10/2026</t>
        </is>
      </c>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inlineStr">
        <is>
          <t>VICHADA</t>
        </is>
      </c>
    </row>
    <row r="62" ht="19.5" customHeight="1">
      <c r="A62" s="973" t="n"/>
      <c r="B62" s="971" t="n"/>
      <c r="C62" s="972" t="n"/>
      <c r="D62" s="973"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73"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73"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73"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75"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496">
        <f>ENERO!K67</f>
        <v/>
      </c>
      <c r="E67" s="731" t="n"/>
      <c r="F67" s="731" t="n"/>
      <c r="G67" s="730">
        <f>E67+F67</f>
        <v/>
      </c>
      <c r="H67" s="731" t="n">
        <v>980</v>
      </c>
      <c r="I67" s="731" t="n"/>
      <c r="J67" s="732">
        <f>AM67</f>
        <v/>
      </c>
      <c r="K67" s="738">
        <f>+(D67+G67)-(H67+I67+J67)</f>
        <v/>
      </c>
      <c r="L67" s="253" t="n">
        <v>38</v>
      </c>
      <c r="M67" s="254" t="inlineStr">
        <is>
          <t>AROLE197AB</t>
        </is>
      </c>
      <c r="N67" s="254" t="n"/>
      <c r="O67" s="1183" t="inlineStr">
        <is>
          <t>28/02/2027</t>
        </is>
      </c>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73" t="n"/>
      <c r="E68" s="994" t="n"/>
      <c r="F68" s="994" t="n"/>
      <c r="G68" s="973" t="n"/>
      <c r="H68" s="994" t="n"/>
      <c r="I68" s="994" t="n"/>
      <c r="J68" s="973" t="n"/>
      <c r="K68" s="973" t="n"/>
      <c r="L68" s="253">
        <f>2100-980</f>
        <v/>
      </c>
      <c r="M68" s="254" t="inlineStr">
        <is>
          <t>AROLE203AC</t>
        </is>
      </c>
      <c r="N68" s="254" t="n"/>
      <c r="O68" s="1183" t="inlineStr">
        <is>
          <t>31/03/2027</t>
        </is>
      </c>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73" t="n"/>
      <c r="E69" s="994" t="n"/>
      <c r="F69" s="994" t="n"/>
      <c r="G69" s="973" t="n"/>
      <c r="H69" s="994" t="n"/>
      <c r="I69" s="994" t="n"/>
      <c r="J69" s="973" t="n"/>
      <c r="K69" s="973" t="n"/>
      <c r="L69" s="253" t="n"/>
      <c r="M69" s="254" t="n"/>
      <c r="N69" s="254" t="n"/>
      <c r="O69" s="1183" t="n"/>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73"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73"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75"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496">
        <f>ENERO!K73</f>
        <v/>
      </c>
      <c r="E73" s="731" t="n"/>
      <c r="F73" s="731" t="n"/>
      <c r="G73" s="730">
        <f>E73+F73</f>
        <v/>
      </c>
      <c r="H73" s="731" t="n">
        <v>990</v>
      </c>
      <c r="I73" s="731" t="n"/>
      <c r="J73" s="732">
        <f>AM73</f>
        <v/>
      </c>
      <c r="K73" s="738">
        <f>+(D73+G73)-(H73+I73+J73)</f>
        <v/>
      </c>
      <c r="L73" s="253">
        <f>3835-990</f>
        <v/>
      </c>
      <c r="M73" s="254" t="inlineStr">
        <is>
          <t>LK3156</t>
        </is>
      </c>
      <c r="N73" s="254" t="n"/>
      <c r="O73" s="1183" t="inlineStr">
        <is>
          <t>31/05/2027</t>
        </is>
      </c>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73" t="n"/>
      <c r="E74" s="994" t="n"/>
      <c r="F74" s="994" t="n"/>
      <c r="G74" s="973" t="n"/>
      <c r="H74" s="994" t="n"/>
      <c r="I74" s="994" t="n"/>
      <c r="J74" s="973" t="n"/>
      <c r="K74" s="973" t="n"/>
      <c r="L74" s="253" t="n"/>
      <c r="M74" s="254" t="n"/>
      <c r="N74" s="254" t="n"/>
      <c r="O74" s="1183" t="n"/>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73" t="n"/>
      <c r="E75" s="994" t="n"/>
      <c r="F75" s="994" t="n"/>
      <c r="G75" s="973" t="n"/>
      <c r="H75" s="994" t="n"/>
      <c r="I75" s="994" t="n"/>
      <c r="J75" s="973" t="n"/>
      <c r="K75" s="973" t="n"/>
      <c r="L75" s="253" t="n"/>
      <c r="M75" s="254" t="n"/>
      <c r="N75" s="254" t="n"/>
      <c r="O75" s="1183" t="n"/>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73"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73"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75"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496">
        <f>ENERO!K79</f>
        <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73"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73"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73"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73"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75"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496">
        <f>ENERO!K85</f>
        <v/>
      </c>
      <c r="E85" s="731" t="n"/>
      <c r="F85" s="731" t="n"/>
      <c r="G85" s="730">
        <f>E85+F85</f>
        <v/>
      </c>
      <c r="H85" s="731" t="n">
        <v>855</v>
      </c>
      <c r="I85" s="731" t="n"/>
      <c r="J85" s="732">
        <f>AM85</f>
        <v/>
      </c>
      <c r="K85" s="738">
        <f>+(D85+G85)-(H85+I85+J85)</f>
        <v/>
      </c>
      <c r="L85" s="253">
        <f>1678-855</f>
        <v/>
      </c>
      <c r="M85" s="254" t="inlineStr">
        <is>
          <t>0133N146B</t>
        </is>
      </c>
      <c r="N85" s="254" t="n"/>
      <c r="O85" s="1183" t="inlineStr">
        <is>
          <t>30/09/2026</t>
        </is>
      </c>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73" t="n"/>
      <c r="E86" s="994" t="n"/>
      <c r="F86" s="994" t="n"/>
      <c r="G86" s="973" t="n"/>
      <c r="H86" s="994" t="n"/>
      <c r="I86" s="994" t="n"/>
      <c r="J86" s="973" t="n"/>
      <c r="K86" s="973" t="n"/>
      <c r="L86" s="253" t="n">
        <v>5000</v>
      </c>
      <c r="M86" s="254" t="inlineStr">
        <is>
          <t>0134N093A</t>
        </is>
      </c>
      <c r="N86" s="254" t="n"/>
      <c r="O86" s="1183" t="inlineStr">
        <is>
          <t>30/04/2027</t>
        </is>
      </c>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73" t="n"/>
      <c r="E87" s="994" t="n"/>
      <c r="F87" s="994" t="n"/>
      <c r="G87" s="973" t="n"/>
      <c r="H87" s="994" t="n"/>
      <c r="I87" s="994" t="n"/>
      <c r="J87" s="973" t="n"/>
      <c r="K87" s="973" t="n"/>
      <c r="L87" s="253" t="n">
        <v>5000</v>
      </c>
      <c r="M87" s="254" t="inlineStr">
        <is>
          <t>0134N096A</t>
        </is>
      </c>
      <c r="N87" s="254" t="n"/>
      <c r="O87" s="1183" t="inlineStr">
        <is>
          <t>30/04/2027</t>
        </is>
      </c>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73" t="n"/>
      <c r="E88" s="994" t="n"/>
      <c r="F88" s="994" t="n"/>
      <c r="G88" s="973" t="n"/>
      <c r="H88" s="994" t="n"/>
      <c r="I88" s="994" t="n"/>
      <c r="J88" s="973" t="n"/>
      <c r="K88" s="973" t="n"/>
      <c r="L88" s="253" t="n"/>
      <c r="M88" s="254" t="n"/>
      <c r="N88" s="254" t="n"/>
      <c r="O88" s="1183" t="n"/>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73"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75"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496">
        <f>ENERO!K91</f>
        <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73"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73"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73"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73"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75"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496">
        <f>ENERO!K97</f>
        <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73"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73"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73"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73"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75"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496">
        <f>ENERO!K103</f>
        <v/>
      </c>
      <c r="E103" s="731" t="n"/>
      <c r="F103" s="731" t="n"/>
      <c r="G103" s="730">
        <f>E103+F103</f>
        <v/>
      </c>
      <c r="H103" s="731" t="n">
        <v>1945</v>
      </c>
      <c r="I103" s="731" t="n">
        <v>1200</v>
      </c>
      <c r="J103" s="732">
        <f>AM103</f>
        <v/>
      </c>
      <c r="K103" s="738">
        <f>+(D103+G103)-(H103+I103+J103)</f>
        <v/>
      </c>
      <c r="L103" s="253">
        <f>2397-1155</f>
        <v/>
      </c>
      <c r="M103" s="254" t="inlineStr">
        <is>
          <t>0094W002</t>
        </is>
      </c>
      <c r="N103" s="254" t="n"/>
      <c r="O103" s="1183" t="inlineStr">
        <is>
          <t>30/11/2026</t>
        </is>
      </c>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73" t="n"/>
      <c r="E104" s="994" t="n"/>
      <c r="F104" s="994" t="n"/>
      <c r="G104" s="973" t="n"/>
      <c r="H104" s="994" t="n"/>
      <c r="I104" s="994" t="n"/>
      <c r="J104" s="973" t="n"/>
      <c r="K104" s="973" t="n"/>
      <c r="L104" s="253">
        <f>3225-1990</f>
        <v/>
      </c>
      <c r="M104" s="254" t="inlineStr">
        <is>
          <t>0094W003</t>
        </is>
      </c>
      <c r="N104" s="254" t="n"/>
      <c r="O104" s="1183" t="inlineStr">
        <is>
          <t>31/01/2027</t>
        </is>
      </c>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73"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73"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73"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75"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496">
        <f>ENERO!K109</f>
        <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73"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73"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73"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73"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75"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496">
        <f>ENERO!K115</f>
        <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73"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73"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73"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73"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75"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496">
        <f>ENERO!K121</f>
        <v/>
      </c>
      <c r="E121" s="731" t="n"/>
      <c r="F121" s="731" t="n"/>
      <c r="G121" s="730">
        <f>E121+F121</f>
        <v/>
      </c>
      <c r="H121" s="731" t="n">
        <v>2800</v>
      </c>
      <c r="I121" s="731" t="n"/>
      <c r="J121" s="732">
        <f>AM121</f>
        <v/>
      </c>
      <c r="K121" s="738">
        <f>+(D121+G121)-(H121+I121+J121)</f>
        <v/>
      </c>
      <c r="L121" s="253">
        <f>11400-2800</f>
        <v/>
      </c>
      <c r="M121" s="254" t="inlineStr">
        <is>
          <t>Y3D32</t>
        </is>
      </c>
      <c r="N121" s="254" t="n"/>
      <c r="O121" s="1183" t="inlineStr">
        <is>
          <t>30/04/2027</t>
        </is>
      </c>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73" t="n"/>
      <c r="E122" s="994" t="n"/>
      <c r="F122" s="994" t="n"/>
      <c r="G122" s="973" t="n"/>
      <c r="H122" s="994" t="n"/>
      <c r="I122" s="994" t="n"/>
      <c r="J122" s="973" t="n"/>
      <c r="K122" s="973" t="n"/>
      <c r="L122" s="253" t="n">
        <v>30000</v>
      </c>
      <c r="M122" s="254" t="inlineStr">
        <is>
          <t>Y3H33</t>
        </is>
      </c>
      <c r="N122" s="254" t="n"/>
      <c r="O122" s="1183" t="inlineStr">
        <is>
          <t>31/08/2027</t>
        </is>
      </c>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73" t="n"/>
      <c r="E123" s="994" t="n"/>
      <c r="F123" s="994" t="n"/>
      <c r="G123" s="973" t="n"/>
      <c r="H123" s="994" t="n"/>
      <c r="I123" s="994" t="n"/>
      <c r="J123" s="973" t="n"/>
      <c r="K123" s="973" t="n"/>
      <c r="L123" s="253" t="n"/>
      <c r="M123" s="254" t="n"/>
      <c r="N123" s="254" t="n"/>
      <c r="O123" s="1183" t="n"/>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73"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73"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75"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496">
        <f>ENERO!K127</f>
        <v/>
      </c>
      <c r="E127" s="731" t="n"/>
      <c r="F127" s="731" t="n"/>
      <c r="G127" s="730">
        <f>E127+F127</f>
        <v/>
      </c>
      <c r="H127" s="731" t="n">
        <v>850</v>
      </c>
      <c r="I127" s="731" t="n"/>
      <c r="J127" s="732">
        <f>AM127</f>
        <v/>
      </c>
      <c r="K127" s="738">
        <f>+(D127+G127)-(H127+I127+J127)</f>
        <v/>
      </c>
      <c r="L127" s="253">
        <f>950-500</f>
        <v/>
      </c>
      <c r="M127" s="254" t="inlineStr">
        <is>
          <t>AB202403009</t>
        </is>
      </c>
      <c r="N127" s="254" t="n"/>
      <c r="O127" s="1183" t="inlineStr">
        <is>
          <t>04/09/2027</t>
        </is>
      </c>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73" t="n"/>
      <c r="E128" s="994" t="n"/>
      <c r="F128" s="994" t="n"/>
      <c r="G128" s="973" t="n"/>
      <c r="H128" s="994" t="n"/>
      <c r="I128" s="994" t="n"/>
      <c r="J128" s="973" t="n"/>
      <c r="K128" s="973" t="n"/>
      <c r="L128" s="253">
        <f>1715-350</f>
        <v/>
      </c>
      <c r="M128" s="254" t="inlineStr">
        <is>
          <t>AB202404013</t>
        </is>
      </c>
      <c r="N128" s="254" t="n"/>
      <c r="O128" s="1183" t="inlineStr">
        <is>
          <t>21/10/2027</t>
        </is>
      </c>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73" t="n"/>
      <c r="E129" s="994" t="n"/>
      <c r="F129" s="994" t="n"/>
      <c r="G129" s="973" t="n"/>
      <c r="H129" s="994" t="n"/>
      <c r="I129" s="994" t="n"/>
      <c r="J129" s="973" t="n"/>
      <c r="K129" s="973" t="n"/>
      <c r="L129" s="253" t="n"/>
      <c r="M129" s="254" t="n"/>
      <c r="N129" s="254" t="n"/>
      <c r="O129" s="1183" t="n"/>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73"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73"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75"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496">
        <f>ENERO!K133</f>
        <v/>
      </c>
      <c r="E133" s="731" t="n"/>
      <c r="F133" s="731" t="n"/>
      <c r="G133" s="730">
        <f>E133+F133</f>
        <v/>
      </c>
      <c r="H133" s="731" t="n">
        <v>510</v>
      </c>
      <c r="I133" s="731" t="n"/>
      <c r="J133" s="732">
        <f>AM133</f>
        <v/>
      </c>
      <c r="K133" s="738">
        <f>+(D133+G133)-(H133+I133+J133)</f>
        <v/>
      </c>
      <c r="L133" s="253">
        <f>3705-510</f>
        <v/>
      </c>
      <c r="M133" s="254" t="inlineStr">
        <is>
          <t>BB202506051</t>
        </is>
      </c>
      <c r="N133" s="254" t="n"/>
      <c r="O133" s="1183" t="inlineStr">
        <is>
          <t>12/06/2027</t>
        </is>
      </c>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73" t="n"/>
      <c r="E134" s="994" t="n"/>
      <c r="F134" s="994" t="n"/>
      <c r="G134" s="973" t="n"/>
      <c r="H134" s="994" t="n"/>
      <c r="I134" s="994" t="n"/>
      <c r="J134" s="973" t="n"/>
      <c r="K134" s="973" t="n"/>
      <c r="L134" s="253" t="n"/>
      <c r="M134" s="254" t="n"/>
      <c r="N134" s="254" t="n"/>
      <c r="O134" s="1183" t="n"/>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73" t="n"/>
      <c r="E135" s="994" t="n"/>
      <c r="F135" s="994" t="n"/>
      <c r="G135" s="973" t="n"/>
      <c r="H135" s="994" t="n"/>
      <c r="I135" s="994" t="n"/>
      <c r="J135" s="973" t="n"/>
      <c r="K135" s="973" t="n"/>
      <c r="L135" s="253" t="n"/>
      <c r="M135" s="254" t="n"/>
      <c r="N135" s="254" t="n"/>
      <c r="O135" s="1183" t="n"/>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73"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73"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75"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496">
        <f>ENERO!K139</f>
        <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73"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73"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73"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73"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75"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496">
        <f>ENERO!K145</f>
        <v/>
      </c>
      <c r="E145" s="731" t="n"/>
      <c r="F145" s="731" t="n"/>
      <c r="G145" s="730">
        <f>E145+F145</f>
        <v/>
      </c>
      <c r="H145" s="731" t="n">
        <v>620</v>
      </c>
      <c r="I145" s="731" t="n"/>
      <c r="J145" s="732">
        <f>AM145</f>
        <v/>
      </c>
      <c r="K145" s="738">
        <f>+(D145+G145)-(H145+I145+J145)</f>
        <v/>
      </c>
      <c r="L145" s="253">
        <f>4330-620</f>
        <v/>
      </c>
      <c r="M145" s="254" t="inlineStr">
        <is>
          <t>2334L016E</t>
        </is>
      </c>
      <c r="N145" s="254" t="n"/>
      <c r="O145" s="1183" t="inlineStr">
        <is>
          <t>31/03/2027</t>
        </is>
      </c>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73" t="n"/>
      <c r="E146" s="994" t="n"/>
      <c r="F146" s="994" t="n"/>
      <c r="G146" s="973" t="n"/>
      <c r="H146" s="994" t="n"/>
      <c r="I146" s="994" t="n"/>
      <c r="J146" s="973" t="n"/>
      <c r="K146" s="973" t="n"/>
      <c r="L146" s="253" t="n"/>
      <c r="M146" s="254" t="n"/>
      <c r="N146" s="254" t="n"/>
      <c r="O146" s="1183" t="n"/>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73"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73"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73"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75"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496">
        <f>ENERO!K151</f>
        <v/>
      </c>
      <c r="E151" s="731" t="n"/>
      <c r="F151" s="731" t="n"/>
      <c r="G151" s="730">
        <f>E151+F151</f>
        <v/>
      </c>
      <c r="H151" s="731" t="n">
        <v>1184</v>
      </c>
      <c r="I151" s="731" t="n"/>
      <c r="J151" s="732">
        <f>AM151</f>
        <v/>
      </c>
      <c r="K151" s="738">
        <f>+(D151+G151)-(H151+I151+J151)</f>
        <v/>
      </c>
      <c r="L151" s="253" t="n"/>
      <c r="M151" s="254" t="n"/>
      <c r="N151" s="254" t="n"/>
      <c r="O151" s="1183" t="n"/>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73" t="n"/>
      <c r="E152" s="994" t="n"/>
      <c r="F152" s="994" t="n"/>
      <c r="G152" s="973" t="n"/>
      <c r="H152" s="994" t="n"/>
      <c r="I152" s="994" t="n"/>
      <c r="J152" s="973" t="n"/>
      <c r="K152" s="973" t="n"/>
      <c r="L152" s="253" t="n"/>
      <c r="M152" s="254" t="n"/>
      <c r="N152" s="254" t="n"/>
      <c r="O152" s="1183" t="n"/>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73"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73"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73"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75"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496">
        <f>ENERO!K157</f>
        <v/>
      </c>
      <c r="E157" s="731" t="n"/>
      <c r="F157" s="731" t="n"/>
      <c r="G157" s="730">
        <f>E157+F157</f>
        <v/>
      </c>
      <c r="H157" s="731" t="n"/>
      <c r="I157" s="731" t="n"/>
      <c r="J157" s="732">
        <f>AM157</f>
        <v/>
      </c>
      <c r="K157" s="738">
        <f>+(D157+G157)-(H157+I157+J157)</f>
        <v/>
      </c>
      <c r="L157" s="253" t="n"/>
      <c r="M157" s="254" t="n"/>
      <c r="N157" s="254" t="n"/>
      <c r="O157" s="1183" t="n"/>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73"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73"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73"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73"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75"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496">
        <f>ENERO!K163</f>
        <v/>
      </c>
      <c r="E163" s="731" t="n"/>
      <c r="F163" s="731" t="n"/>
      <c r="G163" s="730">
        <f>E163+F163</f>
        <v/>
      </c>
      <c r="H163" s="731" t="n"/>
      <c r="I163" s="731" t="n"/>
      <c r="J163" s="732">
        <f>AM163</f>
        <v/>
      </c>
      <c r="K163" s="738">
        <f>+(D163+G163)-(H163+I163+J163)</f>
        <v/>
      </c>
      <c r="L163" s="253" t="n"/>
      <c r="M163" s="254" t="n"/>
      <c r="N163" s="254" t="n"/>
      <c r="O163" s="1183" t="n"/>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73" t="n"/>
      <c r="E164" s="994" t="n"/>
      <c r="F164" s="994" t="n"/>
      <c r="G164" s="973" t="n"/>
      <c r="H164" s="994" t="n"/>
      <c r="I164" s="994" t="n"/>
      <c r="J164" s="973" t="n"/>
      <c r="K164" s="973" t="n"/>
      <c r="L164" s="253" t="n"/>
      <c r="M164" s="254" t="n"/>
      <c r="N164" s="254" t="n"/>
      <c r="O164" s="1183" t="n"/>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73" t="n"/>
      <c r="E165" s="994" t="n"/>
      <c r="F165" s="994" t="n"/>
      <c r="G165" s="973" t="n"/>
      <c r="H165" s="994" t="n"/>
      <c r="I165" s="994" t="n"/>
      <c r="J165" s="973" t="n"/>
      <c r="K165" s="973" t="n"/>
      <c r="L165" s="253" t="n"/>
      <c r="M165" s="254" t="n"/>
      <c r="N165" s="254" t="n"/>
      <c r="O165" s="1183" t="n"/>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73"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73"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75"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496">
        <f>ENERO!K169</f>
        <v/>
      </c>
      <c r="E169" s="731" t="n">
        <v>500</v>
      </c>
      <c r="F169" s="731" t="n"/>
      <c r="G169" s="730">
        <f>E169+F169</f>
        <v/>
      </c>
      <c r="H169" s="731" t="n">
        <v>500</v>
      </c>
      <c r="I169" s="731" t="n"/>
      <c r="J169" s="732">
        <f>AM169</f>
        <v/>
      </c>
      <c r="K169" s="738">
        <f>+(D169+G169)-(H169+I169+J169)</f>
        <v/>
      </c>
      <c r="L169" s="253" t="n"/>
      <c r="M169" s="254" t="n"/>
      <c r="N169" s="254" t="n"/>
      <c r="O169" s="1183" t="n"/>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73" t="n"/>
      <c r="E170" s="994" t="n"/>
      <c r="F170" s="994" t="n"/>
      <c r="G170" s="973" t="n"/>
      <c r="H170" s="994" t="n"/>
      <c r="I170" s="994" t="n"/>
      <c r="J170" s="973" t="n"/>
      <c r="K170" s="973" t="n"/>
      <c r="L170" s="253" t="n"/>
      <c r="M170" s="254"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73"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73"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73"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75"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496">
        <f>ENERO!K175</f>
        <v/>
      </c>
      <c r="E175" s="731" t="n"/>
      <c r="F175" s="731" t="n"/>
      <c r="G175" s="730">
        <f>E175+F175</f>
        <v/>
      </c>
      <c r="H175" s="731" t="n">
        <v>555</v>
      </c>
      <c r="I175" s="731" t="n"/>
      <c r="J175" s="732">
        <f>AM175</f>
        <v/>
      </c>
      <c r="K175" s="738">
        <f>+(D175+G175)-(H175+I175+J175)</f>
        <v/>
      </c>
      <c r="L175" s="253">
        <f>2048-555</f>
        <v/>
      </c>
      <c r="M175" s="254" t="inlineStr">
        <is>
          <t>Y014828</t>
        </is>
      </c>
      <c r="N175" s="254" t="n"/>
      <c r="O175" s="1183" t="inlineStr">
        <is>
          <t>31/05/2027</t>
        </is>
      </c>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73" t="n"/>
      <c r="E176" s="994" t="n"/>
      <c r="F176" s="994" t="n"/>
      <c r="G176" s="973" t="n"/>
      <c r="H176" s="994" t="n"/>
      <c r="I176" s="994" t="n"/>
      <c r="J176" s="973" t="n"/>
      <c r="K176" s="973" t="n"/>
      <c r="L176" s="253" t="n"/>
      <c r="M176" s="254" t="n"/>
      <c r="N176" s="254" t="n"/>
      <c r="O176" s="1183" t="n"/>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73" t="n"/>
      <c r="E177" s="994" t="n"/>
      <c r="F177" s="994" t="n"/>
      <c r="G177" s="973" t="n"/>
      <c r="H177" s="994" t="n"/>
      <c r="I177" s="994" t="n"/>
      <c r="J177" s="973" t="n"/>
      <c r="K177" s="973" t="n"/>
      <c r="L177" s="253" t="n"/>
      <c r="M177" s="254" t="n"/>
      <c r="N177" s="254" t="n"/>
      <c r="O177" s="1183" t="n"/>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73"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73"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75"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496">
        <f>ENERO!K181</f>
        <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73"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73"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73"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73"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75"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496">
        <f>ENERO!K187</f>
        <v/>
      </c>
      <c r="E187" s="731" t="n"/>
      <c r="F187" s="731" t="n"/>
      <c r="G187" s="730">
        <f>E187+F187</f>
        <v/>
      </c>
      <c r="H187" s="731" t="n">
        <v>60</v>
      </c>
      <c r="I187" s="731" t="n"/>
      <c r="J187" s="732">
        <f>AM187</f>
        <v/>
      </c>
      <c r="K187" s="738">
        <f>+(D187+G187)-(H187+I187+J187)</f>
        <v/>
      </c>
      <c r="L187" s="253">
        <f>90-60</f>
        <v/>
      </c>
      <c r="M187" s="254" t="inlineStr">
        <is>
          <t>1484T128</t>
        </is>
      </c>
      <c r="N187" s="254" t="n"/>
      <c r="O187" s="1183" t="inlineStr">
        <is>
          <t>31/10/2027</t>
        </is>
      </c>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73" t="n"/>
      <c r="E188" s="994" t="n"/>
      <c r="F188" s="994" t="n"/>
      <c r="G188" s="973" t="n"/>
      <c r="H188" s="994" t="n"/>
      <c r="I188" s="994" t="n"/>
      <c r="J188" s="973" t="n"/>
      <c r="K188" s="973" t="n"/>
      <c r="L188" s="253" t="n"/>
      <c r="M188" s="254" t="n"/>
      <c r="N188" s="254" t="n"/>
      <c r="O188" s="1183" t="n"/>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73"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73"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73"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75"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496">
        <f>ENERO!K193</f>
        <v/>
      </c>
      <c r="E193" s="731" t="n"/>
      <c r="F193" s="731" t="n"/>
      <c r="G193" s="730">
        <f>E193+F193</f>
        <v/>
      </c>
      <c r="H193" s="731" t="n"/>
      <c r="I193" s="731" t="n"/>
      <c r="J193" s="732">
        <f>AM193</f>
        <v/>
      </c>
      <c r="K193" s="738">
        <f>+(D193+G193)-(H193+I193+J193)</f>
        <v/>
      </c>
      <c r="L193" s="253" t="n">
        <v>78</v>
      </c>
      <c r="M193" s="254" t="inlineStr">
        <is>
          <t>P100819448</t>
        </is>
      </c>
      <c r="N193" s="254" t="n"/>
      <c r="O193" s="1183" t="inlineStr">
        <is>
          <t>24/03/2028</t>
        </is>
      </c>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73"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73"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73"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73"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75"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496">
        <f>ENERO!K199</f>
        <v/>
      </c>
      <c r="E199" s="731" t="n"/>
      <c r="F199" s="731" t="n"/>
      <c r="G199" s="730">
        <f>E199+F199</f>
        <v/>
      </c>
      <c r="H199" s="731" t="n">
        <v>60</v>
      </c>
      <c r="I199" s="731" t="n"/>
      <c r="J199" s="732">
        <f>AM199</f>
        <v/>
      </c>
      <c r="K199" s="738">
        <f>+(D199+G199)-(H199+I199+J199)</f>
        <v/>
      </c>
      <c r="L199" s="253">
        <f>344-60</f>
        <v/>
      </c>
      <c r="M199" s="254" t="inlineStr">
        <is>
          <t>08AR25015</t>
        </is>
      </c>
      <c r="N199" s="254" t="n"/>
      <c r="O199" s="1183" t="inlineStr">
        <is>
          <t>31/05/2027</t>
        </is>
      </c>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73" t="n"/>
      <c r="E200" s="994" t="n"/>
      <c r="F200" s="994" t="n"/>
      <c r="G200" s="973" t="n"/>
      <c r="H200" s="994" t="n"/>
      <c r="I200" s="994" t="n"/>
      <c r="J200" s="973" t="n"/>
      <c r="K200" s="973" t="n"/>
      <c r="L200" s="253" t="n"/>
      <c r="M200" s="254" t="n"/>
      <c r="N200" s="254" t="n"/>
      <c r="O200" s="1183" t="n"/>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73"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73"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73"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75"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496">
        <f>ENERO!K205</f>
        <v/>
      </c>
      <c r="E205" s="731" t="n"/>
      <c r="F205" s="731" t="n"/>
      <c r="G205" s="730">
        <f>E205+F205</f>
        <v/>
      </c>
      <c r="H205" s="731" t="n">
        <v>11</v>
      </c>
      <c r="I205" s="731" t="n"/>
      <c r="J205" s="732">
        <f>AM205</f>
        <v/>
      </c>
      <c r="K205" s="738">
        <f>+(D205+G205)-(H205+I205+J205)</f>
        <v/>
      </c>
      <c r="L205" s="253">
        <f>43-11</f>
        <v/>
      </c>
      <c r="M205" s="254" t="inlineStr">
        <is>
          <t>P100756726</t>
        </is>
      </c>
      <c r="N205" s="254" t="n"/>
      <c r="O205" s="1183" t="inlineStr">
        <is>
          <t>09/10/2027</t>
        </is>
      </c>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73"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73"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73"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73"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75"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496">
        <f>ENERO!K211</f>
        <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73"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73"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73"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73"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75"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496">
        <f>ENERO!K217</f>
        <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73"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73"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73"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73"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75"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496">
        <f>ENERO!K223</f>
        <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73"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73"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73"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73"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75"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496">
        <f>ENERO!K230</f>
        <v/>
      </c>
      <c r="E230" s="731" t="n"/>
      <c r="F230" s="731" t="n"/>
      <c r="G230" s="730">
        <f>E230+F230</f>
        <v/>
      </c>
      <c r="H230" s="731" t="n">
        <v>1940</v>
      </c>
      <c r="I230" s="731" t="n"/>
      <c r="J230" s="732">
        <f>AM230</f>
        <v/>
      </c>
      <c r="K230" s="738">
        <f>+(D230+G230)-(H230+I230+J230)</f>
        <v/>
      </c>
      <c r="L230" s="253">
        <f>8230-1940</f>
        <v/>
      </c>
      <c r="M230" s="254" t="inlineStr">
        <is>
          <t>0704S4011</t>
        </is>
      </c>
      <c r="N230" s="254" t="n"/>
      <c r="O230" s="1183" t="n"/>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73" t="n"/>
      <c r="E231" s="994" t="n"/>
      <c r="F231" s="994" t="n"/>
      <c r="G231" s="973" t="n"/>
      <c r="H231" s="994" t="n"/>
      <c r="I231" s="994" t="n"/>
      <c r="J231" s="973" t="n"/>
      <c r="K231" s="973" t="n"/>
      <c r="L231" s="253" t="n"/>
      <c r="M231" s="254" t="n"/>
      <c r="N231" s="254" t="n"/>
      <c r="O231" s="1183" t="n"/>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73" t="n"/>
      <c r="E232" s="994" t="n"/>
      <c r="F232" s="994" t="n"/>
      <c r="G232" s="973" t="n"/>
      <c r="H232" s="994" t="n"/>
      <c r="I232" s="994" t="n"/>
      <c r="J232" s="973" t="n"/>
      <c r="K232" s="973" t="n"/>
      <c r="L232" s="253" t="n"/>
      <c r="M232" s="254" t="n"/>
      <c r="N232" s="254" t="n"/>
      <c r="O232" s="1183" t="n"/>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73"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73"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75" t="n"/>
      <c r="E235" s="998" t="n"/>
      <c r="F235" s="998" t="n"/>
      <c r="G235" s="975" t="n"/>
      <c r="H235" s="998" t="n"/>
      <c r="I235" s="998" t="n"/>
      <c r="J235" s="975" t="n"/>
      <c r="K235" s="1189">
        <f>K230=L235</f>
        <v/>
      </c>
      <c r="L235" s="491">
        <f>SUM(L230:L234)</f>
        <v/>
      </c>
      <c r="M235" s="1190" t="inlineStr">
        <is>
          <t xml:space="preserve">“Verdadero” indica que la cantidad por lote, coincide con el saldo que inicia al mes siguiente. "Falso" no coinicide. </t>
        </is>
      </c>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496">
        <f>ENERO!K236</f>
        <v/>
      </c>
      <c r="E236" s="731" t="n"/>
      <c r="F236" s="731" t="n"/>
      <c r="G236" s="730">
        <f>E236+F236</f>
        <v/>
      </c>
      <c r="H236" s="731" t="n">
        <v>855</v>
      </c>
      <c r="I236" s="731" t="n"/>
      <c r="J236" s="732">
        <f>AM236</f>
        <v/>
      </c>
      <c r="K236" s="738">
        <f>+(D236+G236)-(H236+I236+J236)</f>
        <v/>
      </c>
      <c r="L236" s="253">
        <f>4793-855</f>
        <v/>
      </c>
      <c r="M236" s="254" t="inlineStr">
        <is>
          <t>0643S1010</t>
        </is>
      </c>
      <c r="N236" s="254" t="n"/>
      <c r="O236" s="1183" t="inlineStr">
        <is>
          <t>30/04/2028</t>
        </is>
      </c>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73" t="n"/>
      <c r="E237" s="994" t="n"/>
      <c r="F237" s="994" t="n"/>
      <c r="G237" s="973" t="n"/>
      <c r="H237" s="994" t="n"/>
      <c r="I237" s="994" t="n"/>
      <c r="J237" s="973" t="n"/>
      <c r="K237" s="973" t="n"/>
      <c r="L237" s="253" t="n">
        <v>10000</v>
      </c>
      <c r="M237" s="254" t="inlineStr">
        <is>
          <t>0644S4011</t>
        </is>
      </c>
      <c r="N237" s="254" t="n"/>
      <c r="O237" s="1183" t="inlineStr">
        <is>
          <t>30/06/2029</t>
        </is>
      </c>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73" t="n"/>
      <c r="E238" s="994" t="n"/>
      <c r="F238" s="994" t="n"/>
      <c r="G238" s="973" t="n"/>
      <c r="H238" s="994" t="n"/>
      <c r="I238" s="994" t="n"/>
      <c r="J238" s="973" t="n"/>
      <c r="K238" s="973" t="n"/>
      <c r="L238" s="253" t="n"/>
      <c r="M238" s="254" t="n"/>
      <c r="N238" s="254" t="n"/>
      <c r="O238" s="1183" t="n"/>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73"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73"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75" t="n"/>
      <c r="E241" s="998" t="n"/>
      <c r="F241" s="998" t="n"/>
      <c r="G241" s="975" t="n"/>
      <c r="H241" s="998" t="n"/>
      <c r="I241" s="998" t="n"/>
      <c r="J241" s="975" t="n"/>
      <c r="K241" s="1189">
        <f>K236=L241</f>
        <v/>
      </c>
      <c r="L241" s="491">
        <f>SUM(L236:L240)</f>
        <v/>
      </c>
      <c r="M241" s="1190" t="inlineStr">
        <is>
          <t xml:space="preserve">“Verdadero” indica que la cantidad por lote, coincide con el saldo que inicia al mes siguiente. "Falso" no coinicide. </t>
        </is>
      </c>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496">
        <f>ENERO!K242</f>
        <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73"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73"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73"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73"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75" t="n"/>
      <c r="E247" s="998" t="n"/>
      <c r="F247" s="998" t="n"/>
      <c r="G247" s="975" t="n"/>
      <c r="H247" s="998" t="n"/>
      <c r="I247" s="998" t="n"/>
      <c r="J247" s="975" t="n"/>
      <c r="K247" s="1189">
        <f>K242=L247</f>
        <v/>
      </c>
      <c r="L247" s="491">
        <f>SUM(L242:L246)</f>
        <v/>
      </c>
      <c r="M247" s="1190" t="inlineStr">
        <is>
          <t xml:space="preserve">“Verdadero” indica que la cantidad por lote, coincide con el saldo que inicia al mes siguiente. "Falso" no coinicide. </t>
        </is>
      </c>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496">
        <f>ENERO!K248</f>
        <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73"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73"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73"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73"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75" t="n"/>
      <c r="E253" s="998" t="n"/>
      <c r="F253" s="998" t="n"/>
      <c r="G253" s="975" t="n"/>
      <c r="H253" s="998" t="n"/>
      <c r="I253" s="998" t="n"/>
      <c r="J253" s="975" t="n"/>
      <c r="K253" s="1189">
        <f>K248=L253</f>
        <v/>
      </c>
      <c r="L253" s="491">
        <f>SUM(L248:L252)</f>
        <v/>
      </c>
      <c r="M253" s="1190" t="inlineStr">
        <is>
          <t xml:space="preserve">“Verdadero” indica que la cantidad por lote, coincide con el saldo que inicia al mes siguiente. "Falso" no coinicide. </t>
        </is>
      </c>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496">
        <f>ENERO!K254</f>
        <v/>
      </c>
      <c r="E254" s="731" t="n"/>
      <c r="F254" s="731" t="n"/>
      <c r="G254" s="730">
        <f>E254+F254</f>
        <v/>
      </c>
      <c r="H254" s="731" t="n">
        <v>3125</v>
      </c>
      <c r="I254" s="731" t="n"/>
      <c r="J254" s="732">
        <f>AM254</f>
        <v/>
      </c>
      <c r="K254" s="738">
        <f>+(D254+G254)-(H254+I254+J254)</f>
        <v/>
      </c>
      <c r="L254" s="253" t="n">
        <v>4</v>
      </c>
      <c r="M254" s="254" t="inlineStr">
        <is>
          <t>0643S4002</t>
        </is>
      </c>
      <c r="N254" s="254" t="n"/>
      <c r="O254" s="1183" t="inlineStr">
        <is>
          <t>30/04/2028</t>
        </is>
      </c>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73" t="n"/>
      <c r="E255" s="994" t="n"/>
      <c r="F255" s="994" t="n"/>
      <c r="G255" s="973" t="n"/>
      <c r="H255" s="994" t="n"/>
      <c r="I255" s="994" t="n"/>
      <c r="J255" s="973" t="n"/>
      <c r="K255" s="973" t="n"/>
      <c r="L255" s="253">
        <f>5900-3090</f>
        <v/>
      </c>
      <c r="M255" s="254" t="inlineStr">
        <is>
          <t>0643S4003</t>
        </is>
      </c>
      <c r="N255" s="254" t="n"/>
      <c r="O255" s="1183" t="inlineStr">
        <is>
          <t>31/08/2028</t>
        </is>
      </c>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73" t="n"/>
      <c r="E256" s="994" t="n"/>
      <c r="F256" s="994" t="n"/>
      <c r="G256" s="973" t="n"/>
      <c r="H256" s="994" t="n"/>
      <c r="I256" s="994" t="n"/>
      <c r="J256" s="973" t="n"/>
      <c r="K256" s="973" t="n"/>
      <c r="L256" s="253" t="n"/>
      <c r="M256" s="254" t="n"/>
      <c r="N256" s="254" t="n"/>
      <c r="O256" s="1183" t="n"/>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73" t="n"/>
      <c r="E257" s="994" t="n"/>
      <c r="F257" s="994" t="n"/>
      <c r="G257" s="973" t="n"/>
      <c r="H257" s="994" t="n"/>
      <c r="I257" s="994" t="n"/>
      <c r="J257" s="973" t="n"/>
      <c r="K257" s="973" t="n"/>
      <c r="L257" s="253" t="n"/>
      <c r="M257" s="254" t="n"/>
      <c r="N257" s="254" t="n"/>
      <c r="O257" s="1183" t="n"/>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73"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75" t="n"/>
      <c r="E259" s="998" t="n"/>
      <c r="F259" s="998" t="n"/>
      <c r="G259" s="975" t="n"/>
      <c r="H259" s="998" t="n"/>
      <c r="I259" s="998" t="n"/>
      <c r="J259" s="975" t="n"/>
      <c r="K259" s="1189">
        <f>K254=L259</f>
        <v/>
      </c>
      <c r="L259" s="491">
        <f>SUM(L254:L258)</f>
        <v/>
      </c>
      <c r="M259" s="1190" t="inlineStr">
        <is>
          <t xml:space="preserve">“Verdadero” indica que la cantidad por lote, coincide con el saldo que inicia al mes siguiente. "Falso" no coinicide. </t>
        </is>
      </c>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496">
        <f>ENERO!K260</f>
        <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73"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73"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73"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73"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75" t="n"/>
      <c r="E265" s="998" t="n"/>
      <c r="F265" s="998" t="n"/>
      <c r="G265" s="975" t="n"/>
      <c r="H265" s="998" t="n"/>
      <c r="I265" s="998" t="n"/>
      <c r="J265" s="975" t="n"/>
      <c r="K265" s="1189">
        <f>K260=L265</f>
        <v/>
      </c>
      <c r="L265" s="491">
        <f>SUM(L260:L264)</f>
        <v/>
      </c>
      <c r="M265" s="1190" t="inlineStr">
        <is>
          <t xml:space="preserve">“Verdadero” indica que la cantidad por lote, coincide con el saldo que inicia al mes siguiente. "Falso" no coinicide. </t>
        </is>
      </c>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496">
        <f>ENERO!K266</f>
        <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73"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73"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73"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73"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75" t="n"/>
      <c r="E271" s="998" t="n"/>
      <c r="F271" s="998" t="n"/>
      <c r="G271" s="975" t="n"/>
      <c r="H271" s="998" t="n"/>
      <c r="I271" s="998" t="n"/>
      <c r="J271" s="975" t="n"/>
      <c r="K271" s="1189">
        <f>K266=L271</f>
        <v/>
      </c>
      <c r="L271" s="491">
        <f>SUM(L266:L270)</f>
        <v/>
      </c>
      <c r="M271" s="1190" t="inlineStr">
        <is>
          <t xml:space="preserve">“Verdadero” indica que la cantidad por lote, coincide con el saldo que inicia al mes siguiente. "Falso" no coinicide. </t>
        </is>
      </c>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496">
        <f>ENERO!K272</f>
        <v/>
      </c>
      <c r="E272" s="731" t="n"/>
      <c r="F272" s="731" t="n"/>
      <c r="G272" s="730">
        <f>E272+F272</f>
        <v/>
      </c>
      <c r="H272" s="731" t="n">
        <v>2800</v>
      </c>
      <c r="I272" s="731" t="n"/>
      <c r="J272" s="732">
        <f>AM272</f>
        <v/>
      </c>
      <c r="K272" s="738">
        <f>+(D272+G272)-(H272+I272+J272)</f>
        <v/>
      </c>
      <c r="L272" s="253">
        <f>12000-2800</f>
        <v/>
      </c>
      <c r="M272" s="254" t="inlineStr">
        <is>
          <t>Y4X16</t>
        </is>
      </c>
      <c r="N272" s="254" t="n"/>
      <c r="O272" s="1183" t="inlineStr">
        <is>
          <t>30/06/2027</t>
        </is>
      </c>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73" t="n"/>
      <c r="E273" s="994" t="n"/>
      <c r="F273" s="994" t="n"/>
      <c r="G273" s="973" t="n"/>
      <c r="H273" s="994" t="n"/>
      <c r="I273" s="994" t="n"/>
      <c r="J273" s="973" t="n"/>
      <c r="K273" s="973" t="n"/>
      <c r="L273" s="253" t="n">
        <v>30000</v>
      </c>
      <c r="M273" s="254" t="inlineStr">
        <is>
          <t>Y4X19</t>
        </is>
      </c>
      <c r="N273" s="254" t="n"/>
      <c r="O273" s="1183" t="inlineStr">
        <is>
          <t>31/08/2027</t>
        </is>
      </c>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73" t="n"/>
      <c r="E274" s="994" t="n"/>
      <c r="F274" s="994" t="n"/>
      <c r="G274" s="973" t="n"/>
      <c r="H274" s="994" t="n"/>
      <c r="I274" s="994" t="n"/>
      <c r="J274" s="973" t="n"/>
      <c r="K274" s="973" t="n"/>
      <c r="L274" s="253" t="n"/>
      <c r="M274" s="254" t="n"/>
      <c r="N274" s="254" t="n"/>
      <c r="O274" s="1183" t="n"/>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73"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73"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75" t="n"/>
      <c r="E277" s="998" t="n"/>
      <c r="F277" s="998" t="n"/>
      <c r="G277" s="975" t="n"/>
      <c r="H277" s="998" t="n"/>
      <c r="I277" s="998" t="n"/>
      <c r="J277" s="975" t="n"/>
      <c r="K277" s="1189">
        <f>K272=L277</f>
        <v/>
      </c>
      <c r="L277" s="491">
        <f>SUM(L272:L276)</f>
        <v/>
      </c>
      <c r="M277" s="1190" t="inlineStr">
        <is>
          <t xml:space="preserve">“Verdadero” indica que la cantidad por lote, coincide con el saldo que inicia al mes siguiente. "Falso" no coinicide. </t>
        </is>
      </c>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496">
        <f>ENERO!K278</f>
        <v/>
      </c>
      <c r="E278" s="731" t="n"/>
      <c r="F278" s="731" t="n"/>
      <c r="G278" s="730">
        <f>E278+F278</f>
        <v/>
      </c>
      <c r="H278" s="731" t="n">
        <v>510</v>
      </c>
      <c r="I278" s="731" t="n"/>
      <c r="J278" s="732">
        <f>AM278</f>
        <v/>
      </c>
      <c r="K278" s="738">
        <f>+(D278+G278)-(H278+I278+J278)</f>
        <v/>
      </c>
      <c r="L278" s="253">
        <f>3695-510</f>
        <v/>
      </c>
      <c r="M278" s="254" t="inlineStr">
        <is>
          <t>90250603-1</t>
        </is>
      </c>
      <c r="N278" s="254" t="n"/>
      <c r="O278" s="1183" t="inlineStr">
        <is>
          <t>05/06/2029</t>
        </is>
      </c>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73" t="n"/>
      <c r="E279" s="994" t="n"/>
      <c r="F279" s="994" t="n"/>
      <c r="G279" s="973" t="n"/>
      <c r="H279" s="994" t="n"/>
      <c r="I279" s="994" t="n"/>
      <c r="J279" s="973" t="n"/>
      <c r="K279" s="973" t="n"/>
      <c r="L279" s="253" t="n"/>
      <c r="M279" s="254" t="n"/>
      <c r="N279" s="254" t="n"/>
      <c r="O279" s="1183" t="n"/>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73"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73"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73"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75" t="n"/>
      <c r="E283" s="998" t="n"/>
      <c r="F283" s="998" t="n"/>
      <c r="G283" s="975" t="n"/>
      <c r="H283" s="998" t="n"/>
      <c r="I283" s="998" t="n"/>
      <c r="J283" s="975" t="n"/>
      <c r="K283" s="1189">
        <f>K278=L283</f>
        <v/>
      </c>
      <c r="L283" s="491">
        <f>SUM(L278:L282)</f>
        <v/>
      </c>
      <c r="M283" s="1190" t="inlineStr">
        <is>
          <t xml:space="preserve">“Verdadero” indica que la cantidad por lote, coincide con el saldo que inicia al mes siguiente. "Falso" no coinicide. </t>
        </is>
      </c>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496">
        <f>ENERO!K284</f>
        <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73"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73"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73"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73"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75" t="n"/>
      <c r="E289" s="998" t="n"/>
      <c r="F289" s="998" t="n"/>
      <c r="G289" s="975" t="n"/>
      <c r="H289" s="998" t="n"/>
      <c r="I289" s="998" t="n"/>
      <c r="J289" s="975" t="n"/>
      <c r="K289" s="1189">
        <f>K284=L289</f>
        <v/>
      </c>
      <c r="L289" s="491">
        <f>SUM(L284:L288)</f>
        <v/>
      </c>
      <c r="M289" s="1190" t="inlineStr">
        <is>
          <t xml:space="preserve">“Verdadero” indica que la cantidad por lote, coincide con el saldo que inicia al mes siguiente. "Falso" no coinicide. </t>
        </is>
      </c>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496">
        <f>ENERO!K290</f>
        <v/>
      </c>
      <c r="E290" s="731" t="n"/>
      <c r="F290" s="731" t="n"/>
      <c r="G290" s="730">
        <f>E290+F290</f>
        <v/>
      </c>
      <c r="H290" s="731" t="n">
        <v>60</v>
      </c>
      <c r="I290" s="731" t="n"/>
      <c r="J290" s="732">
        <f>AM290</f>
        <v/>
      </c>
      <c r="K290" s="738">
        <f>+(D290+G290)-(H290+I290+J290)</f>
        <v/>
      </c>
      <c r="L290" s="253" t="n">
        <v>10</v>
      </c>
      <c r="M290" s="254" t="inlineStr">
        <is>
          <t>0654S4015</t>
        </is>
      </c>
      <c r="N290" s="254" t="n"/>
      <c r="O290" s="1183" t="inlineStr">
        <is>
          <t>31/07/2029</t>
        </is>
      </c>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73" t="n"/>
      <c r="E291" s="994" t="n"/>
      <c r="F291" s="994" t="n"/>
      <c r="G291" s="973" t="n"/>
      <c r="H291" s="994" t="n"/>
      <c r="I291" s="994" t="n"/>
      <c r="J291" s="973" t="n"/>
      <c r="K291" s="973" t="n"/>
      <c r="L291" s="253" t="n"/>
      <c r="M291" s="254" t="n"/>
      <c r="N291" s="254" t="n"/>
      <c r="O291" s="1183" t="n"/>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73"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73"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73"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75" t="n"/>
      <c r="E295" s="998" t="n"/>
      <c r="F295" s="998" t="n"/>
      <c r="G295" s="975" t="n"/>
      <c r="H295" s="998" t="n"/>
      <c r="I295" s="998" t="n"/>
      <c r="J295" s="975" t="n"/>
      <c r="K295" s="1189">
        <f>K290=L295</f>
        <v/>
      </c>
      <c r="L295" s="491">
        <f>SUM(L290:L294)</f>
        <v/>
      </c>
      <c r="M295" s="1190" t="inlineStr">
        <is>
          <t xml:space="preserve">“Verdadero” indica que la cantidad por lote, coincide con el saldo que inicia al mes siguiente. "Falso" no coinicide. </t>
        </is>
      </c>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496">
        <f>ENERO!K296</f>
        <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73"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73"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73"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73"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75" t="n"/>
      <c r="E301" s="998" t="n"/>
      <c r="F301" s="998" t="n"/>
      <c r="G301" s="975" t="n"/>
      <c r="H301" s="998" t="n"/>
      <c r="I301" s="998" t="n"/>
      <c r="J301" s="975" t="n"/>
      <c r="K301" s="1189">
        <f>K296=L301</f>
        <v/>
      </c>
      <c r="L301" s="491">
        <f>SUM(L296:L300)</f>
        <v/>
      </c>
      <c r="M301" s="1190" t="inlineStr">
        <is>
          <t xml:space="preserve">“Verdadero” indica que la cantidad por lote, coincide con el saldo que inicia al mes siguiente. "Falso" no coinicide. </t>
        </is>
      </c>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647" t="inlineStr">
        <is>
          <t>JERINGAS</t>
        </is>
      </c>
      <c r="C302" s="967" t="n"/>
      <c r="D302" s="1257"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496">
        <f>ENERO!K303</f>
        <v/>
      </c>
      <c r="E303" s="731" t="n"/>
      <c r="F303" s="731" t="n"/>
      <c r="G303" s="730">
        <f>E303+F303</f>
        <v/>
      </c>
      <c r="H303" s="731" t="n">
        <v>560</v>
      </c>
      <c r="I303" s="731" t="n"/>
      <c r="J303" s="732">
        <f>+AM303</f>
        <v/>
      </c>
      <c r="K303" s="706">
        <f>+(D303+G303)-(H303+I303+J303)</f>
        <v/>
      </c>
      <c r="L303" s="253" t="n"/>
      <c r="M303" s="254" t="n"/>
      <c r="N303" s="254" t="n"/>
      <c r="O303" s="1183" t="n"/>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73"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73" t="n"/>
      <c r="E305" s="994" t="n"/>
      <c r="F305" s="994" t="n"/>
      <c r="G305" s="973" t="n"/>
      <c r="H305" s="994" t="n"/>
      <c r="I305" s="994" t="n"/>
      <c r="J305" s="973" t="n"/>
      <c r="K305" s="973" t="n"/>
      <c r="L305" s="253">
        <f>14900-500</f>
        <v/>
      </c>
      <c r="M305" s="254" t="inlineStr">
        <is>
          <t>252216</t>
        </is>
      </c>
      <c r="N305" s="254" t="n"/>
      <c r="O305" s="1183" t="inlineStr">
        <is>
          <t>30/08/2027</t>
        </is>
      </c>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73"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73"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73"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75" t="n"/>
      <c r="E309" s="998" t="n"/>
      <c r="F309" s="998" t="n"/>
      <c r="G309" s="975" t="n"/>
      <c r="H309" s="998" t="n"/>
      <c r="I309" s="998" t="n"/>
      <c r="J309" s="975" t="n"/>
      <c r="K309" s="1189">
        <f>K303=L309</f>
        <v/>
      </c>
      <c r="L309" s="491">
        <f>SUM(L303:L308)</f>
        <v/>
      </c>
      <c r="M309" s="1190" t="inlineStr">
        <is>
          <t xml:space="preserve">“Verdadero” indica que la cantidad por lote, coincide con el saldo que inicia al mes siguiente. "Falso" no coinicide. </t>
        </is>
      </c>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496">
        <f>ENERO!K310</f>
        <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73"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73"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73"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73"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73"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75" t="n"/>
      <c r="E316" s="998" t="n"/>
      <c r="F316" s="998" t="n"/>
      <c r="G316" s="975" t="n"/>
      <c r="H316" s="998" t="n"/>
      <c r="I316" s="998" t="n"/>
      <c r="J316" s="975" t="n"/>
      <c r="K316" s="1189">
        <f>K310=L316</f>
        <v/>
      </c>
      <c r="L316" s="491">
        <f>SUM(L310:L315)</f>
        <v/>
      </c>
      <c r="M316" s="1190" t="inlineStr">
        <is>
          <t xml:space="preserve">“Verdadero” indica que la cantidad por lote, coincide con el saldo que inicia al mes siguiente. "Falso" no coinicide. </t>
        </is>
      </c>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496">
        <f>ENERO!K317</f>
        <v/>
      </c>
      <c r="E317" s="731" t="n"/>
      <c r="F317" s="731" t="n"/>
      <c r="G317" s="730">
        <f>E317+F317</f>
        <v/>
      </c>
      <c r="H317" s="731" t="n">
        <v>5500</v>
      </c>
      <c r="I317" s="731" t="n"/>
      <c r="J317" s="732">
        <f>+AM317</f>
        <v/>
      </c>
      <c r="K317" s="706">
        <f>+(D317+G317)-(H317+I317+J317)</f>
        <v/>
      </c>
      <c r="L317" s="253">
        <f>9000-2500</f>
        <v/>
      </c>
      <c r="M317" s="254" t="inlineStr">
        <is>
          <t>AR13095</t>
        </is>
      </c>
      <c r="N317" s="254" t="n"/>
      <c r="O317" s="1183" t="inlineStr">
        <is>
          <t>30/09/2026</t>
        </is>
      </c>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73" t="n"/>
      <c r="E318" s="994" t="n"/>
      <c r="F318" s="994" t="n"/>
      <c r="G318" s="973" t="n"/>
      <c r="H318" s="994" t="n"/>
      <c r="I318" s="994" t="n"/>
      <c r="J318" s="973" t="n"/>
      <c r="K318" s="973" t="n"/>
      <c r="L318" s="253" t="n">
        <v>20</v>
      </c>
      <c r="M318" s="254" t="inlineStr">
        <is>
          <t>AR13158</t>
        </is>
      </c>
      <c r="N318" s="254" t="n"/>
      <c r="O318" s="1183" t="inlineStr">
        <is>
          <t>31/03/2027</t>
        </is>
      </c>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73" t="n"/>
      <c r="E319" s="994" t="n"/>
      <c r="F319" s="994" t="n"/>
      <c r="G319" s="973" t="n"/>
      <c r="H319" s="994" t="n"/>
      <c r="I319" s="994" t="n"/>
      <c r="J319" s="973" t="n"/>
      <c r="K319" s="973" t="n"/>
      <c r="L319" s="253" t="n"/>
      <c r="M319" s="254" t="n"/>
      <c r="N319" s="254" t="n"/>
      <c r="O319" s="1183" t="n"/>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73"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73"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73"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75" t="n"/>
      <c r="E323" s="998" t="n"/>
      <c r="F323" s="998" t="n"/>
      <c r="G323" s="975" t="n"/>
      <c r="H323" s="998" t="n"/>
      <c r="I323" s="998" t="n"/>
      <c r="J323" s="975" t="n"/>
      <c r="K323" s="1189">
        <f>K317=L323</f>
        <v/>
      </c>
      <c r="L323" s="491">
        <f>SUM(L317:L322)</f>
        <v/>
      </c>
      <c r="M323" s="1190" t="inlineStr">
        <is>
          <t xml:space="preserve">“Verdadero” indica que la cantidad por lote, coincide con el saldo que inicia al mes siguiente. "Falso" no coinicide. </t>
        </is>
      </c>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496">
        <f>ENERO!K324</f>
        <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73"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73"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73"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73"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73"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75"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496">
        <f>ENERO!K331</f>
        <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73"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73"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73"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73"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73"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75" t="n"/>
      <c r="E337" s="998" t="n"/>
      <c r="F337" s="998" t="n"/>
      <c r="G337" s="975" t="n"/>
      <c r="H337" s="998" t="n"/>
      <c r="I337" s="998" t="n"/>
      <c r="J337" s="975" t="n"/>
      <c r="K337" s="1189">
        <f>K331=L337</f>
        <v/>
      </c>
      <c r="L337" s="491">
        <f>SUM(L331:L336)</f>
        <v/>
      </c>
      <c r="M337" s="1190" t="inlineStr">
        <is>
          <t xml:space="preserve">“Verdadero” indica que la cantidad por lote, coincide con el saldo que inicia al mes siguiente. "Falso" no coinicide. </t>
        </is>
      </c>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496">
        <f>ENERO!K338</f>
        <v/>
      </c>
      <c r="E338" s="731" t="n"/>
      <c r="F338" s="731" t="n">
        <v>9000</v>
      </c>
      <c r="G338" s="730">
        <f>E338+F338</f>
        <v/>
      </c>
      <c r="H338" s="731" t="n">
        <v>16800</v>
      </c>
      <c r="I338" s="731" t="n"/>
      <c r="J338" s="732">
        <f>+AM338</f>
        <v/>
      </c>
      <c r="K338" s="706">
        <f>+(D338+G338)-(H338+I338+J338)</f>
        <v/>
      </c>
      <c r="L338" s="253">
        <f>2820+6000-7800</f>
        <v/>
      </c>
      <c r="M338" s="254" t="inlineStr">
        <is>
          <t>CW13132-4</t>
        </is>
      </c>
      <c r="N338" s="254" t="n"/>
      <c r="O338" s="1183" t="inlineStr">
        <is>
          <t>31/01/2027</t>
        </is>
      </c>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73" t="n"/>
      <c r="E339" s="994" t="n"/>
      <c r="F339" s="994" t="n"/>
      <c r="G339" s="973" t="n"/>
      <c r="H339" s="994" t="n"/>
      <c r="I339" s="994" t="n"/>
      <c r="J339" s="973" t="n"/>
      <c r="K339" s="973" t="n"/>
      <c r="L339" s="253" t="n"/>
      <c r="M339" s="254" t="n"/>
      <c r="N339" s="254" t="n"/>
      <c r="O339" s="1183" t="n"/>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73" t="n"/>
      <c r="E340" s="994" t="n"/>
      <c r="F340" s="994" t="n"/>
      <c r="G340" s="973" t="n"/>
      <c r="H340" s="994" t="n"/>
      <c r="I340" s="994" t="n"/>
      <c r="J340" s="973" t="n"/>
      <c r="K340" s="973" t="n"/>
      <c r="L340" s="253" t="n">
        <v>3000</v>
      </c>
      <c r="M340" s="254" t="inlineStr">
        <is>
          <t>AR13133-7</t>
        </is>
      </c>
      <c r="N340" s="254" t="n"/>
      <c r="O340" s="1183" t="n"/>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73"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73"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73"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75" t="n"/>
      <c r="E344" s="998" t="n"/>
      <c r="F344" s="998" t="n"/>
      <c r="G344" s="975" t="n"/>
      <c r="H344" s="998" t="n"/>
      <c r="I344" s="998" t="n"/>
      <c r="J344" s="975" t="n"/>
      <c r="K344" s="1189">
        <f>K338=L344</f>
        <v/>
      </c>
      <c r="L344" s="491">
        <f>SUM(L338:L343)</f>
        <v/>
      </c>
      <c r="M344" s="1190" t="inlineStr">
        <is>
          <t xml:space="preserve">“Verdadero” indica que la cantidad por lote, coincide con el saldo que inicia al mes siguiente. "Falso" no coinicide. </t>
        </is>
      </c>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496">
        <f>ENERO!K345</f>
        <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73"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73"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73"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73"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73"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75" t="n"/>
      <c r="E351" s="998" t="n"/>
      <c r="F351" s="998" t="n"/>
      <c r="G351" s="975" t="n"/>
      <c r="H351" s="998" t="n"/>
      <c r="I351" s="998" t="n"/>
      <c r="J351" s="975" t="n"/>
      <c r="K351" s="1189">
        <f>K345=L351</f>
        <v/>
      </c>
      <c r="L351" s="491">
        <f>SUM(L345:L350)</f>
        <v/>
      </c>
      <c r="M351" s="1190" t="inlineStr">
        <is>
          <t xml:space="preserve">“Verdadero” indica que la cantidad por lote, coincide con el saldo que inicia al mes siguiente. "Falso" no coinicide. </t>
        </is>
      </c>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496">
        <f>ENERO!K352</f>
        <v/>
      </c>
      <c r="E352" s="731" t="n"/>
      <c r="F352" s="731" t="n"/>
      <c r="G352" s="730">
        <f>E352+F352</f>
        <v/>
      </c>
      <c r="H352" s="731" t="n">
        <v>7400</v>
      </c>
      <c r="I352" s="731" t="n"/>
      <c r="J352" s="732">
        <f>AM352</f>
        <v/>
      </c>
      <c r="K352" s="706">
        <f>+(D352+G352)-(H352+I352+J352)</f>
        <v/>
      </c>
      <c r="L352" s="253">
        <f>32800-7400</f>
        <v/>
      </c>
      <c r="M352" s="254" t="inlineStr">
        <is>
          <t>20250903</t>
        </is>
      </c>
      <c r="N352" s="254" t="n"/>
      <c r="O352" s="1183" t="inlineStr">
        <is>
          <t>02/09/2030</t>
        </is>
      </c>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73" t="n"/>
      <c r="E353" s="994" t="n"/>
      <c r="F353" s="994" t="n"/>
      <c r="G353" s="973" t="n"/>
      <c r="H353" s="994" t="n"/>
      <c r="I353" s="994" t="n"/>
      <c r="J353" s="973" t="n"/>
      <c r="K353" s="973" t="n"/>
      <c r="L353" s="253" t="n">
        <v>48</v>
      </c>
      <c r="M353" s="254" t="inlineStr">
        <is>
          <t>23FA1</t>
        </is>
      </c>
      <c r="N353" s="254" t="n"/>
      <c r="O353" s="1183" t="inlineStr">
        <is>
          <t>31/05/2028</t>
        </is>
      </c>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73" t="n"/>
      <c r="E354" s="994" t="n"/>
      <c r="F354" s="994" t="n"/>
      <c r="G354" s="973" t="n"/>
      <c r="H354" s="994" t="n"/>
      <c r="I354" s="994" t="n"/>
      <c r="J354" s="973" t="n"/>
      <c r="K354" s="973" t="n"/>
      <c r="L354" s="253" t="n"/>
      <c r="M354" s="254" t="n"/>
      <c r="N354" s="254" t="n"/>
      <c r="O354" s="1183" t="n"/>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73"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73"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73"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75" t="n"/>
      <c r="E358" s="998" t="n"/>
      <c r="F358" s="998" t="n"/>
      <c r="G358" s="975" t="n"/>
      <c r="H358" s="998" t="n"/>
      <c r="I358" s="998" t="n"/>
      <c r="J358" s="975" t="n"/>
      <c r="K358" s="1189">
        <f>K352=L358</f>
        <v/>
      </c>
      <c r="L358" s="491">
        <f>SUM(L352:L357)</f>
        <v/>
      </c>
      <c r="M358" s="1190" t="inlineStr">
        <is>
          <t xml:space="preserve">“Verdadero” indica que la cantidad por lote, coincide con el saldo que inicia al mes siguiente. "Falso" no coinicide. </t>
        </is>
      </c>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496">
        <f>ENERO!K359</f>
        <v/>
      </c>
      <c r="E359" s="731" t="n"/>
      <c r="F359" s="731" t="n"/>
      <c r="G359" s="730">
        <f>E359+F359</f>
        <v/>
      </c>
      <c r="H359" s="731" t="n">
        <v>610</v>
      </c>
      <c r="I359" s="731" t="n"/>
      <c r="J359" s="732">
        <f>AM359</f>
        <v/>
      </c>
      <c r="K359" s="706">
        <f>+(D359+G359)-(H359+I359+J359)</f>
        <v/>
      </c>
      <c r="L359" s="253">
        <f>5100-610</f>
        <v/>
      </c>
      <c r="M359" s="254" t="inlineStr">
        <is>
          <t>622204</t>
        </is>
      </c>
      <c r="N359" s="254" t="n"/>
      <c r="O359" s="1183" t="inlineStr">
        <is>
          <t>28/02/2027</t>
        </is>
      </c>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73" t="n"/>
      <c r="E360" s="994" t="n"/>
      <c r="F360" s="994" t="n"/>
      <c r="G360" s="973" t="n"/>
      <c r="H360" s="994" t="n"/>
      <c r="I360" s="994" t="n"/>
      <c r="J360" s="973" t="n"/>
      <c r="K360" s="973" t="n"/>
      <c r="L360" s="253" t="n">
        <v>5500</v>
      </c>
      <c r="M360" s="254" t="inlineStr">
        <is>
          <t>662202</t>
        </is>
      </c>
      <c r="N360" s="254" t="n"/>
      <c r="O360" s="1183" t="inlineStr">
        <is>
          <t>30/09/2027</t>
        </is>
      </c>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73" t="n"/>
      <c r="E361" s="994" t="n"/>
      <c r="F361" s="994" t="n"/>
      <c r="G361" s="973" t="n"/>
      <c r="H361" s="994" t="n"/>
      <c r="I361" s="994" t="n"/>
      <c r="J361" s="973" t="n"/>
      <c r="K361" s="973" t="n"/>
      <c r="L361" s="253" t="n">
        <v>3000</v>
      </c>
      <c r="M361" s="254" t="inlineStr">
        <is>
          <t>662203</t>
        </is>
      </c>
      <c r="N361" s="254" t="n"/>
      <c r="O361" s="1183" t="inlineStr">
        <is>
          <t>30/09/2027</t>
        </is>
      </c>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73" t="n"/>
      <c r="E362" s="994" t="n"/>
      <c r="F362" s="994" t="n"/>
      <c r="G362" s="973" t="n"/>
      <c r="H362" s="994" t="n"/>
      <c r="I362" s="994" t="n"/>
      <c r="J362" s="973" t="n"/>
      <c r="K362" s="973" t="n"/>
      <c r="L362" s="253" t="n">
        <v>3000</v>
      </c>
      <c r="M362" s="254" t="inlineStr">
        <is>
          <t>712401</t>
        </is>
      </c>
      <c r="N362" s="254" t="n"/>
      <c r="O362" s="1183" t="inlineStr">
        <is>
          <t>30/03/2029</t>
        </is>
      </c>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73"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73"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75" t="n"/>
      <c r="E365" s="998" t="n"/>
      <c r="F365" s="998" t="n"/>
      <c r="G365" s="975" t="n"/>
      <c r="H365" s="998" t="n"/>
      <c r="I365" s="998" t="n"/>
      <c r="J365" s="975" t="n"/>
      <c r="K365" s="1189">
        <f>K359=L365</f>
        <v/>
      </c>
      <c r="L365" s="491">
        <f>SUM(L359:L364)</f>
        <v/>
      </c>
      <c r="M365" s="1190" t="inlineStr">
        <is>
          <t xml:space="preserve">“Verdadero” indica que la cantidad por lote, coincide con el saldo que inicia al mes siguiente. "Falso" no coinicide. </t>
        </is>
      </c>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496">
        <f>ENERO!K366</f>
        <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73"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73"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73"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73"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73"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75"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496">
        <f>ENERO!K373</f>
        <v/>
      </c>
      <c r="E373" s="731" t="n">
        <v>6000</v>
      </c>
      <c r="F373" s="731" t="n"/>
      <c r="G373" s="730">
        <f>E373+F373</f>
        <v/>
      </c>
      <c r="H373" s="731" t="n">
        <v>1670</v>
      </c>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496">
        <f>ENERO!K374</f>
        <v/>
      </c>
      <c r="E374" s="731" t="n">
        <v>6000</v>
      </c>
      <c r="F374" s="731" t="n"/>
      <c r="G374" s="730">
        <f>E374+F374</f>
        <v/>
      </c>
      <c r="H374" s="731" t="n">
        <v>5100</v>
      </c>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496">
        <f>ENERO!K375</f>
        <v/>
      </c>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496">
        <f>ENERO!K376</f>
        <v/>
      </c>
      <c r="E376" s="731" t="n">
        <v>4500</v>
      </c>
      <c r="F376" s="731" t="n"/>
      <c r="G376" s="730">
        <f>E376+F376</f>
        <v/>
      </c>
      <c r="H376" s="731" t="n">
        <v>875</v>
      </c>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496">
        <f>ENERO!K377</f>
        <v/>
      </c>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496">
        <f>ENERO!K378</f>
        <v/>
      </c>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496">
        <f>ENERO!K379</f>
        <v/>
      </c>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748" t="inlineStr">
        <is>
          <t>ÍTEM</t>
        </is>
      </c>
      <c r="B381" s="748" t="inlineStr">
        <is>
          <t>VACUNA COVID-19</t>
        </is>
      </c>
      <c r="C381" s="965" t="n"/>
      <c r="D381" s="716" t="inlineStr">
        <is>
          <t>SALDO MES ANTERIOR</t>
        </is>
      </c>
      <c r="E381" s="1179" t="inlineStr">
        <is>
          <t>ENTRADA</t>
        </is>
      </c>
      <c r="F381" s="1180" t="n"/>
      <c r="G381" s="965" t="n"/>
      <c r="H381" s="715" t="inlineStr">
        <is>
          <t>SALIDAS</t>
        </is>
      </c>
      <c r="I381" s="968" t="n"/>
      <c r="J381" s="967" t="n"/>
      <c r="K381" s="623" t="inlineStr">
        <is>
          <t>SALDO QUE INICIA EL MES SIGUIENTE</t>
        </is>
      </c>
      <c r="L381" s="623" t="inlineStr">
        <is>
          <t>DOSIS POR LOTES</t>
        </is>
      </c>
      <c r="M381" s="623" t="inlineStr">
        <is>
          <t xml:space="preserve">No. LOTE </t>
        </is>
      </c>
      <c r="N381" s="623" t="inlineStr">
        <is>
          <t>LABORATORIO</t>
        </is>
      </c>
      <c r="O381" s="623" t="inlineStr">
        <is>
          <t>FECHA DE VENCIMIENTO</t>
        </is>
      </c>
      <c r="P381" s="623" t="inlineStr">
        <is>
          <t>SEMAFORIZACION VIDA  ÚTIL DEL BIOLÓGICO</t>
        </is>
      </c>
      <c r="Q381" s="623" t="inlineStr">
        <is>
          <t>CONDICIÓN FINAL DEL BIOLÓGICO, DILUYENTE Y CARNET</t>
        </is>
      </c>
      <c r="R381" s="613" t="inlineStr">
        <is>
          <t>DOSIS EN CUARENTENA</t>
        </is>
      </c>
      <c r="S381" s="613" t="inlineStr">
        <is>
          <t>LABORATORIO</t>
        </is>
      </c>
      <c r="T381" s="613" t="inlineStr">
        <is>
          <t>No. LOTE</t>
        </is>
      </c>
      <c r="U381" s="613" t="inlineStr">
        <is>
          <t>FECHA DE VENCIMEINTO</t>
        </is>
      </c>
      <c r="V381" s="613" t="inlineStr">
        <is>
          <t>FECHA DE INICIO CUARENTENA</t>
        </is>
      </c>
      <c r="W381" s="613" t="inlineStr">
        <is>
          <t>OBSERVACIONES</t>
        </is>
      </c>
      <c r="X381" s="250" t="n"/>
      <c r="Z381" s="1221" t="inlineStr">
        <is>
          <t>MOTIVOS DE NO USO DE VACUNAS CONTRA LA COVID-19
RESOLUCIÓN 0118 DEL 27 DE ENERO DE 2026
DISPONIBLE EN EL SIGUIENTE LINK: https://www.minsalud.gov.co/Normatividad_Nuevo/Resolucion%20No%20118%20de%202026.pdf</t>
        </is>
      </c>
      <c r="AA381" s="968" t="n"/>
      <c r="AB381" s="968" t="n"/>
      <c r="AC381" s="968" t="n"/>
      <c r="AD381" s="968" t="n"/>
      <c r="AE381" s="968" t="n"/>
      <c r="AF381" s="968" t="n"/>
      <c r="AG381" s="968" t="n"/>
      <c r="AH381" s="968" t="n"/>
      <c r="AI381" s="968" t="n"/>
      <c r="AJ381" s="968" t="n"/>
      <c r="AK381" s="968" t="n"/>
      <c r="AL381" s="967" t="n"/>
      <c r="AM381" s="532" t="inlineStr">
        <is>
          <t xml:space="preserve">TOTAL DOSIS PERDIDAS        </t>
        </is>
      </c>
      <c r="AN381" s="478" t="n"/>
      <c r="AO381" s="368" t="n"/>
      <c r="AU381" s="251" t="n"/>
      <c r="AV381" s="251" t="n"/>
    </row>
    <row r="382" ht="28.5" customHeight="1">
      <c r="A382" s="973" t="n"/>
      <c r="B382" s="971" t="n"/>
      <c r="C382" s="972" t="n"/>
      <c r="D382" s="973" t="n"/>
      <c r="E382" s="623" t="inlineStr">
        <is>
          <t>DOSIS RECIBIDAS DEL ALMACÉN CENTRAL DEL MSPS</t>
        </is>
      </c>
      <c r="F382" s="623" t="inlineStr">
        <is>
          <t>DOSIS RECIBIDAS X TRASLADO DEL CA DEPARTAMENTAL O DISTRITAL</t>
        </is>
      </c>
      <c r="G382" s="623" t="inlineStr">
        <is>
          <t>TOTAL ENTRADAS</t>
        </is>
      </c>
      <c r="H382" s="711" t="inlineStr">
        <is>
          <t>DOSIS DESPACHADAS A LOS MUNICIPIOS / DISTRITOS A IPS</t>
        </is>
      </c>
      <c r="I382" s="711" t="inlineStr">
        <is>
          <t>DOSIS TRASLADADAS A OTROS DEPARTAMENTOS O DISTRITOS</t>
        </is>
      </c>
      <c r="J382" s="716" t="inlineStr">
        <is>
          <t>DOSIS PERDIDAS</t>
        </is>
      </c>
      <c r="K382" s="973" t="n"/>
      <c r="L382" s="973" t="n"/>
      <c r="M382" s="973" t="n"/>
      <c r="N382" s="973" t="n"/>
      <c r="O382" s="973" t="n"/>
      <c r="P382" s="973" t="n"/>
      <c r="Q382" s="973" t="n"/>
      <c r="R382" s="973" t="n"/>
      <c r="S382" s="973" t="n"/>
      <c r="T382" s="973" t="n"/>
      <c r="U382" s="973" t="n"/>
      <c r="V382" s="973" t="n"/>
      <c r="W382" s="973" t="n"/>
      <c r="X382" s="250" t="n"/>
      <c r="Y382" s="252" t="n"/>
      <c r="Z382" s="533" t="n">
        <v>1</v>
      </c>
      <c r="AA382" s="967" t="n"/>
      <c r="AB382" s="533" t="n">
        <v>2</v>
      </c>
      <c r="AC382" s="533" t="n">
        <v>3</v>
      </c>
      <c r="AD382" s="533" t="n">
        <v>4</v>
      </c>
      <c r="AE382" s="533" t="n">
        <v>5</v>
      </c>
      <c r="AF382" s="533" t="n">
        <v>6</v>
      </c>
      <c r="AG382" s="533" t="n">
        <v>7</v>
      </c>
      <c r="AH382" s="533" t="n">
        <v>8</v>
      </c>
      <c r="AI382" s="533" t="n">
        <v>9</v>
      </c>
      <c r="AJ382" s="533" t="n">
        <v>10</v>
      </c>
      <c r="AK382" s="533" t="n">
        <v>11</v>
      </c>
      <c r="AL382" s="533" t="n">
        <v>12</v>
      </c>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inlineStr">
        <is>
          <t>POLÍTICA DE FRASCOS ABIERTO</t>
        </is>
      </c>
      <c r="AA383" s="967" t="n"/>
      <c r="AB383" s="1222" t="inlineStr">
        <is>
          <t>INTERRUPCIÓN DE LA CADENA DE FRÍO</t>
        </is>
      </c>
      <c r="AC383" s="537" t="inlineStr">
        <is>
          <t>CONTAMINACIÓN DEL BIOLÓGICO</t>
        </is>
      </c>
      <c r="AD383" s="1222" t="inlineStr">
        <is>
          <t>ERROR EN LA MANIPULACIÓN</t>
        </is>
      </c>
      <c r="AE383" s="537" t="inlineStr">
        <is>
          <t>ERROR EN LA RECONSTITUCIÓN/DILUCIÓN</t>
        </is>
      </c>
      <c r="AF383" s="1222" t="inlineStr">
        <is>
          <t>ERROR EN LA DOSIFICACIÓN</t>
        </is>
      </c>
      <c r="AG383" s="537" t="inlineStr">
        <is>
          <t>VACUNA QUE EXCEDE EL TIEMPO DE ALMACENAMIENTO EN REFRIGERACIÓN</t>
        </is>
      </c>
      <c r="AH383" s="1222" t="inlineStr">
        <is>
          <t>VENCIMIENTO DEL BIOLÓGICO</t>
        </is>
      </c>
      <c r="AI383" s="537" t="inlineStr">
        <is>
          <t>FRASCO VIAL ROTO</t>
        </is>
      </c>
      <c r="AJ383" s="1222" t="inlineStr">
        <is>
          <t>FALLAS DE FABRICACIÓN/CALIDAD</t>
        </is>
      </c>
      <c r="AK383" s="537" t="inlineStr">
        <is>
          <t>SINIESTRO / ACCIDENTE</t>
        </is>
      </c>
      <c r="AL383" s="1222" t="inlineStr">
        <is>
          <t>ROBO/HURTO BIOLÓGICO</t>
        </is>
      </c>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496">
        <f>ENERO!K385</f>
        <v/>
      </c>
      <c r="E385" s="731" t="n"/>
      <c r="F385" s="731" t="n"/>
      <c r="G385" s="730">
        <f>E385+F385</f>
        <v/>
      </c>
      <c r="H385" s="731" t="n"/>
      <c r="I385" s="731" t="n"/>
      <c r="J385" s="732">
        <f>AM385</f>
        <v/>
      </c>
      <c r="K385" s="706">
        <f>+(D385+G385)-(H385+I385+J385)</f>
        <v/>
      </c>
      <c r="L385" s="486" t="n"/>
      <c r="M385" s="487" t="n"/>
      <c r="N385" s="487" t="n"/>
      <c r="O385" s="1223" t="n"/>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73"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73"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73"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75" t="n"/>
      <c r="E389" s="998" t="n"/>
      <c r="F389" s="998" t="n"/>
      <c r="G389" s="975" t="n"/>
      <c r="H389" s="998" t="n"/>
      <c r="I389" s="998" t="n"/>
      <c r="J389" s="975" t="n"/>
      <c r="K389" s="1189">
        <f>K385=L389</f>
        <v/>
      </c>
      <c r="L389" s="491">
        <f>SUM(L385:L388)</f>
        <v/>
      </c>
      <c r="M389" s="1190" t="inlineStr">
        <is>
          <t xml:space="preserve">“Verdadero” indica que la cantidad por lote, coincide con el saldo que inicia al mes siguiente. "Falso" no coinicide. </t>
        </is>
      </c>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496">
        <f>ENERO!K390</f>
        <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73"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73"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73"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75" t="n"/>
      <c r="E394" s="998" t="n"/>
      <c r="F394" s="998" t="n"/>
      <c r="G394" s="975" t="n"/>
      <c r="H394" s="998" t="n"/>
      <c r="I394" s="998" t="n"/>
      <c r="J394" s="975" t="n"/>
      <c r="K394" s="1189">
        <f>K390=L394</f>
        <v/>
      </c>
      <c r="L394" s="491">
        <f>SUM(L390:L393)</f>
        <v/>
      </c>
      <c r="M394" s="1190" t="inlineStr">
        <is>
          <t xml:space="preserve">“Verdadero” indica que la cantidad por lote, coincide con el saldo que inicia al mes siguiente. "Falso" no coinicide. </t>
        </is>
      </c>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496">
        <f>ENERO!K395</f>
        <v/>
      </c>
      <c r="E395" s="731" t="n">
        <v>900</v>
      </c>
      <c r="F395" s="731" t="n"/>
      <c r="G395" s="730">
        <f>E395+F395</f>
        <v/>
      </c>
      <c r="H395" s="731" t="n">
        <v>900</v>
      </c>
      <c r="I395" s="731" t="n"/>
      <c r="J395" s="732">
        <f>AM395</f>
        <v/>
      </c>
      <c r="K395" s="706">
        <f>+(D395+G395)-(H395+I395+J395)</f>
        <v/>
      </c>
      <c r="L395" s="486" t="n"/>
      <c r="M395" s="487" t="n"/>
      <c r="N395" s="487" t="n"/>
      <c r="O395" s="1223" t="n"/>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73"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73"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73"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75" t="n"/>
      <c r="E399" s="998" t="n"/>
      <c r="F399" s="998" t="n"/>
      <c r="G399" s="975" t="n"/>
      <c r="H399" s="998" t="n"/>
      <c r="I399" s="998" t="n"/>
      <c r="J399" s="975" t="n"/>
      <c r="K399" s="1189">
        <f>K395=L399</f>
        <v/>
      </c>
      <c r="L399" s="491">
        <f>SUM(L395:L398)</f>
        <v/>
      </c>
      <c r="M399" s="1190" t="inlineStr">
        <is>
          <t xml:space="preserve">“Verdadero” indica que la cantidad por lote, coincide con el saldo que inicia al mes siguiente. "Falso" no coinicide. </t>
        </is>
      </c>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496">
        <f>ENERO!K400</f>
        <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73"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73"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73"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75" t="n"/>
      <c r="E404" s="998" t="n"/>
      <c r="F404" s="998" t="n"/>
      <c r="G404" s="975" t="n"/>
      <c r="H404" s="998" t="n"/>
      <c r="I404" s="998" t="n"/>
      <c r="J404" s="975" t="n"/>
      <c r="K404" s="1189">
        <f>K400=L404</f>
        <v/>
      </c>
      <c r="L404" s="491">
        <f>SUM(L400:L403)</f>
        <v/>
      </c>
      <c r="M404" s="1190" t="inlineStr">
        <is>
          <t xml:space="preserve">“Verdadero” indica que la cantidad por lote, coincide con el saldo que inicia al mes siguiente. "Falso" no coinicide. </t>
        </is>
      </c>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496">
        <f>ENERO!K405</f>
        <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73"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73"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73"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75" t="n"/>
      <c r="E409" s="998" t="n"/>
      <c r="F409" s="998" t="n"/>
      <c r="G409" s="975" t="n"/>
      <c r="H409" s="998" t="n"/>
      <c r="I409" s="998" t="n"/>
      <c r="J409" s="975" t="n"/>
      <c r="K409" s="1189">
        <f>K405=L409</f>
        <v/>
      </c>
      <c r="L409" s="491">
        <f>SUM(L405:L408)</f>
        <v/>
      </c>
      <c r="M409" s="1190" t="inlineStr">
        <is>
          <t xml:space="preserve">“Verdadero” indica que la cantidad por lote, coincide con el saldo que inicia al mes siguiente. "Falso" no coinicide. </t>
        </is>
      </c>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569" t="inlineStr">
        <is>
          <t>ÍTEM</t>
        </is>
      </c>
      <c r="B413" s="569" t="inlineStr">
        <is>
          <t>INSUMOS</t>
        </is>
      </c>
      <c r="C413" s="965" t="n"/>
      <c r="D413" s="1231" t="inlineStr">
        <is>
          <t>SALDO MES ANTERIOR</t>
        </is>
      </c>
      <c r="E413" s="961" t="inlineStr">
        <is>
          <t>BIOLÓGICO RECIBIDO DEL CENTRO DE ACOPIO DEPARTAMENTAL / DISTRITAL</t>
        </is>
      </c>
      <c r="F413" s="1231" t="inlineStr">
        <is>
          <t>DOSIS APLICADAS</t>
        </is>
      </c>
      <c r="G413" s="967" t="n"/>
      <c r="H413" s="1232" t="inlineStr">
        <is>
          <t>TOTAL DOSIS APLICADAS</t>
        </is>
      </c>
      <c r="I413" s="961" t="inlineStr">
        <is>
          <t>DOSIS PERDIDAS</t>
        </is>
      </c>
      <c r="J413" s="1231" t="inlineStr">
        <is>
          <t>TOTAL DOSIS ÚTILIZADAS EN EL MES</t>
        </is>
      </c>
      <c r="K413" s="623" t="inlineStr">
        <is>
          <t>SALDO QUE INICIA EL MES SIGUIENTE (SOLO MUNICIPIOS)</t>
        </is>
      </c>
      <c r="L413" s="623" t="inlineStr">
        <is>
          <t>DOSIS POR LOTES</t>
        </is>
      </c>
      <c r="M413" s="623" t="inlineStr">
        <is>
          <t xml:space="preserve">No. LOTE </t>
        </is>
      </c>
      <c r="N413" s="1233" t="inlineStr">
        <is>
          <t>LABORATORIO</t>
        </is>
      </c>
      <c r="O413" s="623" t="inlineStr">
        <is>
          <t>FECHA DE VENCIMIENTO</t>
        </is>
      </c>
      <c r="P413" s="623" t="inlineStr">
        <is>
          <t>SEMAFORIZACION VIDA  ÚTIL DEL BIOLÓGICO</t>
        </is>
      </c>
      <c r="Q413" s="623" t="inlineStr">
        <is>
          <t>CONDICIÓN FINAL DEL BIOLÓGICO, DILUYENTE Y CARNET</t>
        </is>
      </c>
      <c r="R413" s="613" t="inlineStr">
        <is>
          <t>DOSIS EN CUARENTENA</t>
        </is>
      </c>
      <c r="S413" s="613" t="inlineStr">
        <is>
          <t>LABORATORIO</t>
        </is>
      </c>
      <c r="T413" s="613" t="inlineStr">
        <is>
          <t>No. LOTE</t>
        </is>
      </c>
      <c r="U413" s="613" t="inlineStr">
        <is>
          <t>FECHA DE VENCIMEINTO</t>
        </is>
      </c>
      <c r="V413" s="613" t="inlineStr">
        <is>
          <t>FECHA DE INICIO CUARENTENA</t>
        </is>
      </c>
      <c r="W413" s="961" t="inlineStr">
        <is>
          <t>PORCENTAJE DE PERDIDA DEL MES</t>
        </is>
      </c>
      <c r="X413" s="961" t="inlineStr">
        <is>
          <t>OBSERVACIONES</t>
        </is>
      </c>
      <c r="Y413" s="232" t="n"/>
      <c r="Z413" s="400" t="inlineStr">
        <is>
          <t>CAUSAS PERDIDA DE BIOLÓGICOS (Remítase a la primera hoja donde se especifica la clasificación de las perdidas)</t>
        </is>
      </c>
      <c r="AA413" s="400" t="n"/>
      <c r="AB413" s="400" t="n"/>
      <c r="AC413" s="400" t="n"/>
      <c r="AD413" s="400" t="n"/>
      <c r="AE413" s="400" t="n"/>
      <c r="AF413" s="400" t="n"/>
      <c r="AG413" s="400" t="n"/>
      <c r="AH413" s="400" t="n"/>
      <c r="AI413" s="400" t="n"/>
      <c r="AJ413" s="400" t="n"/>
      <c r="AK413" s="400" t="n"/>
      <c r="AL413" s="400" t="n"/>
      <c r="AM413" s="1181" t="inlineStr">
        <is>
          <t xml:space="preserve">TOTAL DOSIS PERDIDAS        </t>
        </is>
      </c>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inlineStr">
        <is>
          <t>POLÍTICA DE FRASCOS ABIERTO</t>
        </is>
      </c>
      <c r="AA415" s="968" t="n"/>
      <c r="AB415" s="967" t="n"/>
      <c r="AC415" s="330" t="inlineStr">
        <is>
          <t>INTERRUPCIÓN DE CADENA DE FRÍO</t>
        </is>
      </c>
      <c r="AD415" s="566" t="inlineStr">
        <is>
          <t>CONTAMINACION DEL BIOLÓGICO/DISPOSITIVO MÉDICO</t>
        </is>
      </c>
      <c r="AE415" s="533" t="inlineStr">
        <is>
          <t>VIAL ROTO</t>
        </is>
      </c>
      <c r="AF415" s="566" t="inlineStr">
        <is>
          <t>ERRORES EN LA MANIPULACIÓN</t>
        </is>
      </c>
      <c r="AG415" s="533" t="inlineStr">
        <is>
          <t>VENCIMIENTO DEL BIOLÓGICO O JERINGA</t>
        </is>
      </c>
      <c r="AH415" s="566" t="inlineStr">
        <is>
          <t>FARMACOVIGILANCIA / TECNOVIGILANCIA</t>
        </is>
      </c>
      <c r="AI415" s="533" t="inlineStr">
        <is>
          <t>VOMITO FRANCO</t>
        </is>
      </c>
      <c r="AJ415" s="533" t="inlineStr">
        <is>
          <t>APLICACIÓN FUERA DE LA EDAD</t>
        </is>
      </c>
      <c r="AK415" s="533" t="inlineStr">
        <is>
          <t>POR DECISIÓN FINAL DEL PACIENTE DE NO VACUNACIÓN</t>
        </is>
      </c>
      <c r="AL415" s="566" t="inlineStr">
        <is>
          <t>SINIESTRO O ROBO</t>
        </is>
      </c>
      <c r="AM415" s="973" t="n"/>
      <c r="AN415" s="333" t="n"/>
      <c r="AQ415" s="332" t="n"/>
      <c r="AR415" s="332" t="n"/>
      <c r="AS415" s="332" t="n"/>
      <c r="AT415" s="332" t="n"/>
      <c r="AU415" s="332" t="n"/>
      <c r="AV415" s="566" t="inlineStr">
        <is>
          <t>Dosis reportadas Plantilla Cero</t>
        </is>
      </c>
      <c r="AW415" s="566" t="inlineStr">
        <is>
          <t>Diferencia dosis aplicadas vs dosis reportadas plantilla cero</t>
        </is>
      </c>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inlineStr">
        <is>
          <t>INSTITUCIONAL</t>
        </is>
      </c>
      <c r="AA416" s="533" t="inlineStr">
        <is>
          <t>EXTRAMURAL</t>
        </is>
      </c>
      <c r="AB416" s="533" t="inlineStr">
        <is>
          <t>TOTAL</t>
        </is>
      </c>
      <c r="AC416" s="975" t="n"/>
      <c r="AD416" s="975" t="n"/>
      <c r="AE416" s="975" t="n"/>
      <c r="AF416" s="975" t="n"/>
      <c r="AG416" s="975" t="n"/>
      <c r="AH416" s="975" t="n"/>
      <c r="AI416" s="975" t="n"/>
      <c r="AJ416" s="975" t="n"/>
      <c r="AK416" s="975" t="n"/>
      <c r="AL416" s="975" t="n"/>
      <c r="AM416" s="975" t="n"/>
      <c r="AN416" s="333" t="n"/>
      <c r="AQ416" s="546" t="inlineStr">
        <is>
          <t>PORCENTAJE DE PERDIDA DEL MES
%</t>
        </is>
      </c>
      <c r="AR416" s="546" t="inlineStr">
        <is>
          <t>FACTOR DE PERDIDA DEL MES</t>
        </is>
      </c>
      <c r="AS416" s="420" t="inlineStr">
        <is>
          <t>% DE PERDIDA DEL MSPS</t>
        </is>
      </c>
      <c r="AT416" s="420" t="inlineStr">
        <is>
          <t>DOSIS POR VIAL</t>
        </is>
      </c>
      <c r="AU416" s="332" t="n"/>
      <c r="AV416" s="975" t="n"/>
      <c r="AW416" s="975" t="n"/>
    </row>
    <row r="417" ht="17.25" customHeight="1">
      <c r="A417" s="585" t="n">
        <v>1</v>
      </c>
      <c r="B417" s="640" t="inlineStr">
        <is>
          <t>Vacuna de BCG (Bacilo de Calmette y Guérin) Liofilizada</t>
        </is>
      </c>
      <c r="C417" s="965" t="n"/>
      <c r="D417" s="413">
        <f>ENERO!K417</f>
        <v/>
      </c>
      <c r="E417" s="339">
        <f>H13</f>
        <v/>
      </c>
      <c r="F417" s="338" t="n">
        <v>617</v>
      </c>
      <c r="G417" s="338" t="n">
        <v>24</v>
      </c>
      <c r="H417" s="1235">
        <f>+F417+G417</f>
        <v/>
      </c>
      <c r="I417" s="340">
        <f>+AM417</f>
        <v/>
      </c>
      <c r="J417" s="341">
        <f>+H417+I417</f>
        <v/>
      </c>
      <c r="K417" s="583">
        <f>+(D417+E417)-(J417)</f>
        <v/>
      </c>
      <c r="L417" s="253">
        <f>159+9</f>
        <v/>
      </c>
      <c r="M417" s="254" t="inlineStr">
        <is>
          <t>0373MA117</t>
        </is>
      </c>
      <c r="N417" s="254" t="inlineStr">
        <is>
          <t>Serum</t>
        </is>
      </c>
      <c r="O417" s="1183" t="inlineStr">
        <is>
          <t>30/06/2026</t>
        </is>
      </c>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v>581</v>
      </c>
      <c r="AA417" s="648" t="n">
        <v>152</v>
      </c>
      <c r="AB417" s="649">
        <f>+Z417+AA417</f>
        <v/>
      </c>
      <c r="AC417" s="648" t="n">
        <v>0</v>
      </c>
      <c r="AD417" s="648" t="n">
        <v>0</v>
      </c>
      <c r="AE417" s="648" t="n">
        <v>0</v>
      </c>
      <c r="AF417" s="648" t="n">
        <v>0</v>
      </c>
      <c r="AG417" s="648" t="n">
        <v>0</v>
      </c>
      <c r="AH417" s="648" t="n">
        <v>0</v>
      </c>
      <c r="AI417" s="648" t="n">
        <v>0</v>
      </c>
      <c r="AJ417" s="648" t="n">
        <v>0</v>
      </c>
      <c r="AK417" s="648" t="n">
        <v>0</v>
      </c>
      <c r="AL417" s="648" t="n">
        <v>0</v>
      </c>
      <c r="AM417" s="421">
        <f>SUM(AB417:AL421)</f>
        <v/>
      </c>
      <c r="AN417" s="726" t="n"/>
      <c r="AQ417" s="1238">
        <f>IFERROR(I417/J417*100,"0")</f>
        <v/>
      </c>
      <c r="AR417" s="343">
        <f>IFERROR(1/(1-(AQ417/100)),"0")</f>
        <v/>
      </c>
      <c r="AS417" s="1239" t="n">
        <v>75</v>
      </c>
      <c r="AT417" s="345" t="n">
        <v>20</v>
      </c>
      <c r="AU417" s="1240" t="n"/>
      <c r="AV417" s="1241" t="n"/>
      <c r="AW417" s="1242">
        <f>+H417-AV417</f>
        <v/>
      </c>
    </row>
    <row r="418" ht="17.25" customHeight="1">
      <c r="A418" s="973" t="n"/>
      <c r="B418" s="971" t="n"/>
      <c r="C418" s="972" t="n"/>
      <c r="D418" s="973" t="n"/>
      <c r="E418" s="973" t="n"/>
      <c r="F418" s="994" t="n"/>
      <c r="G418" s="994" t="n"/>
      <c r="H418" s="973" t="n"/>
      <c r="I418" s="973" t="n"/>
      <c r="J418" s="973" t="n"/>
      <c r="K418" s="973" t="n"/>
      <c r="L418" s="253" t="n">
        <v>1817</v>
      </c>
      <c r="M418" s="254" t="inlineStr">
        <is>
          <t>0374MA071</t>
        </is>
      </c>
      <c r="N418" s="254" t="inlineStr">
        <is>
          <t>Serum</t>
        </is>
      </c>
      <c r="O418" s="1183" t="inlineStr">
        <is>
          <t>31/12/2026</t>
        </is>
      </c>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73" t="n"/>
      <c r="E419" s="973" t="n"/>
      <c r="F419" s="994" t="n"/>
      <c r="G419" s="994" t="n"/>
      <c r="H419" s="973" t="n"/>
      <c r="I419" s="973" t="n"/>
      <c r="J419" s="973" t="n"/>
      <c r="K419" s="973" t="n"/>
      <c r="L419" s="253" t="n">
        <v>560</v>
      </c>
      <c r="M419" s="254" t="inlineStr">
        <is>
          <t>0374MA072</t>
        </is>
      </c>
      <c r="N419" s="254" t="inlineStr">
        <is>
          <t>Serum</t>
        </is>
      </c>
      <c r="O419" s="1183" t="inlineStr">
        <is>
          <t>31/12/2026</t>
        </is>
      </c>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73" t="n"/>
      <c r="E420" s="973" t="n"/>
      <c r="F420" s="994" t="n"/>
      <c r="G420" s="994" t="n"/>
      <c r="H420" s="973" t="n"/>
      <c r="I420" s="973" t="n"/>
      <c r="J420" s="973" t="n"/>
      <c r="K420" s="973" t="n"/>
      <c r="L420" s="253" t="n"/>
      <c r="M420" s="254" t="n"/>
      <c r="N420" s="254" t="n"/>
      <c r="O420" s="1183" t="n"/>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73"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75" t="n"/>
      <c r="E422" s="975" t="n"/>
      <c r="F422" s="998" t="n"/>
      <c r="G422" s="998" t="n"/>
      <c r="H422" s="975" t="n"/>
      <c r="I422" s="975" t="n"/>
      <c r="J422" s="975" t="n"/>
      <c r="K422" s="1189">
        <f>K417=L422</f>
        <v/>
      </c>
      <c r="L422" s="491">
        <f>SUM(L417:L421)</f>
        <v/>
      </c>
      <c r="M422" s="1190" t="inlineStr">
        <is>
          <t xml:space="preserve">“Verdadero” indica que la cantidad por lote, coincide con el saldo que inicia al mes siguiente. "Falso" no coinicide. </t>
        </is>
      </c>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413">
        <f>ENERO!K423</f>
        <v/>
      </c>
      <c r="E423" s="339">
        <f>H19</f>
        <v/>
      </c>
      <c r="F423" s="338" t="n">
        <v>604</v>
      </c>
      <c r="G423" s="338" t="n">
        <v>19</v>
      </c>
      <c r="H423" s="1235">
        <f>+F423+G423</f>
        <v/>
      </c>
      <c r="I423" s="340">
        <f>+AM423</f>
        <v/>
      </c>
      <c r="J423" s="341">
        <f>+H423+I423</f>
        <v/>
      </c>
      <c r="K423" s="583">
        <f>+(D423+E423)-(J423)</f>
        <v/>
      </c>
      <c r="L423" s="253" t="n">
        <v>567</v>
      </c>
      <c r="M423" s="254" t="inlineStr">
        <is>
          <t>0324L013B</t>
        </is>
      </c>
      <c r="N423" s="254" t="inlineStr">
        <is>
          <t>Serum</t>
        </is>
      </c>
      <c r="O423" s="1183" t="inlineStr">
        <is>
          <t>30/11/2027</t>
        </is>
      </c>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v>0</v>
      </c>
      <c r="AA423" s="648" t="n">
        <v>0</v>
      </c>
      <c r="AB423" s="649">
        <f>+Z423+AA423</f>
        <v/>
      </c>
      <c r="AC423" s="648" t="n">
        <v>0</v>
      </c>
      <c r="AD423" s="648" t="n">
        <v>0</v>
      </c>
      <c r="AE423" s="648" t="n">
        <v>0</v>
      </c>
      <c r="AF423" s="648" t="n">
        <v>0</v>
      </c>
      <c r="AG423" s="648" t="n">
        <v>0</v>
      </c>
      <c r="AH423" s="648" t="n">
        <v>0</v>
      </c>
      <c r="AI423" s="648" t="n">
        <v>0</v>
      </c>
      <c r="AJ423" s="648" t="n">
        <v>0</v>
      </c>
      <c r="AK423" s="648" t="n">
        <v>0</v>
      </c>
      <c r="AL423" s="648" t="n">
        <v>0</v>
      </c>
      <c r="AM423" s="421">
        <f>SUM(AB423:AL427)</f>
        <v/>
      </c>
      <c r="AN423" s="726" t="n"/>
      <c r="AQ423" s="1238">
        <f>IFERROR(I423/J423*100,"0")</f>
        <v/>
      </c>
      <c r="AR423" s="343">
        <f>IFERROR(1/(1-(AQ423/100)),"0")</f>
        <v/>
      </c>
      <c r="AS423" s="1239" t="n">
        <v>0</v>
      </c>
      <c r="AT423" s="345" t="n">
        <v>1</v>
      </c>
      <c r="AU423" s="1240" t="n"/>
      <c r="AV423" s="1241" t="n"/>
      <c r="AW423" s="1242">
        <f>+H423-AV423</f>
        <v/>
      </c>
    </row>
    <row r="424" ht="17.25" customHeight="1">
      <c r="A424" s="973" t="n"/>
      <c r="B424" s="971" t="n"/>
      <c r="C424" s="972" t="n"/>
      <c r="D424" s="973" t="n"/>
      <c r="E424" s="973" t="n"/>
      <c r="F424" s="994" t="n"/>
      <c r="G424" s="994" t="n"/>
      <c r="H424" s="973" t="n"/>
      <c r="I424" s="973" t="n"/>
      <c r="J424" s="973" t="n"/>
      <c r="K424" s="973" t="n"/>
      <c r="L424" s="253" t="n">
        <v>182</v>
      </c>
      <c r="M424" s="254" t="inlineStr">
        <is>
          <t>0324L013A</t>
        </is>
      </c>
      <c r="N424" s="254" t="inlineStr">
        <is>
          <t>Serum</t>
        </is>
      </c>
      <c r="O424" s="1183" t="inlineStr">
        <is>
          <t>30/11/2027</t>
        </is>
      </c>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73" t="n"/>
      <c r="E425" s="973" t="n"/>
      <c r="F425" s="994" t="n"/>
      <c r="G425" s="994" t="n"/>
      <c r="H425" s="973" t="n"/>
      <c r="I425" s="973" t="n"/>
      <c r="J425" s="973" t="n"/>
      <c r="K425" s="973" t="n"/>
      <c r="L425" s="253" t="n">
        <v>152</v>
      </c>
      <c r="M425" s="254" t="inlineStr">
        <is>
          <t>0323X019E</t>
        </is>
      </c>
      <c r="N425" s="254" t="inlineStr">
        <is>
          <t>Serum</t>
        </is>
      </c>
      <c r="O425" s="1183" t="inlineStr">
        <is>
          <t>31/05/2026</t>
        </is>
      </c>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73" t="n"/>
      <c r="E426" s="973" t="n"/>
      <c r="F426" s="994" t="n"/>
      <c r="G426" s="994" t="n"/>
      <c r="H426" s="973" t="n"/>
      <c r="I426" s="973" t="n"/>
      <c r="J426" s="973" t="n"/>
      <c r="K426" s="973" t="n"/>
      <c r="L426" s="253" t="n">
        <v>79</v>
      </c>
      <c r="M426" s="254" t="inlineStr">
        <is>
          <t>0321Q013B</t>
        </is>
      </c>
      <c r="N426" s="254" t="inlineStr">
        <is>
          <t>Serum</t>
        </is>
      </c>
      <c r="O426" s="1183" t="inlineStr">
        <is>
          <t>31/08/2024</t>
        </is>
      </c>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73" t="n"/>
      <c r="E427" s="973" t="n"/>
      <c r="F427" s="994" t="n"/>
      <c r="G427" s="994" t="n"/>
      <c r="H427" s="973" t="n"/>
      <c r="I427" s="973" t="n"/>
      <c r="J427" s="973" t="n"/>
      <c r="K427" s="975" t="n"/>
      <c r="L427" s="253" t="n">
        <v>24</v>
      </c>
      <c r="M427" s="254" t="n"/>
      <c r="N427" s="254" t="n"/>
      <c r="O427" s="1183" t="n"/>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75" t="n"/>
      <c r="E428" s="975" t="n"/>
      <c r="F428" s="998" t="n"/>
      <c r="G428" s="998" t="n"/>
      <c r="H428" s="975" t="n"/>
      <c r="I428" s="975" t="n"/>
      <c r="J428" s="975" t="n"/>
      <c r="K428" s="1189">
        <f>K423=L428</f>
        <v/>
      </c>
      <c r="L428" s="491">
        <f>SUM(L423:L427)</f>
        <v/>
      </c>
      <c r="M428" s="1190" t="inlineStr">
        <is>
          <t xml:space="preserve">“Verdadero” indica que la cantidad por lote, coincide con el saldo que inicia al mes siguiente. "Falso" no coinicide. </t>
        </is>
      </c>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413">
        <f>ENERO!K429</f>
        <v/>
      </c>
      <c r="E429" s="339">
        <f>H25</f>
        <v/>
      </c>
      <c r="F429" s="338" t="n">
        <v>146</v>
      </c>
      <c r="G429" s="338" t="n">
        <v>1</v>
      </c>
      <c r="H429" s="1235">
        <f>+F429+G429</f>
        <v/>
      </c>
      <c r="I429" s="340">
        <f>+AM429</f>
        <v/>
      </c>
      <c r="J429" s="341">
        <f>+H429+I429</f>
        <v/>
      </c>
      <c r="K429" s="583">
        <f>+(D429+E429)-(J429)</f>
        <v/>
      </c>
      <c r="L429" s="253" t="n">
        <v>164</v>
      </c>
      <c r="M429" s="254" t="inlineStr">
        <is>
          <t>0323X019E</t>
        </is>
      </c>
      <c r="N429" s="254" t="inlineStr">
        <is>
          <t>Serum</t>
        </is>
      </c>
      <c r="O429" s="1183" t="inlineStr">
        <is>
          <t>31/05/2026</t>
        </is>
      </c>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v>0</v>
      </c>
      <c r="AA429" s="648" t="n">
        <v>0</v>
      </c>
      <c r="AB429" s="649">
        <f>+Z429+AA429</f>
        <v/>
      </c>
      <c r="AC429" s="648" t="n">
        <v>0</v>
      </c>
      <c r="AD429" s="648" t="n">
        <v>0</v>
      </c>
      <c r="AE429" s="648" t="n">
        <v>0</v>
      </c>
      <c r="AF429" s="648" t="n">
        <v>0</v>
      </c>
      <c r="AG429" s="648" t="n">
        <v>0</v>
      </c>
      <c r="AH429" s="648" t="n">
        <v>0</v>
      </c>
      <c r="AI429" s="648" t="n">
        <v>0</v>
      </c>
      <c r="AJ429" s="648" t="n">
        <v>0</v>
      </c>
      <c r="AK429" s="648" t="n">
        <v>0</v>
      </c>
      <c r="AL429" s="648" t="n">
        <v>0</v>
      </c>
      <c r="AM429" s="421">
        <f>SUM(AB429:AL433)</f>
        <v/>
      </c>
      <c r="AN429" s="726" t="n"/>
      <c r="AQ429" s="1238">
        <f>IFERROR(I429/J429*100,"0")</f>
        <v/>
      </c>
      <c r="AR429" s="343">
        <f>IFERROR(1/(1-(AQ429/100)),"0")</f>
        <v/>
      </c>
      <c r="AS429" s="1239" t="n">
        <v>0</v>
      </c>
      <c r="AT429" s="345" t="n">
        <v>1</v>
      </c>
      <c r="AU429" s="1240" t="n"/>
      <c r="AV429" s="1241" t="n"/>
      <c r="AW429" s="1242">
        <f>+H429-AV429</f>
        <v/>
      </c>
    </row>
    <row r="430" ht="17.25" customHeight="1">
      <c r="A430" s="973" t="n"/>
      <c r="B430" s="971" t="n"/>
      <c r="C430" s="972" t="n"/>
      <c r="D430" s="973" t="n"/>
      <c r="E430" s="973" t="n"/>
      <c r="F430" s="994" t="n"/>
      <c r="G430" s="994" t="n"/>
      <c r="H430" s="973" t="n"/>
      <c r="I430" s="973" t="n"/>
      <c r="J430" s="973" t="n"/>
      <c r="K430" s="973" t="n"/>
      <c r="L430" s="253" t="n">
        <v>34</v>
      </c>
      <c r="M430" s="254" t="inlineStr">
        <is>
          <t>0343Q005A</t>
        </is>
      </c>
      <c r="N430" s="254" t="inlineStr">
        <is>
          <t>Serum</t>
        </is>
      </c>
      <c r="O430" s="1183" t="inlineStr">
        <is>
          <t>30/04/2026</t>
        </is>
      </c>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73" t="n"/>
      <c r="E431" s="973" t="n"/>
      <c r="F431" s="994" t="n"/>
      <c r="G431" s="994" t="n"/>
      <c r="H431" s="973" t="n"/>
      <c r="I431" s="973" t="n"/>
      <c r="J431" s="973" t="n"/>
      <c r="K431" s="973" t="n"/>
      <c r="L431" s="253" t="n">
        <v>91</v>
      </c>
      <c r="M431" s="254" t="inlineStr">
        <is>
          <t>0343Q010C</t>
        </is>
      </c>
      <c r="N431" s="254" t="inlineStr">
        <is>
          <t>Serum</t>
        </is>
      </c>
      <c r="O431" s="1183" t="inlineStr">
        <is>
          <t>31/07/2026</t>
        </is>
      </c>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73" t="n"/>
      <c r="E432" s="973" t="n"/>
      <c r="F432" s="994" t="n"/>
      <c r="G432" s="994" t="n"/>
      <c r="H432" s="973" t="n"/>
      <c r="I432" s="973" t="n"/>
      <c r="J432" s="973" t="n"/>
      <c r="K432" s="973" t="n"/>
      <c r="L432" s="253" t="n">
        <v>41</v>
      </c>
      <c r="M432" s="254" t="inlineStr">
        <is>
          <t>0344X002C</t>
        </is>
      </c>
      <c r="N432" s="254" t="inlineStr">
        <is>
          <t>Serum</t>
        </is>
      </c>
      <c r="O432" s="1183" t="inlineStr">
        <is>
          <t>30/06/2027</t>
        </is>
      </c>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73"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75" t="n"/>
      <c r="E434" s="975" t="n"/>
      <c r="F434" s="998" t="n"/>
      <c r="G434" s="998" t="n"/>
      <c r="H434" s="975" t="n"/>
      <c r="I434" s="975" t="n"/>
      <c r="J434" s="975" t="n"/>
      <c r="K434" s="1189">
        <f>K429=L434</f>
        <v/>
      </c>
      <c r="L434" s="491">
        <f>SUM(L429:L433)</f>
        <v/>
      </c>
      <c r="M434" s="1190" t="inlineStr">
        <is>
          <t xml:space="preserve">“Verdadero” indica que la cantidad por lote, coincide con el saldo que inicia al mes siguiente. "Falso" no coinicide. </t>
        </is>
      </c>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413">
        <f>ENERO!K435</f>
        <v/>
      </c>
      <c r="E435" s="339">
        <f>H31</f>
        <v/>
      </c>
      <c r="F435" s="338" t="n">
        <v>2775</v>
      </c>
      <c r="G435" s="338" t="n">
        <v>24</v>
      </c>
      <c r="H435" s="1235">
        <f>+F435+G435</f>
        <v/>
      </c>
      <c r="I435" s="340">
        <f>+AM435</f>
        <v/>
      </c>
      <c r="J435" s="341">
        <f>+H435+I435</f>
        <v/>
      </c>
      <c r="K435" s="583">
        <f>+(D435+E435)-(J435)</f>
        <v/>
      </c>
      <c r="L435" s="253" t="n">
        <v>1566</v>
      </c>
      <c r="M435" s="254" t="inlineStr">
        <is>
          <t>2435007A</t>
        </is>
      </c>
      <c r="N435" s="254" t="inlineStr">
        <is>
          <t>Bilthoven Biologicals BV</t>
        </is>
      </c>
      <c r="O435" s="1183" t="inlineStr">
        <is>
          <t>14/05/2027</t>
        </is>
      </c>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v>17</v>
      </c>
      <c r="AA435" s="648" t="n">
        <v>32</v>
      </c>
      <c r="AB435" s="649">
        <f>+Z435+AA435</f>
        <v/>
      </c>
      <c r="AC435" s="648" t="n">
        <v>0</v>
      </c>
      <c r="AD435" s="648" t="n">
        <v>0</v>
      </c>
      <c r="AE435" s="648" t="n">
        <v>0</v>
      </c>
      <c r="AF435" s="648" t="n">
        <v>0</v>
      </c>
      <c r="AG435" s="648" t="n">
        <v>0</v>
      </c>
      <c r="AH435" s="648" t="n">
        <v>0</v>
      </c>
      <c r="AI435" s="648" t="n">
        <v>0</v>
      </c>
      <c r="AJ435" s="648" t="n">
        <v>0</v>
      </c>
      <c r="AK435" s="648" t="n">
        <v>0</v>
      </c>
      <c r="AL435" s="648" t="n">
        <v>0</v>
      </c>
      <c r="AM435" s="421">
        <f>SUM(AB435:AL439)</f>
        <v/>
      </c>
      <c r="AN435" s="726" t="n"/>
      <c r="AQ435" s="1238">
        <f>IFERROR(I435/J435*100,"0")</f>
        <v/>
      </c>
      <c r="AR435" s="343">
        <f>IFERROR(1/(1-(AQ435/100)),"0")</f>
        <v/>
      </c>
      <c r="AS435" s="1239" t="n">
        <v>15</v>
      </c>
      <c r="AT435" s="345" t="n">
        <v>5</v>
      </c>
      <c r="AU435" s="1240" t="n"/>
      <c r="AV435" s="1241" t="n"/>
      <c r="AW435" s="1242">
        <f>+H435-AV435</f>
        <v/>
      </c>
    </row>
    <row r="436" ht="17.25" customHeight="1">
      <c r="A436" s="973" t="n"/>
      <c r="B436" s="971" t="n"/>
      <c r="C436" s="972" t="n"/>
      <c r="D436" s="973" t="n"/>
      <c r="E436" s="973" t="n"/>
      <c r="F436" s="994" t="n"/>
      <c r="G436" s="994" t="n"/>
      <c r="H436" s="973" t="n"/>
      <c r="I436" s="973" t="n"/>
      <c r="J436" s="973" t="n"/>
      <c r="K436" s="973" t="n"/>
      <c r="L436" s="253" t="n">
        <v>845</v>
      </c>
      <c r="M436" s="254" t="inlineStr">
        <is>
          <t>0344X002C</t>
        </is>
      </c>
      <c r="N436" s="254" t="inlineStr">
        <is>
          <t>Serum</t>
        </is>
      </c>
      <c r="O436" s="1183" t="inlineStr">
        <is>
          <t>30/06/2027</t>
        </is>
      </c>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73" t="n"/>
      <c r="E437" s="973" t="n"/>
      <c r="F437" s="994" t="n"/>
      <c r="G437" s="994" t="n"/>
      <c r="H437" s="973" t="n"/>
      <c r="I437" s="973" t="n"/>
      <c r="J437" s="973" t="n"/>
      <c r="K437" s="973" t="n"/>
      <c r="L437" s="253" t="n">
        <v>90</v>
      </c>
      <c r="M437" s="254" t="inlineStr">
        <is>
          <t>2429006A</t>
        </is>
      </c>
      <c r="N437" s="254" t="inlineStr">
        <is>
          <t>Bilthoven Biologicals BV</t>
        </is>
      </c>
      <c r="O437" s="1183" t="inlineStr">
        <is>
          <t>04/03/2027</t>
        </is>
      </c>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73" t="n"/>
      <c r="E438" s="973" t="n"/>
      <c r="F438" s="994" t="n"/>
      <c r="G438" s="994" t="n"/>
      <c r="H438" s="973" t="n"/>
      <c r="I438" s="973" t="n"/>
      <c r="J438" s="973" t="n"/>
      <c r="K438" s="973" t="n"/>
      <c r="L438" s="253" t="n">
        <v>50</v>
      </c>
      <c r="M438" s="254" t="inlineStr">
        <is>
          <t>2413007A</t>
        </is>
      </c>
      <c r="N438" s="254" t="inlineStr">
        <is>
          <t>Bilthoven Biologicals BV</t>
        </is>
      </c>
      <c r="O438" s="1183" t="inlineStr">
        <is>
          <t>30/01/2027</t>
        </is>
      </c>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73" t="n"/>
      <c r="E439" s="973" t="n"/>
      <c r="F439" s="994" t="n"/>
      <c r="G439" s="994" t="n"/>
      <c r="H439" s="973" t="n"/>
      <c r="I439" s="973" t="n"/>
      <c r="J439" s="973" t="n"/>
      <c r="K439" s="975" t="n"/>
      <c r="L439" s="253" t="n">
        <v>16</v>
      </c>
      <c r="M439" s="254" t="inlineStr">
        <is>
          <t>2423003A</t>
        </is>
      </c>
      <c r="N439" s="254" t="inlineStr">
        <is>
          <t>Bilthoven Biologicals BV</t>
        </is>
      </c>
      <c r="O439" s="1183" t="inlineStr">
        <is>
          <t>30/01/2027</t>
        </is>
      </c>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75" t="n"/>
      <c r="E440" s="975" t="n"/>
      <c r="F440" s="998" t="n"/>
      <c r="G440" s="998" t="n"/>
      <c r="H440" s="975" t="n"/>
      <c r="I440" s="975" t="n"/>
      <c r="J440" s="975" t="n"/>
      <c r="K440" s="1189">
        <f>K435=L440</f>
        <v/>
      </c>
      <c r="L440" s="491">
        <f>SUM(L435:L439)</f>
        <v/>
      </c>
      <c r="M440" s="1190" t="inlineStr">
        <is>
          <t xml:space="preserve">“Verdadero” indica que la cantidad por lote, coincide con el saldo que inicia al mes siguiente. "Falso" no coinicide. </t>
        </is>
      </c>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413">
        <f>ENERO!K441</f>
        <v/>
      </c>
      <c r="E441" s="339">
        <f>H37</f>
        <v/>
      </c>
      <c r="F441" s="338" t="n">
        <v>2097</v>
      </c>
      <c r="G441" s="338" t="n">
        <v>9</v>
      </c>
      <c r="H441" s="1235">
        <f>+F441+G441</f>
        <v/>
      </c>
      <c r="I441" s="340">
        <f>+AM441</f>
        <v/>
      </c>
      <c r="J441" s="341">
        <f>+H441+I441</f>
        <v/>
      </c>
      <c r="K441" s="583">
        <f>+(D441+E441)-(J441)</f>
        <v/>
      </c>
      <c r="L441" s="253" t="n">
        <v>297</v>
      </c>
      <c r="M441" s="254" t="inlineStr">
        <is>
          <t>2435007A</t>
        </is>
      </c>
      <c r="N441" s="254" t="inlineStr">
        <is>
          <t>Bilthoven Biologicals BV</t>
        </is>
      </c>
      <c r="O441" s="1183" t="inlineStr">
        <is>
          <t>14/05/2027</t>
        </is>
      </c>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v>0</v>
      </c>
      <c r="AA441" s="648" t="n">
        <v>0</v>
      </c>
      <c r="AB441" s="649">
        <f>+Z441+AA441</f>
        <v/>
      </c>
      <c r="AC441" s="648" t="n">
        <v>0</v>
      </c>
      <c r="AD441" s="648" t="n">
        <v>0</v>
      </c>
      <c r="AE441" s="648" t="n">
        <v>0</v>
      </c>
      <c r="AF441" s="648" t="n">
        <v>0</v>
      </c>
      <c r="AG441" s="648" t="n">
        <v>0</v>
      </c>
      <c r="AH441" s="648" t="n">
        <v>0</v>
      </c>
      <c r="AI441" s="648" t="n">
        <v>0</v>
      </c>
      <c r="AJ441" s="648" t="n">
        <v>0</v>
      </c>
      <c r="AK441" s="648" t="n">
        <v>0</v>
      </c>
      <c r="AL441" s="648" t="n">
        <v>0</v>
      </c>
      <c r="AM441" s="421">
        <f>SUM(AB441:AL445)</f>
        <v/>
      </c>
      <c r="AN441" s="726" t="n"/>
      <c r="AQ441" s="1238">
        <f>IFERROR(I441/J441*100,"0")</f>
        <v/>
      </c>
      <c r="AR441" s="343">
        <f>IFERROR(1/(1-(AQ441/100)),"0")</f>
        <v/>
      </c>
      <c r="AS441" s="1239" t="n">
        <v>0</v>
      </c>
      <c r="AT441" s="345" t="n">
        <v>1</v>
      </c>
      <c r="AU441" s="1240" t="n"/>
      <c r="AV441" s="1241" t="n"/>
      <c r="AW441" s="1242">
        <f>+H441-AV441</f>
        <v/>
      </c>
    </row>
    <row r="442" ht="17.25" customHeight="1">
      <c r="A442" s="973" t="n"/>
      <c r="B442" s="971" t="n"/>
      <c r="C442" s="972" t="n"/>
      <c r="D442" s="973" t="n"/>
      <c r="E442" s="973" t="n"/>
      <c r="F442" s="994" t="n"/>
      <c r="G442" s="994" t="n"/>
      <c r="H442" s="973" t="n"/>
      <c r="I442" s="973" t="n"/>
      <c r="J442" s="973" t="n"/>
      <c r="K442" s="973" t="n"/>
      <c r="L442" s="253" t="n">
        <v>151</v>
      </c>
      <c r="M442" s="254" t="inlineStr">
        <is>
          <t>2854X013D</t>
        </is>
      </c>
      <c r="N442" s="254" t="inlineStr">
        <is>
          <t>Serum</t>
        </is>
      </c>
      <c r="O442" s="1183" t="inlineStr">
        <is>
          <t>30/11/2026</t>
        </is>
      </c>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73" t="n"/>
      <c r="E443" s="973" t="n"/>
      <c r="F443" s="994" t="n"/>
      <c r="G443" s="994" t="n"/>
      <c r="H443" s="973" t="n"/>
      <c r="I443" s="973" t="n"/>
      <c r="J443" s="973" t="n"/>
      <c r="K443" s="973" t="n"/>
      <c r="L443" s="253" t="n">
        <v>33</v>
      </c>
      <c r="M443" s="254" t="inlineStr">
        <is>
          <t>2854X013E</t>
        </is>
      </c>
      <c r="N443" s="254" t="inlineStr">
        <is>
          <t>Serum</t>
        </is>
      </c>
      <c r="O443" s="1183" t="inlineStr">
        <is>
          <t>30/11/2026</t>
        </is>
      </c>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73" t="n"/>
      <c r="E444" s="973" t="n"/>
      <c r="F444" s="994" t="n"/>
      <c r="G444" s="994" t="n"/>
      <c r="H444" s="973" t="n"/>
      <c r="I444" s="973" t="n"/>
      <c r="J444" s="973" t="n"/>
      <c r="K444" s="973" t="n"/>
      <c r="L444" s="253" t="n">
        <v>780</v>
      </c>
      <c r="M444" s="254" t="inlineStr">
        <is>
          <t>2854X041B</t>
        </is>
      </c>
      <c r="N444" s="254" t="inlineStr">
        <is>
          <t>Serum</t>
        </is>
      </c>
      <c r="O444" s="1183" t="inlineStr">
        <is>
          <t>30/04/2027</t>
        </is>
      </c>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73" t="n"/>
      <c r="E445" s="973" t="n"/>
      <c r="F445" s="994" t="n"/>
      <c r="G445" s="994" t="n"/>
      <c r="H445" s="973" t="n"/>
      <c r="I445" s="973" t="n"/>
      <c r="J445" s="973" t="n"/>
      <c r="K445" s="975" t="n"/>
      <c r="L445" s="253" t="n">
        <v>603</v>
      </c>
      <c r="M445" s="254" t="inlineStr">
        <is>
          <t>2855X001A</t>
        </is>
      </c>
      <c r="N445" s="254" t="inlineStr">
        <is>
          <t>Serum</t>
        </is>
      </c>
      <c r="O445" s="1183" t="inlineStr">
        <is>
          <t>30/06/2027</t>
        </is>
      </c>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75" t="n"/>
      <c r="E446" s="975" t="n"/>
      <c r="F446" s="998" t="n"/>
      <c r="G446" s="998" t="n"/>
      <c r="H446" s="975" t="n"/>
      <c r="I446" s="975" t="n"/>
      <c r="J446" s="975" t="n"/>
      <c r="K446" s="1189">
        <f>K441=L446</f>
        <v/>
      </c>
      <c r="L446" s="491">
        <f>SUM(L441:L445)</f>
        <v/>
      </c>
      <c r="M446" s="1190" t="inlineStr">
        <is>
          <t xml:space="preserve">“Verdadero” indica que la cantidad por lote, coincide con el saldo que inicia al mes siguiente. "Falso" no coinicide. </t>
        </is>
      </c>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413">
        <f>ENERO!K447</f>
        <v/>
      </c>
      <c r="E447" s="339">
        <f>H43</f>
        <v/>
      </c>
      <c r="F447" s="338" t="n">
        <v>23</v>
      </c>
      <c r="G447" s="338" t="n">
        <v>0</v>
      </c>
      <c r="H447" s="1235">
        <f>+F447+G447</f>
        <v/>
      </c>
      <c r="I447" s="340">
        <f>+AM447</f>
        <v/>
      </c>
      <c r="J447" s="341">
        <f>+H447+I447</f>
        <v/>
      </c>
      <c r="K447" s="583">
        <f>+(D447+E447)-(J447)</f>
        <v/>
      </c>
      <c r="L447" s="253" t="n">
        <v>21</v>
      </c>
      <c r="M447" s="254" t="inlineStr">
        <is>
          <t>2854X041B</t>
        </is>
      </c>
      <c r="N447" s="254" t="inlineStr">
        <is>
          <t>Serum</t>
        </is>
      </c>
      <c r="O447" s="1183" t="inlineStr">
        <is>
          <t>30/04/2027</t>
        </is>
      </c>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v>0</v>
      </c>
      <c r="AA447" s="648" t="n">
        <v>0</v>
      </c>
      <c r="AB447" s="649">
        <f>+Z447+AA447</f>
        <v/>
      </c>
      <c r="AC447" s="648" t="n">
        <v>0</v>
      </c>
      <c r="AD447" s="648" t="n">
        <v>0</v>
      </c>
      <c r="AE447" s="648" t="n">
        <v>0</v>
      </c>
      <c r="AF447" s="648" t="n">
        <v>0</v>
      </c>
      <c r="AG447" s="648" t="n">
        <v>0</v>
      </c>
      <c r="AH447" s="648" t="n">
        <v>0</v>
      </c>
      <c r="AI447" s="648" t="n">
        <v>0</v>
      </c>
      <c r="AJ447" s="648" t="n">
        <v>0</v>
      </c>
      <c r="AK447" s="648" t="n">
        <v>0</v>
      </c>
      <c r="AL447" s="648" t="n">
        <v>0</v>
      </c>
      <c r="AM447" s="421">
        <f>SUM(AB447:AL451)</f>
        <v/>
      </c>
      <c r="AN447" s="726" t="n"/>
      <c r="AQ447" s="1238">
        <f>IFERROR(I447/J447*100,"0")</f>
        <v/>
      </c>
      <c r="AR447" s="343">
        <f>IFERROR(1/(1-(AQ447/100)),"0")</f>
        <v/>
      </c>
      <c r="AS447" s="1239" t="n">
        <v>0</v>
      </c>
      <c r="AT447" s="345" t="n">
        <v>1</v>
      </c>
      <c r="AU447" s="1240" t="n"/>
      <c r="AV447" s="1241" t="n"/>
      <c r="AW447" s="1242">
        <f>+H447-AV447</f>
        <v/>
      </c>
    </row>
    <row r="448" ht="17.25" customHeight="1">
      <c r="A448" s="973" t="n"/>
      <c r="B448" s="971" t="n"/>
      <c r="C448" s="972" t="n"/>
      <c r="D448" s="973" t="n"/>
      <c r="E448" s="973" t="n"/>
      <c r="F448" s="994" t="n"/>
      <c r="G448" s="994" t="n"/>
      <c r="H448" s="973" t="n"/>
      <c r="I448" s="973" t="n"/>
      <c r="J448" s="973" t="n"/>
      <c r="K448" s="973" t="n"/>
      <c r="L448" s="253" t="n">
        <v>3</v>
      </c>
      <c r="M448" s="254" t="inlineStr">
        <is>
          <t>4CA03C1</t>
        </is>
      </c>
      <c r="N448" s="254" t="inlineStr">
        <is>
          <t>Sanofi Pasteur</t>
        </is>
      </c>
      <c r="O448" s="1183" t="inlineStr">
        <is>
          <t>31/10/2026</t>
        </is>
      </c>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73" t="n"/>
      <c r="E449" s="973" t="n"/>
      <c r="F449" s="994" t="n"/>
      <c r="G449" s="994" t="n"/>
      <c r="H449" s="973" t="n"/>
      <c r="I449" s="973" t="n"/>
      <c r="J449" s="973" t="n"/>
      <c r="K449" s="973" t="n"/>
      <c r="L449" s="253" t="n">
        <v>80</v>
      </c>
      <c r="M449" s="254" t="inlineStr">
        <is>
          <t>Y3C49</t>
        </is>
      </c>
      <c r="N449" s="254" t="inlineStr">
        <is>
          <t>Sanofi Pasteur</t>
        </is>
      </c>
      <c r="O449" s="1183" t="inlineStr">
        <is>
          <t>29/02/2028</t>
        </is>
      </c>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73" t="n"/>
      <c r="E450" s="973" t="n"/>
      <c r="F450" s="994" t="n"/>
      <c r="G450" s="994" t="n"/>
      <c r="H450" s="973" t="n"/>
      <c r="I450" s="973" t="n"/>
      <c r="J450" s="973" t="n"/>
      <c r="K450" s="973" t="n"/>
      <c r="L450" s="253" t="n"/>
      <c r="M450" s="254" t="n"/>
      <c r="N450" s="254" t="n"/>
      <c r="O450" s="1183" t="n"/>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73" t="n"/>
      <c r="E451" s="973" t="n"/>
      <c r="F451" s="994" t="n"/>
      <c r="G451" s="994" t="n"/>
      <c r="H451" s="973" t="n"/>
      <c r="I451" s="973" t="n"/>
      <c r="J451" s="973" t="n"/>
      <c r="K451" s="975" t="n"/>
      <c r="L451" s="253" t="n"/>
      <c r="M451" s="254" t="n"/>
      <c r="N451" s="254" t="n"/>
      <c r="O451" s="1183" t="n"/>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75" t="n"/>
      <c r="E452" s="975" t="n"/>
      <c r="F452" s="998" t="n"/>
      <c r="G452" s="998" t="n"/>
      <c r="H452" s="975" t="n"/>
      <c r="I452" s="975" t="n"/>
      <c r="J452" s="975" t="n"/>
      <c r="K452" s="1189">
        <f>K447=L452</f>
        <v/>
      </c>
      <c r="L452" s="491">
        <f>SUM(L447:L451)</f>
        <v/>
      </c>
      <c r="M452" s="1190" t="inlineStr">
        <is>
          <t xml:space="preserve">“Verdadero” indica que la cantidad por lote, coincide con el saldo que inicia al mes siguiente. "Falso" no coinicide. </t>
        </is>
      </c>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413">
        <f>ENERO!K453</f>
        <v/>
      </c>
      <c r="E453" s="339">
        <f>H49</f>
        <v/>
      </c>
      <c r="F453" s="338" t="n">
        <v>0</v>
      </c>
      <c r="G453" s="338" t="n">
        <v>0</v>
      </c>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v>0</v>
      </c>
      <c r="AA453" s="648" t="n">
        <v>0</v>
      </c>
      <c r="AB453" s="649">
        <f>+Z453+AA453</f>
        <v/>
      </c>
      <c r="AC453" s="648" t="n">
        <v>0</v>
      </c>
      <c r="AD453" s="648" t="n">
        <v>0</v>
      </c>
      <c r="AE453" s="648" t="n">
        <v>0</v>
      </c>
      <c r="AF453" s="648" t="n">
        <v>0</v>
      </c>
      <c r="AG453" s="648" t="n">
        <v>0</v>
      </c>
      <c r="AH453" s="648" t="n">
        <v>0</v>
      </c>
      <c r="AI453" s="648" t="n">
        <v>0</v>
      </c>
      <c r="AJ453" s="648" t="n">
        <v>0</v>
      </c>
      <c r="AK453" s="648" t="n">
        <v>0</v>
      </c>
      <c r="AL453" s="648" t="n">
        <v>0</v>
      </c>
      <c r="AM453" s="421">
        <f>SUM(AB453:AL457)</f>
        <v/>
      </c>
      <c r="AN453" s="726" t="n"/>
      <c r="AQ453" s="1238">
        <f>IFERROR(I453/J453*100,"0")</f>
        <v/>
      </c>
      <c r="AR453" s="343">
        <f>IFERROR(1/(1-(AQ453/100)),"0")</f>
        <v/>
      </c>
      <c r="AS453" s="1239" t="n">
        <v>0</v>
      </c>
      <c r="AT453" s="345" t="n">
        <v>1</v>
      </c>
      <c r="AU453" s="1240" t="n"/>
      <c r="AV453" s="1241" t="n"/>
      <c r="AW453" s="1242">
        <f>+H453-AV453</f>
        <v/>
      </c>
    </row>
    <row r="454" ht="17.25" customHeight="1">
      <c r="A454" s="973" t="n"/>
      <c r="B454" s="971" t="n"/>
      <c r="C454" s="972" t="n"/>
      <c r="D454" s="973"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73"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73"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73"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75" t="n"/>
      <c r="E458" s="975" t="n"/>
      <c r="F458" s="998" t="n"/>
      <c r="G458" s="998" t="n"/>
      <c r="H458" s="975" t="n"/>
      <c r="I458" s="975" t="n"/>
      <c r="J458" s="975" t="n"/>
      <c r="K458" s="1189">
        <f>K453=L458</f>
        <v/>
      </c>
      <c r="L458" s="491">
        <f>SUM(L453:L457)</f>
        <v/>
      </c>
      <c r="M458" s="1190" t="inlineStr">
        <is>
          <t xml:space="preserve">“Verdadero” indica que la cantidad por lote, coincide con el saldo que inicia al mes siguiente. "Falso" no coinicide. </t>
        </is>
      </c>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413">
        <f>ENERO!K459</f>
        <v/>
      </c>
      <c r="E459" s="339">
        <f>H55</f>
        <v/>
      </c>
      <c r="F459" s="338" t="n">
        <v>658</v>
      </c>
      <c r="G459" s="338" t="n">
        <v>13</v>
      </c>
      <c r="H459" s="1235">
        <f>+F459+G459</f>
        <v/>
      </c>
      <c r="I459" s="340">
        <f>+AM459</f>
        <v/>
      </c>
      <c r="J459" s="341">
        <f>+H459+I459</f>
        <v/>
      </c>
      <c r="K459" s="583">
        <f>+(D459+E459)-(J459)</f>
        <v/>
      </c>
      <c r="L459" s="253" t="n">
        <v>2069</v>
      </c>
      <c r="M459" s="254" t="inlineStr">
        <is>
          <t>221100624A</t>
        </is>
      </c>
      <c r="N459" s="254" t="inlineStr">
        <is>
          <t>BIOLÓGICAL E. LÍMITED</t>
        </is>
      </c>
      <c r="O459" s="1183" t="inlineStr">
        <is>
          <t>30/11/2026</t>
        </is>
      </c>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v>58</v>
      </c>
      <c r="AA459" s="648" t="n">
        <v>71</v>
      </c>
      <c r="AB459" s="649">
        <f>+Z459+AA459</f>
        <v/>
      </c>
      <c r="AC459" s="648" t="n">
        <v>0</v>
      </c>
      <c r="AD459" s="648" t="n">
        <v>0</v>
      </c>
      <c r="AE459" s="648" t="n">
        <v>0</v>
      </c>
      <c r="AF459" s="648" t="n">
        <v>0</v>
      </c>
      <c r="AG459" s="648" t="n">
        <v>0</v>
      </c>
      <c r="AH459" s="648" t="n">
        <v>0</v>
      </c>
      <c r="AI459" s="648" t="n">
        <v>0</v>
      </c>
      <c r="AJ459" s="648" t="n">
        <v>2</v>
      </c>
      <c r="AK459" s="648" t="n">
        <v>0</v>
      </c>
      <c r="AL459" s="648" t="n">
        <v>0</v>
      </c>
      <c r="AM459" s="421">
        <f>SUM(AB459:AL463)</f>
        <v/>
      </c>
      <c r="AN459" s="726" t="n"/>
      <c r="AQ459" s="1238">
        <f>IFERROR(I459/J459*100,"0")</f>
        <v/>
      </c>
      <c r="AR459" s="343">
        <f>IFERROR(1/(1-(AQ459/100)),"0")</f>
        <v/>
      </c>
      <c r="AS459" s="1239" t="n">
        <v>30</v>
      </c>
      <c r="AT459" s="345" t="n">
        <v>10</v>
      </c>
      <c r="AU459" s="1240" t="n"/>
      <c r="AV459" s="1241" t="n"/>
      <c r="AW459" s="1242">
        <f>+H459-AV459</f>
        <v/>
      </c>
    </row>
    <row r="460" ht="17.25" customHeight="1">
      <c r="A460" s="973" t="n"/>
      <c r="B460" s="971" t="n"/>
      <c r="C460" s="972" t="n"/>
      <c r="D460" s="973" t="n"/>
      <c r="E460" s="973" t="n"/>
      <c r="F460" s="994" t="n"/>
      <c r="G460" s="994" t="n"/>
      <c r="H460" s="973" t="n"/>
      <c r="I460" s="973" t="n"/>
      <c r="J460" s="973" t="n"/>
      <c r="K460" s="973" t="n"/>
      <c r="L460" s="253" t="n"/>
      <c r="M460" s="254" t="n"/>
      <c r="N460" s="254" t="n"/>
      <c r="O460" s="1183" t="n"/>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73"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73"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73"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75" t="n"/>
      <c r="E464" s="975" t="n"/>
      <c r="F464" s="998" t="n"/>
      <c r="G464" s="998" t="n"/>
      <c r="H464" s="975" t="n"/>
      <c r="I464" s="975" t="n"/>
      <c r="J464" s="975" t="n"/>
      <c r="K464" s="1189">
        <f>K459=L464</f>
        <v/>
      </c>
      <c r="L464" s="491">
        <f>SUM(L459:L463)</f>
        <v/>
      </c>
      <c r="M464" s="1190" t="inlineStr">
        <is>
          <t xml:space="preserve">“Verdadero” indica que la cantidad por lote, coincide con el saldo que inicia al mes siguiente. "Falso" no coinicide. </t>
        </is>
      </c>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413">
        <f>ENERO!K465</f>
        <v/>
      </c>
      <c r="E465" s="339">
        <f>H61</f>
        <v/>
      </c>
      <c r="F465" s="338" t="n">
        <v>7</v>
      </c>
      <c r="G465" s="338" t="n">
        <v>1</v>
      </c>
      <c r="H465" s="1235">
        <f>+F465+G465</f>
        <v/>
      </c>
      <c r="I465" s="340">
        <f>+AM465</f>
        <v/>
      </c>
      <c r="J465" s="341">
        <f>+H465+I465</f>
        <v/>
      </c>
      <c r="K465" s="583">
        <f>+(D465+E465)-(J465)</f>
        <v/>
      </c>
      <c r="L465" s="253" t="n">
        <v>9</v>
      </c>
      <c r="M465" s="254" t="inlineStr">
        <is>
          <t>221100624A</t>
        </is>
      </c>
      <c r="N465" s="254" t="inlineStr">
        <is>
          <t>BIOLÓGICAL E. LÍMITED</t>
        </is>
      </c>
      <c r="O465" s="1183" t="inlineStr">
        <is>
          <t>30/11/2026</t>
        </is>
      </c>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v>0</v>
      </c>
      <c r="AA465" s="648" t="n">
        <v>0</v>
      </c>
      <c r="AB465" s="649">
        <f>+Z465+AA465</f>
        <v/>
      </c>
      <c r="AC465" s="648" t="n">
        <v>0</v>
      </c>
      <c r="AD465" s="648" t="n">
        <v>0</v>
      </c>
      <c r="AE465" s="648" t="n">
        <v>0</v>
      </c>
      <c r="AF465" s="648" t="n">
        <v>0</v>
      </c>
      <c r="AG465" s="648" t="n">
        <v>0</v>
      </c>
      <c r="AH465" s="648" t="n">
        <v>0</v>
      </c>
      <c r="AI465" s="648" t="n">
        <v>0</v>
      </c>
      <c r="AJ465" s="648" t="n">
        <v>0</v>
      </c>
      <c r="AK465" s="648" t="n">
        <v>0</v>
      </c>
      <c r="AL465" s="648" t="n">
        <v>0</v>
      </c>
      <c r="AM465" s="421">
        <f>SUM(AB465:AL469)</f>
        <v/>
      </c>
      <c r="AN465" s="726" t="n"/>
      <c r="AQ465" s="1238">
        <f>IFERROR(I465/J465*100,"0")</f>
        <v/>
      </c>
      <c r="AR465" s="343">
        <f>IFERROR(1/(1-(AQ465/100)),"0")</f>
        <v/>
      </c>
      <c r="AS465" s="1239" t="n">
        <v>0</v>
      </c>
      <c r="AT465" s="345" t="n">
        <v>1</v>
      </c>
      <c r="AU465" s="1240" t="n"/>
      <c r="AV465" s="1241" t="n"/>
      <c r="AW465" s="1242">
        <f>+H465-AV465</f>
        <v/>
      </c>
    </row>
    <row r="466" ht="17.25" customHeight="1">
      <c r="A466" s="973" t="n"/>
      <c r="B466" s="971" t="n"/>
      <c r="C466" s="972" t="n"/>
      <c r="D466" s="973" t="n"/>
      <c r="E466" s="973" t="n"/>
      <c r="F466" s="994" t="n"/>
      <c r="G466" s="994" t="n"/>
      <c r="H466" s="973" t="n"/>
      <c r="I466" s="973" t="n"/>
      <c r="J466" s="973" t="n"/>
      <c r="K466" s="973" t="n"/>
      <c r="L466" s="253" t="n">
        <v>50</v>
      </c>
      <c r="M466" s="254" t="inlineStr">
        <is>
          <t>4CA03C1</t>
        </is>
      </c>
      <c r="N466" s="254" t="inlineStr">
        <is>
          <t>Sanofi Pasteur</t>
        </is>
      </c>
      <c r="O466" s="1183" t="inlineStr">
        <is>
          <t>31/10/2026</t>
        </is>
      </c>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73" t="n"/>
      <c r="E467" s="973" t="n"/>
      <c r="F467" s="994" t="n"/>
      <c r="G467" s="994" t="n"/>
      <c r="H467" s="973" t="n"/>
      <c r="I467" s="973" t="n"/>
      <c r="J467" s="973" t="n"/>
      <c r="K467" s="973" t="n"/>
      <c r="L467" s="253" t="n"/>
      <c r="M467" s="254" t="n"/>
      <c r="N467" s="254" t="n"/>
      <c r="O467" s="1183" t="n"/>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73" t="n"/>
      <c r="E468" s="973" t="n"/>
      <c r="F468" s="994" t="n"/>
      <c r="G468" s="994" t="n"/>
      <c r="H468" s="973" t="n"/>
      <c r="I468" s="973" t="n"/>
      <c r="J468" s="973" t="n"/>
      <c r="K468" s="973" t="n"/>
      <c r="L468" s="253" t="n"/>
      <c r="M468" s="254" t="n"/>
      <c r="N468" s="254" t="n"/>
      <c r="O468" s="1183" t="n"/>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73"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75" t="n"/>
      <c r="E470" s="975" t="n"/>
      <c r="F470" s="998" t="n"/>
      <c r="G470" s="998" t="n"/>
      <c r="H470" s="975" t="n"/>
      <c r="I470" s="975" t="n"/>
      <c r="J470" s="975" t="n"/>
      <c r="K470" s="1189">
        <f>K465=L470</f>
        <v/>
      </c>
      <c r="L470" s="491">
        <f>SUM(L465:L469)</f>
        <v/>
      </c>
      <c r="M470" s="1190" t="inlineStr">
        <is>
          <t xml:space="preserve">“Verdadero” indica que la cantidad por lote, coincide con el saldo que inicia al mes siguiente. "Falso" no coinicide. </t>
        </is>
      </c>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413">
        <f>ENERO!K471</f>
        <v/>
      </c>
      <c r="E471" s="339">
        <f>H67</f>
        <v/>
      </c>
      <c r="F471" s="338" t="n">
        <v>1098</v>
      </c>
      <c r="G471" s="338" t="n">
        <v>2</v>
      </c>
      <c r="H471" s="1235">
        <f>+F471+G471</f>
        <v/>
      </c>
      <c r="I471" s="340">
        <f>+AM471</f>
        <v/>
      </c>
      <c r="J471" s="341">
        <f>+H471+I471</f>
        <v/>
      </c>
      <c r="K471" s="583">
        <f>+(D471+E471)-(J471)</f>
        <v/>
      </c>
      <c r="L471" s="253" t="n">
        <v>686</v>
      </c>
      <c r="M471" s="254" t="inlineStr">
        <is>
          <t>AROLE203AC</t>
        </is>
      </c>
      <c r="N471" s="254" t="inlineStr">
        <is>
          <t>Glaxo SmithKline</t>
        </is>
      </c>
      <c r="O471" s="1183" t="inlineStr">
        <is>
          <t>31/03/2027</t>
        </is>
      </c>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v>0</v>
      </c>
      <c r="AA471" s="648" t="n">
        <v>0</v>
      </c>
      <c r="AB471" s="649">
        <f>+Z471+AA471</f>
        <v/>
      </c>
      <c r="AC471" s="648" t="n">
        <v>0</v>
      </c>
      <c r="AD471" s="648" t="n">
        <v>0</v>
      </c>
      <c r="AE471" s="648" t="n">
        <v>0</v>
      </c>
      <c r="AF471" s="648" t="n">
        <v>0</v>
      </c>
      <c r="AG471" s="648" t="n">
        <v>0</v>
      </c>
      <c r="AH471" s="648" t="n">
        <v>0</v>
      </c>
      <c r="AI471" s="648" t="n">
        <v>1</v>
      </c>
      <c r="AJ471" s="648" t="n">
        <v>0</v>
      </c>
      <c r="AK471" s="648" t="n">
        <v>0</v>
      </c>
      <c r="AL471" s="648" t="n">
        <v>0</v>
      </c>
      <c r="AM471" s="421">
        <f>SUM(AB471:AL475)</f>
        <v/>
      </c>
      <c r="AN471" s="726" t="n"/>
      <c r="AQ471" s="1238">
        <f>IFERROR(I471/J471*100,"0")</f>
        <v/>
      </c>
      <c r="AR471" s="343">
        <f>IFERROR(1/(1-(AQ471/100)),"0")</f>
        <v/>
      </c>
      <c r="AS471" s="1239" t="n">
        <v>0</v>
      </c>
      <c r="AT471" s="345" t="n">
        <v>1</v>
      </c>
      <c r="AU471" s="1240" t="n"/>
      <c r="AV471" s="1241" t="n"/>
      <c r="AW471" s="1242">
        <f>+H471-AV471</f>
        <v/>
      </c>
    </row>
    <row r="472" ht="17.25" customHeight="1">
      <c r="A472" s="973" t="n"/>
      <c r="B472" s="971" t="n"/>
      <c r="C472" s="972" t="n"/>
      <c r="D472" s="973" t="n"/>
      <c r="E472" s="973" t="n"/>
      <c r="F472" s="994" t="n"/>
      <c r="G472" s="994" t="n"/>
      <c r="H472" s="973" t="n"/>
      <c r="I472" s="973" t="n"/>
      <c r="J472" s="973" t="n"/>
      <c r="K472" s="973" t="n"/>
      <c r="L472" s="253" t="n">
        <v>671</v>
      </c>
      <c r="M472" s="254" t="inlineStr">
        <is>
          <t>AROLE197AB</t>
        </is>
      </c>
      <c r="N472" s="254" t="inlineStr">
        <is>
          <t>Glaxo SmithKline</t>
        </is>
      </c>
      <c r="O472" s="1183" t="inlineStr">
        <is>
          <t>28/02/2027</t>
        </is>
      </c>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73" t="n"/>
      <c r="E473" s="973" t="n"/>
      <c r="F473" s="994" t="n"/>
      <c r="G473" s="994" t="n"/>
      <c r="H473" s="973" t="n"/>
      <c r="I473" s="973" t="n"/>
      <c r="J473" s="973" t="n"/>
      <c r="K473" s="973" t="n"/>
      <c r="L473" s="253" t="n">
        <v>42</v>
      </c>
      <c r="M473" s="254" t="inlineStr">
        <is>
          <t>AROLE075AA</t>
        </is>
      </c>
      <c r="N473" s="254" t="inlineStr">
        <is>
          <t>Glaxo SmithKline</t>
        </is>
      </c>
      <c r="O473" s="1183" t="inlineStr">
        <is>
          <t>31/10/2026</t>
        </is>
      </c>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73" t="n"/>
      <c r="E474" s="973" t="n"/>
      <c r="F474" s="994" t="n"/>
      <c r="G474" s="994" t="n"/>
      <c r="H474" s="973" t="n"/>
      <c r="I474" s="973" t="n"/>
      <c r="J474" s="973" t="n"/>
      <c r="K474" s="973" t="n"/>
      <c r="L474" s="253" t="n"/>
      <c r="M474" s="254" t="n"/>
      <c r="N474" s="254" t="n"/>
      <c r="O474" s="1183" t="n"/>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73" t="n"/>
      <c r="E475" s="973" t="n"/>
      <c r="F475" s="994" t="n"/>
      <c r="G475" s="994" t="n"/>
      <c r="H475" s="973" t="n"/>
      <c r="I475" s="973" t="n"/>
      <c r="J475" s="973" t="n"/>
      <c r="K475" s="975" t="n"/>
      <c r="L475" s="253" t="n"/>
      <c r="M475" s="254" t="n"/>
      <c r="N475" s="254" t="n"/>
      <c r="O475" s="1183" t="n"/>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75" t="n"/>
      <c r="E476" s="975" t="n"/>
      <c r="F476" s="998" t="n"/>
      <c r="G476" s="998" t="n"/>
      <c r="H476" s="975" t="n"/>
      <c r="I476" s="975" t="n"/>
      <c r="J476" s="975" t="n"/>
      <c r="K476" s="1189">
        <f>K471=L476</f>
        <v/>
      </c>
      <c r="L476" s="491">
        <f>SUM(L471:L475)</f>
        <v/>
      </c>
      <c r="M476" s="1190" t="inlineStr">
        <is>
          <t xml:space="preserve">“Verdadero” indica que la cantidad por lote, coincide con el saldo que inicia al mes siguiente. "Falso" no coinicide. </t>
        </is>
      </c>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413">
        <f>ENERO!K477</f>
        <v/>
      </c>
      <c r="E477" s="339">
        <f>H73</f>
        <v/>
      </c>
      <c r="F477" s="338" t="n">
        <v>1768</v>
      </c>
      <c r="G477" s="338" t="n">
        <v>15</v>
      </c>
      <c r="H477" s="1235">
        <f>+F477+G477</f>
        <v/>
      </c>
      <c r="I477" s="340">
        <f>+AM477</f>
        <v/>
      </c>
      <c r="J477" s="341">
        <f>+H477+I477</f>
        <v/>
      </c>
      <c r="K477" s="583">
        <f>+(D477+E477)-(J477)</f>
        <v/>
      </c>
      <c r="L477" s="253" t="n">
        <v>1475</v>
      </c>
      <c r="M477" s="254" t="inlineStr">
        <is>
          <t>LK3156</t>
        </is>
      </c>
      <c r="N477" s="254" t="inlineStr">
        <is>
          <t>PFIZER</t>
        </is>
      </c>
      <c r="O477" s="1183" t="inlineStr">
        <is>
          <t>31/05/2027</t>
        </is>
      </c>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v>0</v>
      </c>
      <c r="AA477" s="648" t="n">
        <v>0</v>
      </c>
      <c r="AB477" s="649">
        <f>+Z477+AA477</f>
        <v/>
      </c>
      <c r="AC477" s="648" t="n">
        <v>0</v>
      </c>
      <c r="AD477" s="648" t="n">
        <v>0</v>
      </c>
      <c r="AE477" s="648" t="n">
        <v>0</v>
      </c>
      <c r="AF477" s="648" t="n">
        <v>0</v>
      </c>
      <c r="AG477" s="648" t="n">
        <v>0</v>
      </c>
      <c r="AH477" s="648" t="n">
        <v>0</v>
      </c>
      <c r="AI477" s="648" t="n">
        <v>0</v>
      </c>
      <c r="AJ477" s="648" t="n">
        <v>0</v>
      </c>
      <c r="AK477" s="648" t="n">
        <v>0</v>
      </c>
      <c r="AL477" s="648" t="n">
        <v>0</v>
      </c>
      <c r="AM477" s="421">
        <f>SUM(AB477:AL481)</f>
        <v/>
      </c>
      <c r="AN477" s="726" t="n"/>
      <c r="AQ477" s="1238">
        <f>IFERROR(I477/J477*100,"0")</f>
        <v/>
      </c>
      <c r="AR477" s="343">
        <f>IFERROR(1/(1-(AQ477/100)),"0")</f>
        <v/>
      </c>
      <c r="AS477" s="1239" t="n">
        <v>0</v>
      </c>
      <c r="AT477" s="345" t="n">
        <v>1</v>
      </c>
      <c r="AU477" s="1240" t="n"/>
      <c r="AV477" s="1241" t="n"/>
      <c r="AW477" s="1242">
        <f>+H477-AV477</f>
        <v/>
      </c>
    </row>
    <row r="478" ht="17.25" customHeight="1">
      <c r="A478" s="973" t="n"/>
      <c r="B478" s="971" t="n"/>
      <c r="C478" s="972" t="n"/>
      <c r="D478" s="973" t="n"/>
      <c r="E478" s="973" t="n"/>
      <c r="F478" s="994" t="n"/>
      <c r="G478" s="994" t="n"/>
      <c r="H478" s="973" t="n"/>
      <c r="I478" s="973" t="n"/>
      <c r="J478" s="973" t="n"/>
      <c r="K478" s="973" t="n"/>
      <c r="L478" s="253" t="n">
        <v>357</v>
      </c>
      <c r="M478" s="254" t="inlineStr">
        <is>
          <t>LK3152</t>
        </is>
      </c>
      <c r="N478" s="254" t="inlineStr">
        <is>
          <t>PFIZER</t>
        </is>
      </c>
      <c r="O478" s="1183" t="inlineStr">
        <is>
          <t>31/05/2027</t>
        </is>
      </c>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73" t="n"/>
      <c r="E479" s="973" t="n"/>
      <c r="F479" s="994" t="n"/>
      <c r="G479" s="994" t="n"/>
      <c r="H479" s="973" t="n"/>
      <c r="I479" s="973" t="n"/>
      <c r="J479" s="973" t="n"/>
      <c r="K479" s="973" t="n"/>
      <c r="L479" s="253" t="n">
        <v>240</v>
      </c>
      <c r="M479" s="254" t="inlineStr">
        <is>
          <t>HW2963</t>
        </is>
      </c>
      <c r="N479" s="254" t="inlineStr">
        <is>
          <t>PFIZER</t>
        </is>
      </c>
      <c r="O479" s="1183" t="inlineStr">
        <is>
          <t>30/11/2026</t>
        </is>
      </c>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73" t="n"/>
      <c r="E480" s="973" t="n"/>
      <c r="F480" s="994" t="n"/>
      <c r="G480" s="994" t="n"/>
      <c r="H480" s="973" t="n"/>
      <c r="I480" s="973" t="n"/>
      <c r="J480" s="973" t="n"/>
      <c r="K480" s="973" t="n"/>
      <c r="L480" s="253" t="n"/>
      <c r="M480" s="254" t="n"/>
      <c r="N480" s="254" t="n"/>
      <c r="O480" s="1183" t="n"/>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73"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75" t="n"/>
      <c r="E482" s="975" t="n"/>
      <c r="F482" s="998" t="n"/>
      <c r="G482" s="998" t="n"/>
      <c r="H482" s="975" t="n"/>
      <c r="I482" s="975" t="n"/>
      <c r="J482" s="975" t="n"/>
      <c r="K482" s="1189">
        <f>K477=L482</f>
        <v/>
      </c>
      <c r="L482" s="491">
        <f>SUM(L477:L481)</f>
        <v/>
      </c>
      <c r="M482" s="1190" t="inlineStr">
        <is>
          <t xml:space="preserve">“Verdadero” indica que la cantidad por lote, coincide con el saldo que inicia al mes siguiente. "Falso" no coinicide. </t>
        </is>
      </c>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413">
        <f>ENERO!K483</f>
        <v/>
      </c>
      <c r="E483" s="339">
        <f>H79</f>
        <v/>
      </c>
      <c r="F483" s="338" t="n">
        <v>0</v>
      </c>
      <c r="G483" s="338" t="n">
        <v>0</v>
      </c>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v>0</v>
      </c>
      <c r="AA483" s="648" t="n">
        <v>0</v>
      </c>
      <c r="AB483" s="649">
        <f>+Z483+AA483</f>
        <v/>
      </c>
      <c r="AC483" s="648" t="n">
        <v>0</v>
      </c>
      <c r="AD483" s="648" t="n">
        <v>0</v>
      </c>
      <c r="AE483" s="648" t="n">
        <v>0</v>
      </c>
      <c r="AF483" s="648" t="n">
        <v>0</v>
      </c>
      <c r="AG483" s="648" t="n">
        <v>0</v>
      </c>
      <c r="AH483" s="648" t="n">
        <v>0</v>
      </c>
      <c r="AI483" s="648" t="n">
        <v>0</v>
      </c>
      <c r="AJ483" s="648" t="n">
        <v>0</v>
      </c>
      <c r="AK483" s="648" t="n">
        <v>0</v>
      </c>
      <c r="AL483" s="648" t="n">
        <v>0</v>
      </c>
      <c r="AM483" s="421">
        <f>SUM(AB483:AL487)</f>
        <v/>
      </c>
      <c r="AN483" s="726" t="n"/>
      <c r="AQ483" s="1238">
        <f>IFERROR(I483/J483*100,"0")</f>
        <v/>
      </c>
      <c r="AR483" s="343">
        <f>IFERROR(1/(1-(AQ483/100)),"0")</f>
        <v/>
      </c>
      <c r="AS483" s="1239" t="n">
        <v>0</v>
      </c>
      <c r="AT483" s="345" t="n">
        <v>1</v>
      </c>
      <c r="AU483" s="1240" t="n"/>
      <c r="AV483" s="1241" t="n"/>
      <c r="AW483" s="1242">
        <f>+H483-AV483</f>
        <v/>
      </c>
    </row>
    <row r="484" ht="17.25" customHeight="1">
      <c r="A484" s="973" t="n"/>
      <c r="B484" s="971" t="n"/>
      <c r="C484" s="972" t="n"/>
      <c r="D484" s="973"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73"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73"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73"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75" t="n"/>
      <c r="E488" s="975" t="n"/>
      <c r="F488" s="998" t="n"/>
      <c r="G488" s="998" t="n"/>
      <c r="H488" s="975" t="n"/>
      <c r="I488" s="975" t="n"/>
      <c r="J488" s="975" t="n"/>
      <c r="K488" s="1189">
        <f>K483=L488</f>
        <v/>
      </c>
      <c r="L488" s="491">
        <f>SUM(L483:L487)</f>
        <v/>
      </c>
      <c r="M488" s="1190" t="inlineStr">
        <is>
          <t xml:space="preserve">“Verdadero” indica que la cantidad por lote, coincide con el saldo que inicia al mes siguiente. "Falso" no coinicide. </t>
        </is>
      </c>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413">
        <f>ENERO!K489</f>
        <v/>
      </c>
      <c r="E489" s="339">
        <f>H85</f>
        <v/>
      </c>
      <c r="F489" s="338" t="n">
        <v>1474</v>
      </c>
      <c r="G489" s="338" t="n">
        <v>29</v>
      </c>
      <c r="H489" s="1235">
        <f>+F489+G489</f>
        <v/>
      </c>
      <c r="I489" s="340">
        <f>+AM489</f>
        <v/>
      </c>
      <c r="J489" s="341">
        <f>+H489+I489</f>
        <v/>
      </c>
      <c r="K489" s="583">
        <f>+(D489+E489)-(J489)</f>
        <v/>
      </c>
      <c r="L489" s="253" t="n">
        <v>2631</v>
      </c>
      <c r="M489" s="254" t="inlineStr">
        <is>
          <t>0133N146B</t>
        </is>
      </c>
      <c r="N489" s="254" t="inlineStr">
        <is>
          <t>Serum</t>
        </is>
      </c>
      <c r="O489" s="1183" t="inlineStr">
        <is>
          <t>30/09/2026</t>
        </is>
      </c>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v>0</v>
      </c>
      <c r="AA489" s="648" t="n">
        <v>0</v>
      </c>
      <c r="AB489" s="649">
        <f>+Z489+AA489</f>
        <v/>
      </c>
      <c r="AC489" s="648" t="n">
        <v>0</v>
      </c>
      <c r="AD489" s="648" t="n">
        <v>0</v>
      </c>
      <c r="AE489" s="648" t="n">
        <v>1</v>
      </c>
      <c r="AF489" s="648" t="n">
        <v>1</v>
      </c>
      <c r="AG489" s="648" t="n">
        <v>17</v>
      </c>
      <c r="AH489" s="648" t="n">
        <v>0</v>
      </c>
      <c r="AI489" s="648" t="n">
        <v>0</v>
      </c>
      <c r="AJ489" s="648" t="n">
        <v>0</v>
      </c>
      <c r="AK489" s="648" t="n">
        <v>0</v>
      </c>
      <c r="AL489" s="648" t="n">
        <v>0</v>
      </c>
      <c r="AM489" s="421">
        <f>SUM(AB489:AL493)</f>
        <v/>
      </c>
      <c r="AN489" s="726" t="n"/>
      <c r="AQ489" s="1238">
        <f>IFERROR(I489/J489*100,"0")</f>
        <v/>
      </c>
      <c r="AR489" s="343">
        <f>IFERROR(1/(1-(AQ489/100)),"0")</f>
        <v/>
      </c>
      <c r="AS489" s="1239" t="n">
        <v>0</v>
      </c>
      <c r="AT489" s="345" t="n">
        <v>1</v>
      </c>
      <c r="AU489" s="1240" t="n"/>
      <c r="AV489" s="1241" t="n"/>
      <c r="AW489" s="1242">
        <f>+H489-AV489</f>
        <v/>
      </c>
    </row>
    <row r="490" ht="17.25" customHeight="1">
      <c r="A490" s="973" t="n"/>
      <c r="B490" s="971" t="n"/>
      <c r="C490" s="972" t="n"/>
      <c r="D490" s="973" t="n"/>
      <c r="E490" s="973" t="n"/>
      <c r="F490" s="994" t="n"/>
      <c r="G490" s="994" t="n"/>
      <c r="H490" s="973" t="n"/>
      <c r="I490" s="973" t="n"/>
      <c r="J490" s="973" t="n"/>
      <c r="K490" s="973" t="n"/>
      <c r="L490" s="253" t="n">
        <v>60</v>
      </c>
      <c r="M490" s="254" t="inlineStr">
        <is>
          <t>0133N140B</t>
        </is>
      </c>
      <c r="N490" s="254" t="inlineStr">
        <is>
          <t>Serum</t>
        </is>
      </c>
      <c r="O490" s="1183" t="inlineStr">
        <is>
          <t>31/08/2026</t>
        </is>
      </c>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73" t="n"/>
      <c r="E491" s="973" t="n"/>
      <c r="F491" s="994" t="n"/>
      <c r="G491" s="994" t="n"/>
      <c r="H491" s="973" t="n"/>
      <c r="I491" s="973" t="n"/>
      <c r="J491" s="973" t="n"/>
      <c r="K491" s="973" t="n"/>
      <c r="L491" s="253" t="n"/>
      <c r="M491" s="254" t="n"/>
      <c r="N491" s="254" t="n"/>
      <c r="O491" s="1183" t="n"/>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73" t="n"/>
      <c r="E492" s="973" t="n"/>
      <c r="F492" s="994" t="n"/>
      <c r="G492" s="994" t="n"/>
      <c r="H492" s="973" t="n"/>
      <c r="I492" s="973" t="n"/>
      <c r="J492" s="973" t="n"/>
      <c r="K492" s="973" t="n"/>
      <c r="L492" s="253" t="n"/>
      <c r="M492" s="254" t="n"/>
      <c r="N492" s="254" t="n"/>
      <c r="O492" s="1183" t="n"/>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73"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75" t="n"/>
      <c r="E494" s="975" t="n"/>
      <c r="F494" s="998" t="n"/>
      <c r="G494" s="998" t="n"/>
      <c r="H494" s="975" t="n"/>
      <c r="I494" s="975" t="n"/>
      <c r="J494" s="975" t="n"/>
      <c r="K494" s="1189">
        <f>K489=L494</f>
        <v/>
      </c>
      <c r="L494" s="491">
        <f>SUM(L489:L493)</f>
        <v/>
      </c>
      <c r="M494" s="1190" t="inlineStr">
        <is>
          <t xml:space="preserve">“Verdadero” indica que la cantidad por lote, coincide con el saldo que inicia al mes siguiente. "Falso" no coinicide. </t>
        </is>
      </c>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413">
        <f>ENERO!K495</f>
        <v/>
      </c>
      <c r="E495" s="339">
        <f>H91</f>
        <v/>
      </c>
      <c r="F495" s="338" t="n">
        <v>0</v>
      </c>
      <c r="G495" s="338" t="n">
        <v>0</v>
      </c>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v>0</v>
      </c>
      <c r="AA495" s="648" t="n">
        <v>0</v>
      </c>
      <c r="AB495" s="649">
        <f>+Z495+AA495</f>
        <v/>
      </c>
      <c r="AC495" s="648" t="n">
        <v>0</v>
      </c>
      <c r="AD495" s="648" t="n">
        <v>0</v>
      </c>
      <c r="AE495" s="648" t="n">
        <v>0</v>
      </c>
      <c r="AF495" s="648" t="n">
        <v>0</v>
      </c>
      <c r="AG495" s="648" t="n">
        <v>0</v>
      </c>
      <c r="AH495" s="648" t="n">
        <v>0</v>
      </c>
      <c r="AI495" s="648" t="n">
        <v>0</v>
      </c>
      <c r="AJ495" s="648" t="n">
        <v>0</v>
      </c>
      <c r="AK495" s="648" t="n">
        <v>0</v>
      </c>
      <c r="AL495" s="648" t="n">
        <v>0</v>
      </c>
      <c r="AM495" s="421">
        <f>SUM(AB495:AL499)</f>
        <v/>
      </c>
      <c r="AN495" s="726" t="n"/>
      <c r="AQ495" s="1238">
        <f>IFERROR(I495/J495*100,"0")</f>
        <v/>
      </c>
      <c r="AR495" s="343">
        <f>IFERROR(1/(1-(AQ495/100)),"0")</f>
        <v/>
      </c>
      <c r="AS495" s="1239" t="n">
        <v>25</v>
      </c>
      <c r="AT495" s="345" t="n">
        <v>5</v>
      </c>
      <c r="AU495" s="1240" t="n"/>
      <c r="AV495" s="1241" t="n"/>
      <c r="AW495" s="1242">
        <f>+H495-AV495</f>
        <v/>
      </c>
    </row>
    <row r="496" ht="17.25" customHeight="1">
      <c r="A496" s="973" t="n"/>
      <c r="B496" s="971" t="n"/>
      <c r="C496" s="972" t="n"/>
      <c r="D496" s="973"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73"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73"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73"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75" t="n"/>
      <c r="E500" s="975" t="n"/>
      <c r="F500" s="998" t="n"/>
      <c r="G500" s="998" t="n"/>
      <c r="H500" s="975" t="n"/>
      <c r="I500" s="975" t="n"/>
      <c r="J500" s="975" t="n"/>
      <c r="K500" s="1189">
        <f>K495=L500</f>
        <v/>
      </c>
      <c r="L500" s="491">
        <f>SUM(L495:L499)</f>
        <v/>
      </c>
      <c r="M500" s="1190" t="inlineStr">
        <is>
          <t xml:space="preserve">“Verdadero” indica que la cantidad por lote, coincide con el saldo que inicia al mes siguiente. "Falso" no coinicide. </t>
        </is>
      </c>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413">
        <f>ENERO!K501</f>
        <v/>
      </c>
      <c r="E501" s="339">
        <f>H97</f>
        <v/>
      </c>
      <c r="F501" s="338" t="n">
        <v>0</v>
      </c>
      <c r="G501" s="338" t="n">
        <v>0</v>
      </c>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v>0</v>
      </c>
      <c r="AA501" s="648" t="n">
        <v>0</v>
      </c>
      <c r="AB501" s="649">
        <f>+Z501+AA501</f>
        <v/>
      </c>
      <c r="AC501" s="648" t="n">
        <v>0</v>
      </c>
      <c r="AD501" s="648" t="n">
        <v>0</v>
      </c>
      <c r="AE501" s="648" t="n">
        <v>0</v>
      </c>
      <c r="AF501" s="648" t="n">
        <v>0</v>
      </c>
      <c r="AG501" s="648" t="n">
        <v>0</v>
      </c>
      <c r="AH501" s="648" t="n">
        <v>0</v>
      </c>
      <c r="AI501" s="648" t="n">
        <v>0</v>
      </c>
      <c r="AJ501" s="648" t="n">
        <v>0</v>
      </c>
      <c r="AK501" s="648" t="n">
        <v>0</v>
      </c>
      <c r="AL501" s="648" t="n">
        <v>0</v>
      </c>
      <c r="AM501" s="421">
        <f>SUM(AB501:AL505)</f>
        <v/>
      </c>
      <c r="AN501" s="726" t="n"/>
      <c r="AQ501" s="1238">
        <f>IFERROR(I501/J501*100,"0")</f>
        <v/>
      </c>
      <c r="AR501" s="343">
        <f>IFERROR(1/(1-(AQ501/100)),"0")</f>
        <v/>
      </c>
      <c r="AS501" s="1239" t="n">
        <v>30</v>
      </c>
      <c r="AT501" s="345" t="n">
        <v>10</v>
      </c>
      <c r="AU501" s="1240" t="n"/>
      <c r="AV501" s="1241" t="n"/>
      <c r="AW501" s="1242">
        <f>+H501-AV501</f>
        <v/>
      </c>
    </row>
    <row r="502" ht="17.25" customHeight="1">
      <c r="A502" s="973" t="n"/>
      <c r="B502" s="971" t="n"/>
      <c r="C502" s="972" t="n"/>
      <c r="D502" s="973"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73"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73"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73"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75" t="n"/>
      <c r="E506" s="975" t="n"/>
      <c r="F506" s="998" t="n"/>
      <c r="G506" s="998" t="n"/>
      <c r="H506" s="975" t="n"/>
      <c r="I506" s="975" t="n"/>
      <c r="J506" s="975" t="n"/>
      <c r="K506" s="1189">
        <f>K501=L506</f>
        <v/>
      </c>
      <c r="L506" s="491">
        <f>SUM(L501:L505)</f>
        <v/>
      </c>
      <c r="M506" s="1190" t="inlineStr">
        <is>
          <t xml:space="preserve">“Verdadero” indica que la cantidad por lote, coincide con el saldo que inicia al mes siguiente. "Falso" no coinicide. </t>
        </is>
      </c>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413">
        <f>ENERO!K507</f>
        <v/>
      </c>
      <c r="E507" s="339">
        <f>H103</f>
        <v/>
      </c>
      <c r="F507" s="338" t="n">
        <v>1067</v>
      </c>
      <c r="G507" s="338" t="n">
        <v>9</v>
      </c>
      <c r="H507" s="1235">
        <f>+F507+G507</f>
        <v/>
      </c>
      <c r="I507" s="340">
        <f>+AM507</f>
        <v/>
      </c>
      <c r="J507" s="341">
        <f>+H507+I507</f>
        <v/>
      </c>
      <c r="K507" s="583">
        <f>+(D507+E507)-(J507)</f>
        <v/>
      </c>
      <c r="L507" s="253" t="n">
        <v>332</v>
      </c>
      <c r="M507" s="254" t="inlineStr">
        <is>
          <t>0094W002</t>
        </is>
      </c>
      <c r="N507" s="254" t="inlineStr">
        <is>
          <t>Serum</t>
        </is>
      </c>
      <c r="O507" s="1183" t="inlineStr">
        <is>
          <t>30/11/2026</t>
        </is>
      </c>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v>0</v>
      </c>
      <c r="AA507" s="648" t="n">
        <v>0</v>
      </c>
      <c r="AB507" s="649">
        <f>+Z507+AA507</f>
        <v/>
      </c>
      <c r="AC507" s="648" t="n">
        <v>0</v>
      </c>
      <c r="AD507" s="648" t="n">
        <v>0</v>
      </c>
      <c r="AE507" s="648" t="n">
        <v>0</v>
      </c>
      <c r="AF507" s="648" t="n">
        <v>0</v>
      </c>
      <c r="AG507" s="648" t="n">
        <v>0</v>
      </c>
      <c r="AH507" s="648" t="n">
        <v>0</v>
      </c>
      <c r="AI507" s="648" t="n">
        <v>0</v>
      </c>
      <c r="AJ507" s="648" t="n">
        <v>0</v>
      </c>
      <c r="AK507" s="648" t="n">
        <v>0</v>
      </c>
      <c r="AL507" s="648" t="n">
        <v>0</v>
      </c>
      <c r="AM507" s="421">
        <f>SUM(AB507:AL511)</f>
        <v/>
      </c>
      <c r="AN507" s="726" t="n"/>
      <c r="AQ507" s="1238">
        <f>IFERROR(I507/J507*100,"0")</f>
        <v/>
      </c>
      <c r="AR507" s="343">
        <f>IFERROR(1/(1-(AQ507/100)),"0")</f>
        <v/>
      </c>
      <c r="AS507" s="1239" t="n">
        <v>0</v>
      </c>
      <c r="AT507" s="345" t="n">
        <v>1</v>
      </c>
      <c r="AU507" s="1240" t="n"/>
      <c r="AV507" s="1241" t="n"/>
      <c r="AW507" s="1242">
        <f>+H507-AV507</f>
        <v/>
      </c>
    </row>
    <row r="508" ht="17.25" customHeight="1">
      <c r="A508" s="973" t="n"/>
      <c r="B508" s="971" t="n"/>
      <c r="C508" s="972" t="n"/>
      <c r="D508" s="973" t="n"/>
      <c r="E508" s="973" t="n"/>
      <c r="F508" s="994" t="n"/>
      <c r="G508" s="994" t="n"/>
      <c r="H508" s="973" t="n"/>
      <c r="I508" s="973" t="n"/>
      <c r="J508" s="973" t="n"/>
      <c r="K508" s="973" t="n"/>
      <c r="L508" s="253" t="n">
        <v>754</v>
      </c>
      <c r="M508" s="254" t="inlineStr">
        <is>
          <t>0094W003</t>
        </is>
      </c>
      <c r="N508" s="254" t="inlineStr">
        <is>
          <t>Serum</t>
        </is>
      </c>
      <c r="O508" s="1183" t="inlineStr">
        <is>
          <t>31/01/2027</t>
        </is>
      </c>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73" t="n"/>
      <c r="E509" s="973" t="n"/>
      <c r="F509" s="994" t="n"/>
      <c r="G509" s="994" t="n"/>
      <c r="H509" s="973" t="n"/>
      <c r="I509" s="973" t="n"/>
      <c r="J509" s="973" t="n"/>
      <c r="K509" s="973" t="n"/>
      <c r="L509" s="253" t="n">
        <v>71</v>
      </c>
      <c r="M509" s="254" t="inlineStr">
        <is>
          <t>0133N146B</t>
        </is>
      </c>
      <c r="N509" s="254" t="inlineStr">
        <is>
          <t>Serum</t>
        </is>
      </c>
      <c r="O509" s="1183" t="inlineStr">
        <is>
          <t>30/09/2026</t>
        </is>
      </c>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73" t="n"/>
      <c r="E510" s="973" t="n"/>
      <c r="F510" s="994" t="n"/>
      <c r="G510" s="994" t="n"/>
      <c r="H510" s="973" t="n"/>
      <c r="I510" s="973" t="n"/>
      <c r="J510" s="973" t="n"/>
      <c r="K510" s="973" t="n"/>
      <c r="L510" s="253" t="n"/>
      <c r="M510" s="254" t="n"/>
      <c r="N510" s="254" t="n"/>
      <c r="O510" s="1183" t="n"/>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73" t="n"/>
      <c r="E511" s="973" t="n"/>
      <c r="F511" s="994" t="n"/>
      <c r="G511" s="994" t="n"/>
      <c r="H511" s="973" t="n"/>
      <c r="I511" s="973" t="n"/>
      <c r="J511" s="973" t="n"/>
      <c r="K511" s="975" t="n"/>
      <c r="L511" s="253" t="n"/>
      <c r="M511" s="254" t="n"/>
      <c r="N511" s="254" t="n"/>
      <c r="O511" s="1183" t="n"/>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75" t="n"/>
      <c r="E512" s="975" t="n"/>
      <c r="F512" s="998" t="n"/>
      <c r="G512" s="998" t="n"/>
      <c r="H512" s="975" t="n"/>
      <c r="I512" s="975" t="n"/>
      <c r="J512" s="975" t="n"/>
      <c r="K512" s="1189">
        <f>K507=L512</f>
        <v/>
      </c>
      <c r="L512" s="491">
        <f>SUM(L507:L511)</f>
        <v/>
      </c>
      <c r="M512" s="1190" t="inlineStr">
        <is>
          <t xml:space="preserve">“Verdadero” indica que la cantidad por lote, coincide con el saldo que inicia al mes siguiente. "Falso" no coinicide. </t>
        </is>
      </c>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413">
        <f>ENERO!K513</f>
        <v/>
      </c>
      <c r="E513" s="339">
        <f>H109</f>
        <v/>
      </c>
      <c r="F513" s="338" t="n">
        <v>0</v>
      </c>
      <c r="G513" s="338" t="n">
        <v>0</v>
      </c>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v>0</v>
      </c>
      <c r="AA513" s="648" t="n">
        <v>0</v>
      </c>
      <c r="AB513" s="649">
        <f>+Z513+AA513</f>
        <v/>
      </c>
      <c r="AC513" s="648" t="n">
        <v>0</v>
      </c>
      <c r="AD513" s="648" t="n">
        <v>0</v>
      </c>
      <c r="AE513" s="648" t="n">
        <v>0</v>
      </c>
      <c r="AF513" s="648" t="n">
        <v>0</v>
      </c>
      <c r="AG513" s="648" t="n">
        <v>0</v>
      </c>
      <c r="AH513" s="648" t="n">
        <v>0</v>
      </c>
      <c r="AI513" s="648" t="n">
        <v>0</v>
      </c>
      <c r="AJ513" s="648" t="n">
        <v>0</v>
      </c>
      <c r="AK513" s="648" t="n">
        <v>0</v>
      </c>
      <c r="AL513" s="648" t="n">
        <v>0</v>
      </c>
      <c r="AM513" s="421">
        <f>SUM(AB513:AL517)</f>
        <v/>
      </c>
      <c r="AN513" s="726" t="n"/>
      <c r="AQ513" s="1238">
        <f>IFERROR(I513/J513*100,"0")</f>
        <v/>
      </c>
      <c r="AR513" s="343">
        <f>IFERROR(1/(1-(AQ513/100)),"0")</f>
        <v/>
      </c>
      <c r="AS513" s="1239" t="n">
        <v>30</v>
      </c>
      <c r="AT513" s="345" t="n">
        <v>10</v>
      </c>
      <c r="AU513" s="1240" t="n"/>
      <c r="AV513" s="1241" t="n"/>
      <c r="AW513" s="1242">
        <f>+H513-AV513</f>
        <v/>
      </c>
    </row>
    <row r="514" ht="17.25" customHeight="1">
      <c r="A514" s="973" t="n"/>
      <c r="B514" s="971" t="n"/>
      <c r="C514" s="972" t="n"/>
      <c r="D514" s="973"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73"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73"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73"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75" t="n"/>
      <c r="E518" s="975" t="n"/>
      <c r="F518" s="998" t="n"/>
      <c r="G518" s="998" t="n"/>
      <c r="H518" s="975" t="n"/>
      <c r="I518" s="975" t="n"/>
      <c r="J518" s="975" t="n"/>
      <c r="K518" s="1189">
        <f>K513=L518</f>
        <v/>
      </c>
      <c r="L518" s="491">
        <f>SUM(L513:L517)</f>
        <v/>
      </c>
      <c r="M518" s="1190" t="inlineStr">
        <is>
          <t xml:space="preserve">“Verdadero” indica que la cantidad por lote, coincide con el saldo que inicia al mes siguiente. "Falso" no coinicide. </t>
        </is>
      </c>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413">
        <f>ENERO!K519</f>
        <v/>
      </c>
      <c r="E519" s="339">
        <f>H115</f>
        <v/>
      </c>
      <c r="F519" s="338" t="n">
        <v>0</v>
      </c>
      <c r="G519" s="338" t="n">
        <v>0</v>
      </c>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v>0</v>
      </c>
      <c r="AA519" s="648" t="n">
        <v>0</v>
      </c>
      <c r="AB519" s="649">
        <f>+Z519+AA519</f>
        <v/>
      </c>
      <c r="AC519" s="648" t="n">
        <v>0</v>
      </c>
      <c r="AD519" s="648" t="n">
        <v>0</v>
      </c>
      <c r="AE519" s="648" t="n">
        <v>0</v>
      </c>
      <c r="AF519" s="648" t="n">
        <v>0</v>
      </c>
      <c r="AG519" s="648" t="n">
        <v>0</v>
      </c>
      <c r="AH519" s="648" t="n">
        <v>0</v>
      </c>
      <c r="AI519" s="648" t="n">
        <v>0</v>
      </c>
      <c r="AJ519" s="648" t="n">
        <v>0</v>
      </c>
      <c r="AK519" s="648" t="n">
        <v>0</v>
      </c>
      <c r="AL519" s="648" t="n">
        <v>0</v>
      </c>
      <c r="AM519" s="421">
        <f>SUM(AB519:AL523)</f>
        <v/>
      </c>
      <c r="AN519" s="726" t="n"/>
      <c r="AQ519" s="1238">
        <f>IFERROR(I519/J519*100,"0")</f>
        <v/>
      </c>
      <c r="AR519" s="343">
        <f>IFERROR(1/(1-(AQ519/100)),"0")</f>
        <v/>
      </c>
      <c r="AS519" s="1239" t="n">
        <v>0</v>
      </c>
      <c r="AT519" s="345" t="n">
        <v>1</v>
      </c>
      <c r="AU519" s="1240" t="n"/>
      <c r="AV519" s="1241" t="n"/>
      <c r="AW519" s="1242">
        <f>+H519-AV519</f>
        <v/>
      </c>
    </row>
    <row r="520" ht="17.25" customHeight="1">
      <c r="A520" s="973" t="n"/>
      <c r="B520" s="971" t="n"/>
      <c r="C520" s="972" t="n"/>
      <c r="D520" s="973"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73"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73"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73"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75" t="n"/>
      <c r="E524" s="975" t="n"/>
      <c r="F524" s="998" t="n"/>
      <c r="G524" s="998" t="n"/>
      <c r="H524" s="975" t="n"/>
      <c r="I524" s="975" t="n"/>
      <c r="J524" s="975" t="n"/>
      <c r="K524" s="1189">
        <f>K519=L524</f>
        <v/>
      </c>
      <c r="L524" s="491">
        <f>SUM(L519:L523)</f>
        <v/>
      </c>
      <c r="M524" s="1190" t="inlineStr">
        <is>
          <t xml:space="preserve">“Verdadero” indica que la cantidad por lote, coincide con el saldo que inicia al mes siguiente. "Falso" no coinicide. </t>
        </is>
      </c>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413">
        <f>ENERO!K525</f>
        <v/>
      </c>
      <c r="E525" s="339">
        <f>H121</f>
        <v/>
      </c>
      <c r="F525" s="338" t="n">
        <v>2765</v>
      </c>
      <c r="G525" s="338" t="n">
        <v>41</v>
      </c>
      <c r="H525" s="1235">
        <f>+F525+G525</f>
        <v/>
      </c>
      <c r="I525" s="340">
        <f>+AM525</f>
        <v/>
      </c>
      <c r="J525" s="341">
        <f>+H525+I525</f>
        <v/>
      </c>
      <c r="K525" s="583">
        <f>+(D525+E525)-(J525)</f>
        <v/>
      </c>
      <c r="L525" s="253" t="n">
        <v>127</v>
      </c>
      <c r="M525" s="254" t="inlineStr">
        <is>
          <t>318</t>
        </is>
      </c>
      <c r="N525" s="254" t="inlineStr">
        <is>
          <t>CHUMAKOV</t>
        </is>
      </c>
      <c r="O525" s="1183" t="inlineStr">
        <is>
          <t>31/05/2027</t>
        </is>
      </c>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v>2465</v>
      </c>
      <c r="AA525" s="648" t="n">
        <v>1065</v>
      </c>
      <c r="AB525" s="649">
        <f>+Z525+AA525</f>
        <v/>
      </c>
      <c r="AC525" s="648" t="n">
        <v>0</v>
      </c>
      <c r="AD525" s="648" t="n">
        <v>0</v>
      </c>
      <c r="AE525" s="648" t="n">
        <v>0</v>
      </c>
      <c r="AF525" s="648" t="n">
        <v>0</v>
      </c>
      <c r="AG525" s="648" t="n">
        <v>0</v>
      </c>
      <c r="AH525" s="648" t="n">
        <v>0</v>
      </c>
      <c r="AI525" s="648" t="n">
        <v>0</v>
      </c>
      <c r="AJ525" s="648" t="n">
        <v>0</v>
      </c>
      <c r="AK525" s="648" t="n">
        <v>0</v>
      </c>
      <c r="AL525" s="648" t="n">
        <v>0</v>
      </c>
      <c r="AM525" s="421">
        <f>SUM(AB525:AL529)</f>
        <v/>
      </c>
      <c r="AN525" s="726" t="n"/>
      <c r="AQ525" s="1238">
        <f>IFERROR(I525/J525*100,"0")</f>
        <v/>
      </c>
      <c r="AR525" s="343">
        <f>IFERROR(1/(1-(AQ525/100)),"0")</f>
        <v/>
      </c>
      <c r="AS525" s="1239" t="n">
        <v>70</v>
      </c>
      <c r="AT525" s="345" t="n">
        <v>10</v>
      </c>
      <c r="AU525" s="1240" t="n"/>
      <c r="AV525" s="1241" t="n"/>
      <c r="AW525" s="1242">
        <f>+H525-AV525</f>
        <v/>
      </c>
    </row>
    <row r="526" ht="17.25" customHeight="1">
      <c r="A526" s="973" t="n"/>
      <c r="B526" s="971" t="n"/>
      <c r="C526" s="972" t="n"/>
      <c r="D526" s="973" t="n"/>
      <c r="E526" s="973" t="n"/>
      <c r="F526" s="994" t="n"/>
      <c r="G526" s="994" t="n"/>
      <c r="H526" s="973" t="n"/>
      <c r="I526" s="973" t="n"/>
      <c r="J526" s="973" t="n"/>
      <c r="K526" s="973" t="n"/>
      <c r="L526" s="253" t="n">
        <v>20</v>
      </c>
      <c r="M526" s="254" t="inlineStr">
        <is>
          <t>Y3D18</t>
        </is>
      </c>
      <c r="N526" s="254" t="inlineStr">
        <is>
          <t>Sanofi Pasteur</t>
        </is>
      </c>
      <c r="O526" s="1183" t="inlineStr">
        <is>
          <t>30/04/2027</t>
        </is>
      </c>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73" t="n"/>
      <c r="E527" s="973" t="n"/>
      <c r="F527" s="994" t="n"/>
      <c r="G527" s="994" t="n"/>
      <c r="H527" s="973" t="n"/>
      <c r="I527" s="973" t="n"/>
      <c r="J527" s="973" t="n"/>
      <c r="K527" s="973" t="n"/>
      <c r="L527" s="253" t="n">
        <v>22677</v>
      </c>
      <c r="M527" s="254" t="inlineStr">
        <is>
          <t>Y3D32</t>
        </is>
      </c>
      <c r="N527" s="254" t="inlineStr">
        <is>
          <t>Sanofi Pasteur</t>
        </is>
      </c>
      <c r="O527" s="1183" t="inlineStr">
        <is>
          <t>30/04/2027</t>
        </is>
      </c>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73" t="n"/>
      <c r="E528" s="973" t="n"/>
      <c r="F528" s="994" t="n"/>
      <c r="G528" s="994" t="n"/>
      <c r="H528" s="973" t="n"/>
      <c r="I528" s="973" t="n"/>
      <c r="J528" s="973" t="n"/>
      <c r="K528" s="973" t="n"/>
      <c r="L528" s="253" t="n">
        <v>10</v>
      </c>
      <c r="M528" s="254" t="inlineStr">
        <is>
          <t>Y4X16</t>
        </is>
      </c>
      <c r="N528" s="254" t="inlineStr">
        <is>
          <t>Sanofi Pasteur</t>
        </is>
      </c>
      <c r="O528" s="1183" t="inlineStr">
        <is>
          <t>30/06/2027</t>
        </is>
      </c>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73" t="n"/>
      <c r="E529" s="973" t="n"/>
      <c r="F529" s="994" t="n"/>
      <c r="G529" s="994" t="n"/>
      <c r="H529" s="973" t="n"/>
      <c r="I529" s="973" t="n"/>
      <c r="J529" s="973" t="n"/>
      <c r="K529" s="975" t="n"/>
      <c r="L529" s="253" t="n">
        <v>992</v>
      </c>
      <c r="M529" s="254" t="n"/>
      <c r="N529" s="254" t="n"/>
      <c r="O529" s="1183" t="n"/>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75" t="n"/>
      <c r="E530" s="975" t="n"/>
      <c r="F530" s="998" t="n"/>
      <c r="G530" s="998" t="n"/>
      <c r="H530" s="975" t="n"/>
      <c r="I530" s="975" t="n"/>
      <c r="J530" s="975" t="n"/>
      <c r="K530" s="1189">
        <f>K525=L530</f>
        <v/>
      </c>
      <c r="L530" s="491">
        <f>SUM(L525:L529)</f>
        <v/>
      </c>
      <c r="M530" s="1190" t="inlineStr">
        <is>
          <t xml:space="preserve">“Verdadero” indica que la cantidad por lote, coincide con el saldo que inicia al mes siguiente. "Falso" no coinicide. </t>
        </is>
      </c>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413">
        <f>ENERO!K531</f>
        <v/>
      </c>
      <c r="E531" s="339">
        <f>H127</f>
        <v/>
      </c>
      <c r="F531" s="338" t="n">
        <v>632</v>
      </c>
      <c r="G531" s="338" t="n">
        <v>18</v>
      </c>
      <c r="H531" s="1235">
        <f>+F531+G531</f>
        <v/>
      </c>
      <c r="I531" s="340">
        <f>+AM531</f>
        <v/>
      </c>
      <c r="J531" s="341">
        <f>+H531+I531</f>
        <v/>
      </c>
      <c r="K531" s="583">
        <f>+(D531+E531)-(J531)</f>
        <v/>
      </c>
      <c r="L531" s="253" t="n">
        <v>1313</v>
      </c>
      <c r="M531" s="254" t="inlineStr">
        <is>
          <t>AB202403008</t>
        </is>
      </c>
      <c r="N531" s="254" t="inlineStr">
        <is>
          <t>Sinovac</t>
        </is>
      </c>
      <c r="O531" s="1183" t="inlineStr">
        <is>
          <t>04/09/2027</t>
        </is>
      </c>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v>0</v>
      </c>
      <c r="AA531" s="648" t="n">
        <v>0</v>
      </c>
      <c r="AB531" s="649">
        <f>+Z531+AA531</f>
        <v/>
      </c>
      <c r="AC531" s="648" t="n">
        <v>0</v>
      </c>
      <c r="AD531" s="648" t="n">
        <v>0</v>
      </c>
      <c r="AE531" s="648" t="n">
        <v>0</v>
      </c>
      <c r="AF531" s="648" t="n">
        <v>0</v>
      </c>
      <c r="AG531" s="648" t="n">
        <v>0</v>
      </c>
      <c r="AH531" s="648" t="n">
        <v>0</v>
      </c>
      <c r="AI531" s="648" t="n">
        <v>0</v>
      </c>
      <c r="AJ531" s="648" t="n">
        <v>0</v>
      </c>
      <c r="AK531" s="648" t="n">
        <v>0</v>
      </c>
      <c r="AL531" s="648" t="n">
        <v>0</v>
      </c>
      <c r="AM531" s="421">
        <f>SUM(AB531:AL535)</f>
        <v/>
      </c>
      <c r="AN531" s="726" t="n"/>
      <c r="AQ531" s="1238">
        <f>IFERROR(I531/J531*100,"0")</f>
        <v/>
      </c>
      <c r="AR531" s="343">
        <f>IFERROR(1/(1-(AQ531/100)),"0")</f>
        <v/>
      </c>
      <c r="AS531" s="1239" t="n">
        <v>0</v>
      </c>
      <c r="AT531" s="345" t="n">
        <v>1</v>
      </c>
      <c r="AU531" s="1240" t="n"/>
      <c r="AV531" s="1241" t="n"/>
      <c r="AW531" s="1242">
        <f>+H531-AV531</f>
        <v/>
      </c>
    </row>
    <row r="532" ht="17.25" customHeight="1">
      <c r="A532" s="973" t="n"/>
      <c r="B532" s="971" t="n"/>
      <c r="C532" s="972" t="n"/>
      <c r="D532" s="973" t="n"/>
      <c r="E532" s="973" t="n"/>
      <c r="F532" s="994" t="n"/>
      <c r="G532" s="994" t="n"/>
      <c r="H532" s="973" t="n"/>
      <c r="I532" s="973" t="n"/>
      <c r="J532" s="973" t="n"/>
      <c r="K532" s="973" t="n"/>
      <c r="L532" s="253" t="n">
        <v>225</v>
      </c>
      <c r="M532" s="254" t="inlineStr">
        <is>
          <t>AB202403009</t>
        </is>
      </c>
      <c r="N532" s="254" t="inlineStr">
        <is>
          <t>Sinovac</t>
        </is>
      </c>
      <c r="O532" s="1183" t="inlineStr">
        <is>
          <t>04/09/2027</t>
        </is>
      </c>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73" t="n"/>
      <c r="E533" s="973" t="n"/>
      <c r="F533" s="994" t="n"/>
      <c r="G533" s="994" t="n"/>
      <c r="H533" s="973" t="n"/>
      <c r="I533" s="973" t="n"/>
      <c r="J533" s="973" t="n"/>
      <c r="K533" s="973" t="n"/>
      <c r="L533" s="253" t="n">
        <v>655</v>
      </c>
      <c r="M533" s="254" t="inlineStr">
        <is>
          <t>AB202404013</t>
        </is>
      </c>
      <c r="N533" s="254" t="inlineStr">
        <is>
          <t>Sinovac</t>
        </is>
      </c>
      <c r="O533" s="1183" t="inlineStr">
        <is>
          <t>21/10/2027</t>
        </is>
      </c>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73" t="n"/>
      <c r="E534" s="973" t="n"/>
      <c r="F534" s="994" t="n"/>
      <c r="G534" s="994" t="n"/>
      <c r="H534" s="973" t="n"/>
      <c r="I534" s="973" t="n"/>
      <c r="J534" s="973" t="n"/>
      <c r="K534" s="973" t="n"/>
      <c r="L534" s="253" t="n">
        <v>15</v>
      </c>
      <c r="M534" s="254" t="inlineStr">
        <is>
          <t>Y005285</t>
        </is>
      </c>
      <c r="N534" s="254" t="inlineStr">
        <is>
          <t>MERCK SHARP DOHME</t>
        </is>
      </c>
      <c r="O534" s="1183" t="inlineStr">
        <is>
          <t>21/07/2026</t>
        </is>
      </c>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73" t="n"/>
      <c r="E535" s="973" t="n"/>
      <c r="F535" s="994" t="n"/>
      <c r="G535" s="994" t="n"/>
      <c r="H535" s="973" t="n"/>
      <c r="I535" s="973" t="n"/>
      <c r="J535" s="973" t="n"/>
      <c r="K535" s="975" t="n"/>
      <c r="L535" s="253" t="n">
        <v>2</v>
      </c>
      <c r="M535" s="254" t="inlineStr">
        <is>
          <t>Y008031</t>
        </is>
      </c>
      <c r="N535" s="254" t="inlineStr">
        <is>
          <t>MERCK SHARP DOHME</t>
        </is>
      </c>
      <c r="O535" s="1183" t="inlineStr">
        <is>
          <t>25/07/2026</t>
        </is>
      </c>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75" t="n"/>
      <c r="E536" s="975" t="n"/>
      <c r="F536" s="998" t="n"/>
      <c r="G536" s="998" t="n"/>
      <c r="H536" s="975" t="n"/>
      <c r="I536" s="975" t="n"/>
      <c r="J536" s="975" t="n"/>
      <c r="K536" s="1189">
        <f>K531=L536</f>
        <v/>
      </c>
      <c r="L536" s="491">
        <f>SUM(L531:L535)</f>
        <v/>
      </c>
      <c r="M536" s="1190" t="inlineStr">
        <is>
          <t xml:space="preserve">“Verdadero” indica que la cantidad por lote, coincide con el saldo que inicia al mes siguiente. "Falso" no coinicide. </t>
        </is>
      </c>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413">
        <f>ENERO!K537</f>
        <v/>
      </c>
      <c r="E537" s="339">
        <f>H133</f>
        <v/>
      </c>
      <c r="F537" s="338" t="n">
        <v>1269</v>
      </c>
      <c r="G537" s="338" t="n">
        <v>29</v>
      </c>
      <c r="H537" s="1235">
        <f>+F537+G537</f>
        <v/>
      </c>
      <c r="I537" s="340">
        <f>+AM537</f>
        <v/>
      </c>
      <c r="J537" s="341">
        <f>+H537+I537</f>
        <v/>
      </c>
      <c r="K537" s="583">
        <f>+(D537+E537)-(J537)</f>
        <v/>
      </c>
      <c r="L537" s="253" t="n">
        <v>2007</v>
      </c>
      <c r="M537" s="254" t="inlineStr">
        <is>
          <t>BB202506051</t>
        </is>
      </c>
      <c r="N537" s="254" t="inlineStr">
        <is>
          <t>Sinovac</t>
        </is>
      </c>
      <c r="O537" s="1183" t="inlineStr">
        <is>
          <t>12/06/2027</t>
        </is>
      </c>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v>0</v>
      </c>
      <c r="AA537" s="648" t="n">
        <v>0</v>
      </c>
      <c r="AB537" s="649">
        <f>+Z537+AA537</f>
        <v/>
      </c>
      <c r="AC537" s="648" t="n">
        <v>0</v>
      </c>
      <c r="AD537" s="648" t="n">
        <v>0</v>
      </c>
      <c r="AE537" s="648" t="n">
        <v>0</v>
      </c>
      <c r="AF537" s="648" t="n">
        <v>5</v>
      </c>
      <c r="AG537" s="648" t="n">
        <v>0</v>
      </c>
      <c r="AH537" s="648" t="n">
        <v>0</v>
      </c>
      <c r="AI537" s="648" t="n">
        <v>0</v>
      </c>
      <c r="AJ537" s="648" t="n">
        <v>0</v>
      </c>
      <c r="AK537" s="648" t="n">
        <v>0</v>
      </c>
      <c r="AL537" s="648" t="n">
        <v>0</v>
      </c>
      <c r="AM537" s="421">
        <f>SUM(AB537:AL541)</f>
        <v/>
      </c>
      <c r="AN537" s="726" t="n"/>
      <c r="AQ537" s="1238">
        <f>IFERROR(I537/J537*100,"0")</f>
        <v/>
      </c>
      <c r="AR537" s="343">
        <f>IFERROR(1/(1-(AQ537/100)),"0")</f>
        <v/>
      </c>
      <c r="AS537" s="1239" t="n">
        <v>0</v>
      </c>
      <c r="AT537" s="345" t="n">
        <v>1</v>
      </c>
      <c r="AU537" s="1240" t="n"/>
      <c r="AV537" s="1241" t="n"/>
      <c r="AW537" s="1242">
        <f>+H537-AV537</f>
        <v/>
      </c>
    </row>
    <row r="538" ht="17.25" customHeight="1">
      <c r="A538" s="973" t="n"/>
      <c r="B538" s="971" t="n"/>
      <c r="C538" s="972" t="n"/>
      <c r="D538" s="973" t="n"/>
      <c r="E538" s="973" t="n"/>
      <c r="F538" s="994" t="n"/>
      <c r="G538" s="994" t="n"/>
      <c r="H538" s="973" t="n"/>
      <c r="I538" s="973" t="n"/>
      <c r="J538" s="973" t="n"/>
      <c r="K538" s="973" t="n"/>
      <c r="L538" s="253" t="n">
        <v>2</v>
      </c>
      <c r="M538" s="254" t="inlineStr">
        <is>
          <t>Y014509</t>
        </is>
      </c>
      <c r="N538" s="254" t="inlineStr">
        <is>
          <t>MERCK SHARP DOHME</t>
        </is>
      </c>
      <c r="O538" s="1183" t="inlineStr">
        <is>
          <t>27/08/2026</t>
        </is>
      </c>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73" t="n"/>
      <c r="E539" s="973" t="n"/>
      <c r="F539" s="994" t="n"/>
      <c r="G539" s="994" t="n"/>
      <c r="H539" s="973" t="n"/>
      <c r="I539" s="973" t="n"/>
      <c r="J539" s="973" t="n"/>
      <c r="K539" s="973" t="n"/>
      <c r="L539" s="253" t="n">
        <v>16</v>
      </c>
      <c r="M539" s="254" t="inlineStr">
        <is>
          <t>Y018866</t>
        </is>
      </c>
      <c r="N539" s="254" t="inlineStr">
        <is>
          <t>MSD</t>
        </is>
      </c>
      <c r="O539" s="1183" t="inlineStr">
        <is>
          <t>13/11/2026</t>
        </is>
      </c>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73" t="n"/>
      <c r="E540" s="973" t="n"/>
      <c r="F540" s="994" t="n"/>
      <c r="G540" s="994" t="n"/>
      <c r="H540" s="973" t="n"/>
      <c r="I540" s="973" t="n"/>
      <c r="J540" s="973" t="n"/>
      <c r="K540" s="973" t="n"/>
      <c r="L540" s="253" t="n">
        <v>10</v>
      </c>
      <c r="M540" s="254" t="inlineStr">
        <is>
          <t>Z002927</t>
        </is>
      </c>
      <c r="N540" s="254" t="inlineStr">
        <is>
          <t>MSD</t>
        </is>
      </c>
      <c r="O540" s="1183" t="inlineStr">
        <is>
          <t>14/01/2027</t>
        </is>
      </c>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73" t="n"/>
      <c r="E541" s="973" t="n"/>
      <c r="F541" s="994" t="n"/>
      <c r="G541" s="994" t="n"/>
      <c r="H541" s="973" t="n"/>
      <c r="I541" s="973" t="n"/>
      <c r="J541" s="973" t="n"/>
      <c r="K541" s="975" t="n"/>
      <c r="L541" s="253" t="n">
        <v>3</v>
      </c>
      <c r="M541" s="254" t="inlineStr">
        <is>
          <t>Z002992</t>
        </is>
      </c>
      <c r="N541" s="254" t="inlineStr">
        <is>
          <t>MSD</t>
        </is>
      </c>
      <c r="O541" s="1183" t="inlineStr">
        <is>
          <t>15/01/2027</t>
        </is>
      </c>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75" t="n"/>
      <c r="E542" s="975" t="n"/>
      <c r="F542" s="998" t="n"/>
      <c r="G542" s="998" t="n"/>
      <c r="H542" s="975" t="n"/>
      <c r="I542" s="975" t="n"/>
      <c r="J542" s="975" t="n"/>
      <c r="K542" s="1189">
        <f>K537=L542</f>
        <v/>
      </c>
      <c r="L542" s="491">
        <f>SUM(L537:L541)</f>
        <v/>
      </c>
      <c r="M542" s="1190" t="inlineStr">
        <is>
          <t xml:space="preserve">“Verdadero” indica que la cantidad por lote, coincide con el saldo que inicia al mes siguiente. "Falso" no coinicide. </t>
        </is>
      </c>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413">
        <f>ENERO!K543</f>
        <v/>
      </c>
      <c r="E543" s="339">
        <f>H139</f>
        <v/>
      </c>
      <c r="F543" s="338" t="n">
        <v>0</v>
      </c>
      <c r="G543" s="338" t="n">
        <v>0</v>
      </c>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v>0</v>
      </c>
      <c r="AA543" s="648" t="n">
        <v>0</v>
      </c>
      <c r="AB543" s="649">
        <f>+Z543+AA543</f>
        <v/>
      </c>
      <c r="AC543" s="648" t="n">
        <v>0</v>
      </c>
      <c r="AD543" s="648" t="n">
        <v>0</v>
      </c>
      <c r="AE543" s="648" t="n">
        <v>0</v>
      </c>
      <c r="AF543" s="648" t="n">
        <v>0</v>
      </c>
      <c r="AG543" s="648" t="n">
        <v>0</v>
      </c>
      <c r="AH543" s="648" t="n">
        <v>0</v>
      </c>
      <c r="AI543" s="648" t="n">
        <v>0</v>
      </c>
      <c r="AJ543" s="648" t="n">
        <v>0</v>
      </c>
      <c r="AK543" s="648" t="n">
        <v>0</v>
      </c>
      <c r="AL543" s="648" t="n">
        <v>0</v>
      </c>
      <c r="AM543" s="421">
        <f>SUM(AB543:AL547)</f>
        <v/>
      </c>
      <c r="AN543" s="726" t="n"/>
      <c r="AQ543" s="1238">
        <f>IFERROR(I543/J543*100,"0")</f>
        <v/>
      </c>
      <c r="AR543" s="343">
        <f>IFERROR(1/(1-(AQ543/100)),"0")</f>
        <v/>
      </c>
      <c r="AS543" s="1239" t="n">
        <v>0</v>
      </c>
      <c r="AT543" s="345" t="n">
        <v>1</v>
      </c>
      <c r="AU543" s="1240" t="n"/>
      <c r="AV543" s="1241" t="n"/>
      <c r="AW543" s="1242">
        <f>+H543-AV543</f>
        <v/>
      </c>
    </row>
    <row r="544" ht="17.25" customHeight="1">
      <c r="A544" s="973" t="n"/>
      <c r="B544" s="971" t="n"/>
      <c r="C544" s="972" t="n"/>
      <c r="D544" s="973"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73"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73"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73"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75" t="n"/>
      <c r="E548" s="975" t="n"/>
      <c r="F548" s="998" t="n"/>
      <c r="G548" s="998" t="n"/>
      <c r="H548" s="975" t="n"/>
      <c r="I548" s="975" t="n"/>
      <c r="J548" s="975" t="n"/>
      <c r="K548" s="1189">
        <f>K543=L548</f>
        <v/>
      </c>
      <c r="L548" s="491">
        <f>SUM(L543:L547)</f>
        <v/>
      </c>
      <c r="M548" s="1190" t="inlineStr">
        <is>
          <t xml:space="preserve">“Verdadero” indica que la cantidad por lote, coincide con el saldo que inicia al mes siguiente. "Falso" no coinicide. </t>
        </is>
      </c>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413">
        <f>ENERO!K549</f>
        <v/>
      </c>
      <c r="E549" s="339">
        <f>H145</f>
        <v/>
      </c>
      <c r="F549" s="338" t="n">
        <v>1167</v>
      </c>
      <c r="G549" s="338" t="n">
        <v>8</v>
      </c>
      <c r="H549" s="1235">
        <f>+F549+G549</f>
        <v/>
      </c>
      <c r="I549" s="340">
        <f>+AM549</f>
        <v/>
      </c>
      <c r="J549" s="341">
        <f>+H549+I549</f>
        <v/>
      </c>
      <c r="K549" s="583">
        <f>+(D549+E549)-(J549)</f>
        <v/>
      </c>
      <c r="L549" s="253" t="n">
        <v>10</v>
      </c>
      <c r="M549" s="254" t="inlineStr">
        <is>
          <t>2333X043B</t>
        </is>
      </c>
      <c r="N549" s="254" t="inlineStr">
        <is>
          <t>Serum</t>
        </is>
      </c>
      <c r="O549" s="1183" t="inlineStr">
        <is>
          <t>31/10/2026</t>
        </is>
      </c>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v>46</v>
      </c>
      <c r="AA549" s="648" t="n">
        <v>66</v>
      </c>
      <c r="AB549" s="649">
        <f>+Z549+AA549</f>
        <v/>
      </c>
      <c r="AC549" s="648" t="n">
        <v>0</v>
      </c>
      <c r="AD549" s="648" t="n">
        <v>0</v>
      </c>
      <c r="AE549" s="648" t="n">
        <v>0</v>
      </c>
      <c r="AF549" s="648" t="n">
        <v>0</v>
      </c>
      <c r="AG549" s="648" t="n">
        <v>0</v>
      </c>
      <c r="AH549" s="648" t="n">
        <v>0</v>
      </c>
      <c r="AI549" s="648" t="n">
        <v>0</v>
      </c>
      <c r="AJ549" s="648" t="n">
        <v>0</v>
      </c>
      <c r="AK549" s="648" t="n">
        <v>0</v>
      </c>
      <c r="AL549" s="648" t="n">
        <v>0</v>
      </c>
      <c r="AM549" s="421">
        <f>SUM(AB549:AL553)</f>
        <v/>
      </c>
      <c r="AN549" s="726" t="n"/>
      <c r="AQ549" s="1238">
        <f>IFERROR(I549/J549*100,"0")</f>
        <v/>
      </c>
      <c r="AR549" s="343">
        <f>IFERROR(1/(1-(AQ549/100)),"0")</f>
        <v/>
      </c>
      <c r="AS549" s="1239" t="n">
        <v>15</v>
      </c>
      <c r="AT549" s="345" t="n">
        <v>10</v>
      </c>
      <c r="AU549" s="1240" t="n"/>
      <c r="AV549" s="1241" t="n"/>
      <c r="AW549" s="1242">
        <f>+H549-AV549</f>
        <v/>
      </c>
    </row>
    <row r="550" ht="17.25" customHeight="1">
      <c r="A550" s="973" t="n"/>
      <c r="B550" s="971" t="n"/>
      <c r="C550" s="972" t="n"/>
      <c r="D550" s="973" t="n"/>
      <c r="E550" s="973" t="n"/>
      <c r="F550" s="994" t="n"/>
      <c r="G550" s="994" t="n"/>
      <c r="H550" s="973" t="n"/>
      <c r="I550" s="973" t="n"/>
      <c r="J550" s="973" t="n"/>
      <c r="K550" s="973" t="n"/>
      <c r="L550" s="253" t="n">
        <v>2298</v>
      </c>
      <c r="M550" s="254" t="inlineStr">
        <is>
          <t>2334L010B</t>
        </is>
      </c>
      <c r="N550" s="254" t="inlineStr">
        <is>
          <t>Serum</t>
        </is>
      </c>
      <c r="O550" s="1183" t="inlineStr">
        <is>
          <t>31/01/2027</t>
        </is>
      </c>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73" t="n"/>
      <c r="E551" s="973" t="n"/>
      <c r="F551" s="994" t="n"/>
      <c r="G551" s="994" t="n"/>
      <c r="H551" s="973" t="n"/>
      <c r="I551" s="973" t="n"/>
      <c r="J551" s="973" t="n"/>
      <c r="K551" s="973" t="n"/>
      <c r="L551" s="253" t="n">
        <v>422</v>
      </c>
      <c r="M551" s="254" t="inlineStr">
        <is>
          <t>2334L016E</t>
        </is>
      </c>
      <c r="N551" s="254" t="inlineStr">
        <is>
          <t>Serum</t>
        </is>
      </c>
      <c r="O551" s="1183" t="inlineStr">
        <is>
          <t>31/03/2027</t>
        </is>
      </c>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73" t="n"/>
      <c r="E552" s="973" t="n"/>
      <c r="F552" s="994" t="n"/>
      <c r="G552" s="994" t="n"/>
      <c r="H552" s="973" t="n"/>
      <c r="I552" s="973" t="n"/>
      <c r="J552" s="973" t="n"/>
      <c r="K552" s="973" t="n"/>
      <c r="L552" s="253" t="n">
        <v>203</v>
      </c>
      <c r="M552" s="254" t="inlineStr">
        <is>
          <t>2334X006A</t>
        </is>
      </c>
      <c r="N552" s="254" t="inlineStr">
        <is>
          <t>Serum</t>
        </is>
      </c>
      <c r="O552" s="1183" t="inlineStr">
        <is>
          <t>31/12/2026</t>
        </is>
      </c>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73" t="n"/>
      <c r="E553" s="973" t="n"/>
      <c r="F553" s="994" t="n"/>
      <c r="G553" s="994" t="n"/>
      <c r="H553" s="973" t="n"/>
      <c r="I553" s="973" t="n"/>
      <c r="J553" s="973" t="n"/>
      <c r="K553" s="975" t="n"/>
      <c r="L553" s="253" t="n"/>
      <c r="M553" s="254" t="n"/>
      <c r="N553" s="254" t="n"/>
      <c r="O553" s="1183" t="n"/>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75" t="n"/>
      <c r="E554" s="975" t="n"/>
      <c r="F554" s="998" t="n"/>
      <c r="G554" s="998" t="n"/>
      <c r="H554" s="975" t="n"/>
      <c r="I554" s="975" t="n"/>
      <c r="J554" s="975" t="n"/>
      <c r="K554" s="1189">
        <f>K549=L554</f>
        <v/>
      </c>
      <c r="L554" s="491">
        <f>SUM(L549:L553)</f>
        <v/>
      </c>
      <c r="M554" s="1190" t="inlineStr">
        <is>
          <t xml:space="preserve">“Verdadero” indica que la cantidad por lote, coincide con el saldo que inicia al mes siguiente. "Falso" no coinicide. </t>
        </is>
      </c>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413">
        <f>ENERO!K555</f>
        <v/>
      </c>
      <c r="E555" s="339">
        <f>H151</f>
        <v/>
      </c>
      <c r="F555" s="338" t="n">
        <v>588</v>
      </c>
      <c r="G555" s="338" t="n">
        <v>23</v>
      </c>
      <c r="H555" s="1235">
        <f>+F555+G555</f>
        <v/>
      </c>
      <c r="I555" s="340">
        <f>+AM555</f>
        <v/>
      </c>
      <c r="J555" s="341">
        <f>+H555+I555</f>
        <v/>
      </c>
      <c r="K555" s="583">
        <f>+(D555+E555)-(J555)</f>
        <v/>
      </c>
      <c r="L555" s="253" t="n"/>
      <c r="M555" s="254" t="n"/>
      <c r="N555" s="254" t="n"/>
      <c r="O555" s="1183" t="n"/>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v>0</v>
      </c>
      <c r="AA555" s="648" t="n">
        <v>0</v>
      </c>
      <c r="AB555" s="649">
        <f>+Z555+AA555</f>
        <v/>
      </c>
      <c r="AC555" s="648" t="n">
        <v>2</v>
      </c>
      <c r="AD555" s="648" t="n">
        <v>0</v>
      </c>
      <c r="AE555" s="648" t="n">
        <v>0</v>
      </c>
      <c r="AF555" s="648" t="n">
        <v>0</v>
      </c>
      <c r="AG555" s="648" t="n">
        <v>0</v>
      </c>
      <c r="AH555" s="648" t="n">
        <v>0</v>
      </c>
      <c r="AI555" s="648" t="n">
        <v>0</v>
      </c>
      <c r="AJ555" s="648" t="n">
        <v>0</v>
      </c>
      <c r="AK555" s="648" t="n">
        <v>0</v>
      </c>
      <c r="AL555" s="648" t="n">
        <v>0</v>
      </c>
      <c r="AM555" s="421">
        <f>SUM(AB555:AL559)</f>
        <v/>
      </c>
      <c r="AN555" s="726" t="n"/>
      <c r="AQ555" s="1238">
        <f>IFERROR(I555/J555*100,"0")</f>
        <v/>
      </c>
      <c r="AR555" s="343">
        <f>IFERROR(1/(1-(AQ555/100)),"0")</f>
        <v/>
      </c>
      <c r="AS555" s="1239" t="n">
        <v>0</v>
      </c>
      <c r="AT555" s="345" t="n">
        <v>1</v>
      </c>
      <c r="AU555" s="1240" t="n"/>
      <c r="AV555" s="1241" t="n"/>
      <c r="AW555" s="1242">
        <f>+H555-AV555</f>
        <v/>
      </c>
    </row>
    <row r="556" ht="17.25" customHeight="1">
      <c r="A556" s="973" t="n"/>
      <c r="B556" s="971" t="n"/>
      <c r="C556" s="972" t="n"/>
      <c r="D556" s="973" t="n"/>
      <c r="E556" s="973" t="n"/>
      <c r="F556" s="994" t="n"/>
      <c r="G556" s="994" t="n"/>
      <c r="H556" s="973" t="n"/>
      <c r="I556" s="973" t="n"/>
      <c r="J556" s="973" t="n"/>
      <c r="K556" s="973" t="n"/>
      <c r="L556" s="253" t="n"/>
      <c r="M556" s="254" t="n"/>
      <c r="N556" s="254" t="n"/>
      <c r="O556" s="1183" t="n"/>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73" t="n"/>
      <c r="E557" s="973" t="n"/>
      <c r="F557" s="994" t="n"/>
      <c r="G557" s="994" t="n"/>
      <c r="H557" s="973" t="n"/>
      <c r="I557" s="973" t="n"/>
      <c r="J557" s="973" t="n"/>
      <c r="K557" s="973" t="n"/>
      <c r="L557" s="253" t="n">
        <v>1176</v>
      </c>
      <c r="M557" s="254" t="inlineStr">
        <is>
          <t>3CA50C1</t>
        </is>
      </c>
      <c r="N557" s="254" t="inlineStr">
        <is>
          <t>Sanofi Pasteur</t>
        </is>
      </c>
      <c r="O557" s="1183" t="inlineStr">
        <is>
          <t>30/09/2027</t>
        </is>
      </c>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73" t="n"/>
      <c r="E558" s="973" t="n"/>
      <c r="F558" s="994" t="n"/>
      <c r="G558" s="994" t="n"/>
      <c r="H558" s="973" t="n"/>
      <c r="I558" s="973" t="n"/>
      <c r="J558" s="973" t="n"/>
      <c r="K558" s="973" t="n"/>
      <c r="L558" s="253" t="n">
        <v>43</v>
      </c>
      <c r="M558" s="254" t="inlineStr">
        <is>
          <t>AC37B466AA</t>
        </is>
      </c>
      <c r="N558" s="254" t="inlineStr">
        <is>
          <t>Glaxo SmithKline</t>
        </is>
      </c>
      <c r="O558" s="1183" t="inlineStr">
        <is>
          <t>31/03/2027</t>
        </is>
      </c>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73"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75" t="n"/>
      <c r="E560" s="975" t="n"/>
      <c r="F560" s="998" t="n"/>
      <c r="G560" s="998" t="n"/>
      <c r="H560" s="975" t="n"/>
      <c r="I560" s="975" t="n"/>
      <c r="J560" s="975" t="n"/>
      <c r="K560" s="1189">
        <f>K555=L560</f>
        <v/>
      </c>
      <c r="L560" s="491">
        <f>SUM(L555:L559)</f>
        <v/>
      </c>
      <c r="M560" s="1190" t="inlineStr">
        <is>
          <t xml:space="preserve">“Verdadero” indica que la cantidad por lote, coincide con el saldo que inicia al mes siguiente. "Falso" no coinicide. </t>
        </is>
      </c>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66">
        <f>ENERO!K561</f>
        <v/>
      </c>
      <c r="E561" s="339">
        <f>H157</f>
        <v/>
      </c>
      <c r="F561" s="338" t="n">
        <v>683</v>
      </c>
      <c r="G561" s="338" t="n">
        <v>12</v>
      </c>
      <c r="H561" s="1235">
        <f>+F561+G561</f>
        <v/>
      </c>
      <c r="I561" s="340">
        <f>+AM561</f>
        <v/>
      </c>
      <c r="J561" s="341">
        <f>+H561+I561</f>
        <v/>
      </c>
      <c r="K561" s="583">
        <f>+(D561-D564+D565)+E561-J561</f>
        <v/>
      </c>
      <c r="L561" s="253" t="n">
        <v>3998</v>
      </c>
      <c r="M561" s="254" t="inlineStr">
        <is>
          <t>P100791842</t>
        </is>
      </c>
      <c r="N561" s="254" t="inlineStr">
        <is>
          <t>SEQIRUS</t>
        </is>
      </c>
      <c r="O561" s="1183" t="inlineStr">
        <is>
          <t>31/03/2026</t>
        </is>
      </c>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v>189</v>
      </c>
      <c r="AA561" s="648" t="n">
        <v>43</v>
      </c>
      <c r="AB561" s="649">
        <f>+Z561+AA561</f>
        <v/>
      </c>
      <c r="AC561" s="648" t="n">
        <v>0</v>
      </c>
      <c r="AD561" s="648" t="n">
        <v>0</v>
      </c>
      <c r="AE561" s="648" t="n">
        <v>0</v>
      </c>
      <c r="AF561" s="648" t="n">
        <v>0</v>
      </c>
      <c r="AG561" s="648" t="n">
        <v>0</v>
      </c>
      <c r="AH561" s="648" t="n">
        <v>0</v>
      </c>
      <c r="AI561" s="648" t="n">
        <v>0</v>
      </c>
      <c r="AJ561" s="648" t="n">
        <v>0</v>
      </c>
      <c r="AK561" s="648" t="n">
        <v>0</v>
      </c>
      <c r="AL561" s="648" t="n">
        <v>0</v>
      </c>
      <c r="AM561" s="421">
        <f>SUM(AB561:AL565)</f>
        <v/>
      </c>
      <c r="AN561" s="726" t="n"/>
      <c r="AQ561" s="1238">
        <f>IFERROR(I561/J561*100,"0")</f>
        <v/>
      </c>
      <c r="AR561" s="343">
        <f>IFERROR(1/(1-(AQ561/100)),"0")</f>
        <v/>
      </c>
      <c r="AS561" s="1239" t="n">
        <v>15</v>
      </c>
      <c r="AT561" s="345" t="n">
        <v>20</v>
      </c>
      <c r="AU561" s="1240" t="n"/>
      <c r="AV561" s="1241" t="n"/>
      <c r="AW561" s="1242">
        <f>+H561-AV561</f>
        <v/>
      </c>
    </row>
    <row r="562" ht="19.5" customHeight="1">
      <c r="A562" s="973" t="n"/>
      <c r="B562" s="971" t="n"/>
      <c r="C562" s="972" t="n"/>
      <c r="D562" s="973" t="n"/>
      <c r="E562" s="973" t="n"/>
      <c r="F562" s="994" t="n"/>
      <c r="G562" s="994" t="n"/>
      <c r="H562" s="973" t="n"/>
      <c r="I562" s="973" t="n"/>
      <c r="J562" s="973" t="n"/>
      <c r="K562" s="973" t="n"/>
      <c r="L562" s="253" t="n"/>
      <c r="M562" s="254" t="n"/>
      <c r="N562" s="254" t="n"/>
      <c r="O562" s="1183" t="n"/>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75" t="n"/>
      <c r="E563" s="973" t="n"/>
      <c r="F563" s="994" t="n"/>
      <c r="G563" s="994" t="n"/>
      <c r="H563" s="973" t="n"/>
      <c r="I563" s="973" t="n"/>
      <c r="J563" s="973" t="n"/>
      <c r="K563" s="973" t="n"/>
      <c r="L563" s="253" t="n"/>
      <c r="M563" s="254" t="n"/>
      <c r="N563" s="254" t="n"/>
      <c r="O563" s="1183" t="n"/>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c r="M564" s="254" t="n"/>
      <c r="N564" s="254" t="n"/>
      <c r="O564" s="1183" t="n"/>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inlineStr">
        <is>
          <t xml:space="preserve">“Verdadero” indica que la cantidad por lote, coincide con el saldo que inicia al mes siguiente. "Falso" no coinicide. </t>
        </is>
      </c>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66">
        <f>ENERO!K567</f>
        <v/>
      </c>
      <c r="E567" s="1244">
        <f>H163</f>
        <v/>
      </c>
      <c r="F567" s="338" t="n">
        <v>1080</v>
      </c>
      <c r="G567" s="338" t="n">
        <v>31</v>
      </c>
      <c r="H567" s="1235">
        <f>+F567+G567</f>
        <v/>
      </c>
      <c r="I567" s="340">
        <f>+AM567</f>
        <v/>
      </c>
      <c r="J567" s="341">
        <f>+H567+I567</f>
        <v/>
      </c>
      <c r="K567" s="583">
        <f>(D567-D570+D571+E567)-(J567)</f>
        <v/>
      </c>
      <c r="L567" s="253" t="n"/>
      <c r="M567" s="254" t="n"/>
      <c r="N567" s="254" t="n"/>
      <c r="O567" s="1183" t="n"/>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v>291</v>
      </c>
      <c r="AA567" s="648">
        <f>VLOOKUP($B567,[2]Hoja2!$A:$U,8,0)</f>
        <v/>
      </c>
      <c r="AB567" s="649">
        <f>+Z567+AA567</f>
        <v/>
      </c>
      <c r="AC567" s="648" t="n">
        <v>0</v>
      </c>
      <c r="AD567" s="648" t="n">
        <v>0</v>
      </c>
      <c r="AE567" s="648" t="n">
        <v>0</v>
      </c>
      <c r="AF567" s="648" t="n">
        <v>0</v>
      </c>
      <c r="AG567" s="648" t="n">
        <v>216</v>
      </c>
      <c r="AH567" s="648" t="n">
        <v>0</v>
      </c>
      <c r="AI567" s="648" t="n">
        <v>0</v>
      </c>
      <c r="AJ567" s="648" t="n">
        <v>0</v>
      </c>
      <c r="AK567" s="648" t="n">
        <v>0</v>
      </c>
      <c r="AL567" s="648" t="n">
        <v>0</v>
      </c>
      <c r="AM567" s="421">
        <f>SUM(AB567:AL571)</f>
        <v/>
      </c>
      <c r="AN567" s="726" t="n"/>
      <c r="AQ567" s="1238">
        <f>IFERROR(I567/J567*100,"0")</f>
        <v/>
      </c>
      <c r="AR567" s="343">
        <f>IFERROR(1/(1-(AQ567/100)),"0")</f>
        <v/>
      </c>
      <c r="AS567" s="1239" t="n">
        <v>10</v>
      </c>
      <c r="AT567" s="345" t="n">
        <v>10</v>
      </c>
      <c r="AU567" s="1240" t="n"/>
      <c r="AV567" s="1241" t="n"/>
      <c r="AW567" s="1242">
        <f>+H567-AV567</f>
        <v/>
      </c>
    </row>
    <row r="568" ht="19.5" customHeight="1">
      <c r="A568" s="973" t="n"/>
      <c r="B568" s="971" t="n"/>
      <c r="C568" s="972" t="n"/>
      <c r="D568" s="973" t="n"/>
      <c r="E568" s="973" t="n"/>
      <c r="F568" s="994" t="n"/>
      <c r="G568" s="994" t="n"/>
      <c r="H568" s="973" t="n"/>
      <c r="I568" s="973" t="n"/>
      <c r="J568" s="973" t="n"/>
      <c r="K568" s="973" t="n"/>
      <c r="L568" s="253" t="n"/>
      <c r="M568" s="254" t="n"/>
      <c r="N568" s="254" t="n"/>
      <c r="O568" s="1183" t="n"/>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75" t="n"/>
      <c r="E569" s="973" t="n"/>
      <c r="F569" s="994" t="n"/>
      <c r="G569" s="994" t="n"/>
      <c r="H569" s="973" t="n"/>
      <c r="I569" s="973" t="n"/>
      <c r="J569" s="973" t="n"/>
      <c r="K569" s="973" t="n"/>
      <c r="L569" s="253" t="n"/>
      <c r="M569" s="254" t="n"/>
      <c r="N569" s="254" t="n"/>
      <c r="O569" s="1183" t="n"/>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c r="M570" s="254" t="n"/>
      <c r="N570" s="254" t="n"/>
      <c r="O570" s="1183" t="n"/>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inlineStr">
        <is>
          <t xml:space="preserve">“Verdadero” indica que la cantidad por lote, coincide con el saldo que inicia al mes siguiente. "Falso" no coinicide. </t>
        </is>
      </c>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413">
        <f>ENERO!K573</f>
        <v/>
      </c>
      <c r="E573" s="339">
        <f>H169</f>
        <v/>
      </c>
      <c r="F573" s="338" t="n">
        <v>452</v>
      </c>
      <c r="G573" s="338" t="n">
        <v>15</v>
      </c>
      <c r="H573" s="1235">
        <f>+F573+G573</f>
        <v/>
      </c>
      <c r="I573" s="340">
        <f>+AM573</f>
        <v/>
      </c>
      <c r="J573" s="341">
        <f>+H573+I573</f>
        <v/>
      </c>
      <c r="K573" s="583">
        <f>+(D573+E573)-(J573)</f>
        <v/>
      </c>
      <c r="L573" s="253" t="n">
        <v>228</v>
      </c>
      <c r="M573" s="254" t="inlineStr">
        <is>
          <t>MH8217</t>
        </is>
      </c>
      <c r="N573" s="254" t="inlineStr">
        <is>
          <t>PFIZER</t>
        </is>
      </c>
      <c r="O573" s="1183" t="inlineStr">
        <is>
          <t>30/06/2027</t>
        </is>
      </c>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v>0</v>
      </c>
      <c r="AA573" s="648" t="n">
        <v>0</v>
      </c>
      <c r="AB573" s="649">
        <f>+Z573+AA573</f>
        <v/>
      </c>
      <c r="AC573" s="648" t="n">
        <v>0</v>
      </c>
      <c r="AD573" s="648" t="n">
        <v>0</v>
      </c>
      <c r="AE573" s="648" t="n">
        <v>0</v>
      </c>
      <c r="AF573" s="648" t="n">
        <v>0</v>
      </c>
      <c r="AG573" s="648" t="n">
        <v>0</v>
      </c>
      <c r="AH573" s="648" t="n">
        <v>0</v>
      </c>
      <c r="AI573" s="648" t="n">
        <v>0</v>
      </c>
      <c r="AJ573" s="648" t="n">
        <v>0</v>
      </c>
      <c r="AK573" s="648" t="n">
        <v>0</v>
      </c>
      <c r="AL573" s="648" t="n">
        <v>0</v>
      </c>
      <c r="AM573" s="421">
        <f>SUM(AB573:AL577)</f>
        <v/>
      </c>
      <c r="AN573" s="726" t="n"/>
      <c r="AQ573" s="1238">
        <f>IFERROR(I573/J573*100,"0")</f>
        <v/>
      </c>
      <c r="AR573" s="343">
        <f>IFERROR(1/(1-(AQ573/100)),"0")</f>
        <v/>
      </c>
      <c r="AS573" s="1239" t="n">
        <v>0</v>
      </c>
      <c r="AT573" s="345" t="n">
        <v>1</v>
      </c>
      <c r="AU573" s="1240" t="n"/>
      <c r="AV573" s="1241" t="n"/>
      <c r="AW573" s="1242">
        <f>+H573-AV573</f>
        <v/>
      </c>
    </row>
    <row r="574" ht="17.25" customHeight="1">
      <c r="A574" s="973" t="n"/>
      <c r="B574" s="971" t="n"/>
      <c r="C574" s="972" t="n"/>
      <c r="D574" s="973" t="n"/>
      <c r="E574" s="973" t="n"/>
      <c r="F574" s="994" t="n"/>
      <c r="G574" s="994" t="n"/>
      <c r="H574" s="973" t="n"/>
      <c r="I574" s="973" t="n"/>
      <c r="J574" s="973" t="n"/>
      <c r="K574" s="973" t="n"/>
      <c r="L574" s="253" t="n"/>
      <c r="M574" s="254" t="n"/>
      <c r="N574" s="254" t="n"/>
      <c r="O574" s="1183" t="n"/>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73" t="n"/>
      <c r="E575" s="973" t="n"/>
      <c r="F575" s="994" t="n"/>
      <c r="G575" s="994" t="n"/>
      <c r="H575" s="973" t="n"/>
      <c r="I575" s="973" t="n"/>
      <c r="J575" s="973" t="n"/>
      <c r="K575" s="973" t="n"/>
      <c r="L575" s="253" t="n"/>
      <c r="M575" s="254" t="n"/>
      <c r="N575" s="254" t="n"/>
      <c r="O575" s="1183" t="n"/>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73" t="n"/>
      <c r="E576" s="973" t="n"/>
      <c r="F576" s="994" t="n"/>
      <c r="G576" s="994" t="n"/>
      <c r="H576" s="973" t="n"/>
      <c r="I576" s="973" t="n"/>
      <c r="J576" s="973" t="n"/>
      <c r="K576" s="973" t="n"/>
      <c r="L576" s="253" t="n"/>
      <c r="M576" s="254" t="n"/>
      <c r="N576" s="254" t="n"/>
      <c r="O576" s="1183" t="n"/>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73" t="n"/>
      <c r="E577" s="973" t="n"/>
      <c r="F577" s="994" t="n"/>
      <c r="G577" s="994" t="n"/>
      <c r="H577" s="973" t="n"/>
      <c r="I577" s="973" t="n"/>
      <c r="J577" s="973" t="n"/>
      <c r="K577" s="975" t="n"/>
      <c r="L577" s="253" t="n"/>
      <c r="M577" s="254" t="n"/>
      <c r="N577" s="254" t="n"/>
      <c r="O577" s="1183" t="n"/>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75" t="n"/>
      <c r="E578" s="975" t="n"/>
      <c r="F578" s="998" t="n"/>
      <c r="G578" s="998" t="n"/>
      <c r="H578" s="975" t="n"/>
      <c r="I578" s="975" t="n"/>
      <c r="J578" s="975" t="n"/>
      <c r="K578" s="1189">
        <f>K573=L578</f>
        <v/>
      </c>
      <c r="L578" s="491">
        <f>SUM(L573:L577)</f>
        <v/>
      </c>
      <c r="M578" s="1190" t="inlineStr">
        <is>
          <t xml:space="preserve">“Verdadero” indica que la cantidad por lote, coincide con el saldo que inicia al mes siguiente. "Falso" no coinicide. </t>
        </is>
      </c>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413">
        <f>ENERO!K579</f>
        <v/>
      </c>
      <c r="E579" s="339">
        <f>H175</f>
        <v/>
      </c>
      <c r="F579" s="338" t="n">
        <v>848</v>
      </c>
      <c r="G579" s="338" t="n">
        <v>37</v>
      </c>
      <c r="H579" s="1235">
        <f>+F579+G579</f>
        <v/>
      </c>
      <c r="I579" s="340">
        <f>+AM579</f>
        <v/>
      </c>
      <c r="J579" s="341">
        <f>+H579+I579</f>
        <v/>
      </c>
      <c r="K579" s="583">
        <f>+(D579+E579)-(J579)</f>
        <v/>
      </c>
      <c r="L579" s="253" t="n">
        <v>132</v>
      </c>
      <c r="M579" s="254" t="inlineStr">
        <is>
          <t>Y004352</t>
        </is>
      </c>
      <c r="N579" s="254" t="inlineStr">
        <is>
          <t>MSD</t>
        </is>
      </c>
      <c r="O579" s="1183" t="inlineStr">
        <is>
          <t>20/11/2026</t>
        </is>
      </c>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v>0</v>
      </c>
      <c r="AA579" s="648" t="n">
        <v>0</v>
      </c>
      <c r="AB579" s="649">
        <f>+Z579+AA579</f>
        <v/>
      </c>
      <c r="AC579" s="648" t="n">
        <v>0</v>
      </c>
      <c r="AD579" s="648" t="n">
        <v>0</v>
      </c>
      <c r="AE579" s="648" t="n">
        <v>0</v>
      </c>
      <c r="AF579" s="648" t="n">
        <v>0</v>
      </c>
      <c r="AG579" s="648" t="n">
        <v>0</v>
      </c>
      <c r="AH579" s="648" t="n">
        <v>0</v>
      </c>
      <c r="AI579" s="648" t="n">
        <v>0</v>
      </c>
      <c r="AJ579" s="648" t="n">
        <v>0</v>
      </c>
      <c r="AK579" s="648" t="n">
        <v>0</v>
      </c>
      <c r="AL579" s="648" t="n">
        <v>0</v>
      </c>
      <c r="AM579" s="421">
        <f>SUM(AB579:AL583)</f>
        <v/>
      </c>
      <c r="AN579" s="726" t="n"/>
      <c r="AQ579" s="1238">
        <f>IFERROR(I579/J579*100,"0")</f>
        <v/>
      </c>
      <c r="AR579" s="343">
        <f>IFERROR(1/(1-(AQ579/100)),"0")</f>
        <v/>
      </c>
      <c r="AS579" s="1239" t="n">
        <v>0</v>
      </c>
      <c r="AT579" s="345" t="n">
        <v>1</v>
      </c>
      <c r="AU579" s="1240" t="n"/>
      <c r="AV579" s="1241" t="n"/>
      <c r="AW579" s="1242">
        <f>+H579-AV579</f>
        <v/>
      </c>
    </row>
    <row r="580" ht="17.25" customHeight="1">
      <c r="A580" s="973" t="n"/>
      <c r="B580" s="971" t="n"/>
      <c r="C580" s="972" t="n"/>
      <c r="D580" s="973" t="n"/>
      <c r="E580" s="973" t="n"/>
      <c r="F580" s="994" t="n"/>
      <c r="G580" s="994" t="n"/>
      <c r="H580" s="973" t="n"/>
      <c r="I580" s="973" t="n"/>
      <c r="J580" s="973" t="n"/>
      <c r="K580" s="973" t="n"/>
      <c r="L580" s="253" t="n">
        <v>3307</v>
      </c>
      <c r="M580" s="254" t="inlineStr">
        <is>
          <t>Y014828</t>
        </is>
      </c>
      <c r="N580" s="254" t="inlineStr">
        <is>
          <t>MERCK SHARP DOHME</t>
        </is>
      </c>
      <c r="O580" s="1183" t="inlineStr">
        <is>
          <t>31/05/2027</t>
        </is>
      </c>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73" t="n"/>
      <c r="E581" s="973" t="n"/>
      <c r="F581" s="994" t="n"/>
      <c r="G581" s="994" t="n"/>
      <c r="H581" s="973" t="n"/>
      <c r="I581" s="973" t="n"/>
      <c r="J581" s="973" t="n"/>
      <c r="K581" s="973" t="n"/>
      <c r="L581" s="253" t="n"/>
      <c r="M581" s="254" t="n"/>
      <c r="N581" s="254" t="n"/>
      <c r="O581" s="1183" t="n"/>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73" t="n"/>
      <c r="E582" s="973" t="n"/>
      <c r="F582" s="994" t="n"/>
      <c r="G582" s="994" t="n"/>
      <c r="H582" s="973" t="n"/>
      <c r="I582" s="973" t="n"/>
      <c r="J582" s="973" t="n"/>
      <c r="K582" s="973" t="n"/>
      <c r="L582" s="253" t="n"/>
      <c r="M582" s="254" t="n"/>
      <c r="N582" s="254" t="n"/>
      <c r="O582" s="1183" t="n"/>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73"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75" t="n"/>
      <c r="E584" s="975" t="n"/>
      <c r="F584" s="998" t="n"/>
      <c r="G584" s="998" t="n"/>
      <c r="H584" s="975" t="n"/>
      <c r="I584" s="975" t="n"/>
      <c r="J584" s="975" t="n"/>
      <c r="K584" s="1189">
        <f>K579=L584</f>
        <v/>
      </c>
      <c r="L584" s="491">
        <f>SUM(L579:L583)</f>
        <v/>
      </c>
      <c r="M584" s="1190" t="inlineStr">
        <is>
          <t xml:space="preserve">“Verdadero” indica que la cantidad por lote, coincide con el saldo que inicia al mes siguiente. "Falso" no coinicide. </t>
        </is>
      </c>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413">
        <f>ENERO!K585</f>
        <v/>
      </c>
      <c r="E585" s="339">
        <f>H181</f>
        <v/>
      </c>
      <c r="F585" s="338" t="n">
        <v>0</v>
      </c>
      <c r="G585" s="338" t="n">
        <v>0</v>
      </c>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v>0</v>
      </c>
      <c r="AA585" s="648" t="n">
        <v>0</v>
      </c>
      <c r="AB585" s="649">
        <f>+Z585+AA585</f>
        <v/>
      </c>
      <c r="AC585" s="648" t="n">
        <v>0</v>
      </c>
      <c r="AD585" s="648" t="n">
        <v>0</v>
      </c>
      <c r="AE585" s="648" t="n">
        <v>0</v>
      </c>
      <c r="AF585" s="648" t="n">
        <v>0</v>
      </c>
      <c r="AG585" s="648" t="n">
        <v>0</v>
      </c>
      <c r="AH585" s="648" t="n">
        <v>0</v>
      </c>
      <c r="AI585" s="648" t="n">
        <v>0</v>
      </c>
      <c r="AJ585" s="648" t="n">
        <v>0</v>
      </c>
      <c r="AK585" s="648" t="n">
        <v>0</v>
      </c>
      <c r="AL585" s="648" t="n">
        <v>0</v>
      </c>
      <c r="AM585" s="421">
        <f>SUM(AB585:AL589)</f>
        <v/>
      </c>
      <c r="AN585" s="726" t="n"/>
      <c r="AQ585" s="1238">
        <f>IFERROR(I585/J585*100,"0")</f>
        <v/>
      </c>
      <c r="AR585" s="343">
        <f>IFERROR(1/(1-(AQ585/100)),"0")</f>
        <v/>
      </c>
      <c r="AS585" s="1239" t="n">
        <v>0</v>
      </c>
      <c r="AT585" s="345" t="n">
        <v>1</v>
      </c>
      <c r="AU585" s="1240" t="n"/>
      <c r="AV585" s="1241" t="n"/>
      <c r="AW585" s="1242">
        <f>+H585-AV585</f>
        <v/>
      </c>
    </row>
    <row r="586" ht="17.25" customHeight="1">
      <c r="A586" s="973" t="n"/>
      <c r="B586" s="971" t="n"/>
      <c r="C586" s="972" t="n"/>
      <c r="D586" s="973"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73"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73"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73"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75" t="n"/>
      <c r="E590" s="975" t="n"/>
      <c r="F590" s="998" t="n"/>
      <c r="G590" s="998" t="n"/>
      <c r="H590" s="975" t="n"/>
      <c r="I590" s="975" t="n"/>
      <c r="J590" s="975" t="n"/>
      <c r="K590" s="1189">
        <f>K585=L590</f>
        <v/>
      </c>
      <c r="L590" s="491">
        <f>SUM(L585:L589)</f>
        <v/>
      </c>
      <c r="M590" s="1190" t="inlineStr">
        <is>
          <t xml:space="preserve">“Verdadero” indica que la cantidad por lote, coincide con el saldo que inicia al mes siguiente. "Falso" no coinicide. </t>
        </is>
      </c>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413">
        <f>ENERO!K591</f>
        <v/>
      </c>
      <c r="E591" s="339">
        <f>H187</f>
        <v/>
      </c>
      <c r="F591" s="338" t="n">
        <v>359</v>
      </c>
      <c r="G591" s="338" t="n">
        <v>11</v>
      </c>
      <c r="H591" s="1235">
        <f>+F591+G591</f>
        <v/>
      </c>
      <c r="I591" s="340">
        <f>+AM591</f>
        <v/>
      </c>
      <c r="J591" s="341">
        <f>+H591+I591</f>
        <v/>
      </c>
      <c r="K591" s="583">
        <f>+(D591+E591)-(J591)</f>
        <v/>
      </c>
      <c r="L591" s="253" t="n">
        <v>3</v>
      </c>
      <c r="M591" s="254" t="inlineStr">
        <is>
          <t>08AR25015</t>
        </is>
      </c>
      <c r="N591" s="254" t="inlineStr">
        <is>
          <t>VINS BIOPRODUCTS LIMITED</t>
        </is>
      </c>
      <c r="O591" s="1183" t="inlineStr">
        <is>
          <t>31/05/2027</t>
        </is>
      </c>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v>0</v>
      </c>
      <c r="AA591" s="648" t="n">
        <v>0</v>
      </c>
      <c r="AB591" s="649">
        <f>+Z591+AA591</f>
        <v/>
      </c>
      <c r="AC591" s="648" t="n">
        <v>0</v>
      </c>
      <c r="AD591" s="648" t="n">
        <v>0</v>
      </c>
      <c r="AE591" s="648" t="n">
        <v>1</v>
      </c>
      <c r="AF591" s="648" t="n">
        <v>0</v>
      </c>
      <c r="AG591" s="648" t="n">
        <v>0</v>
      </c>
      <c r="AH591" s="648" t="n">
        <v>0</v>
      </c>
      <c r="AI591" s="648" t="n">
        <v>0</v>
      </c>
      <c r="AJ591" s="648" t="n">
        <v>0</v>
      </c>
      <c r="AK591" s="648" t="n">
        <v>0</v>
      </c>
      <c r="AL591" s="648" t="n">
        <v>0</v>
      </c>
      <c r="AM591" s="421">
        <f>SUM(AB591:AL595)</f>
        <v/>
      </c>
      <c r="AN591" s="726" t="n"/>
      <c r="AQ591" s="1238">
        <f>IFERROR(I591/J591*100,"0")</f>
        <v/>
      </c>
      <c r="AR591" s="343">
        <f>IFERROR(1/(1-(AQ591/100)),"0")</f>
        <v/>
      </c>
      <c r="AS591" s="1239" t="n">
        <v>0</v>
      </c>
      <c r="AT591" s="345" t="n">
        <v>1</v>
      </c>
      <c r="AU591" s="1240" t="n"/>
      <c r="AV591" s="1241" t="n"/>
      <c r="AW591" s="1242">
        <f>+H591-AV591</f>
        <v/>
      </c>
    </row>
    <row r="592" ht="17.25" customHeight="1">
      <c r="A592" s="973" t="n"/>
      <c r="B592" s="971" t="n"/>
      <c r="C592" s="972" t="n"/>
      <c r="D592" s="973" t="n"/>
      <c r="E592" s="973" t="n"/>
      <c r="F592" s="994" t="n"/>
      <c r="G592" s="994" t="n"/>
      <c r="H592" s="973" t="n"/>
      <c r="I592" s="973" t="n"/>
      <c r="J592" s="973" t="n"/>
      <c r="K592" s="973" t="n"/>
      <c r="L592" s="253" t="n">
        <v>343</v>
      </c>
      <c r="M592" s="254" t="inlineStr">
        <is>
          <t>1484T128</t>
        </is>
      </c>
      <c r="N592" s="254" t="inlineStr">
        <is>
          <t>Serum</t>
        </is>
      </c>
      <c r="O592" s="1183" t="inlineStr">
        <is>
          <t>31/10/2027</t>
        </is>
      </c>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73" t="n"/>
      <c r="E593" s="973" t="n"/>
      <c r="F593" s="994" t="n"/>
      <c r="G593" s="994" t="n"/>
      <c r="H593" s="973" t="n"/>
      <c r="I593" s="973" t="n"/>
      <c r="J593" s="973" t="n"/>
      <c r="K593" s="973" t="n"/>
      <c r="L593" s="253" t="n">
        <v>4</v>
      </c>
      <c r="M593" s="254" t="inlineStr">
        <is>
          <t>P100819448</t>
        </is>
      </c>
      <c r="N593" s="254" t="inlineStr">
        <is>
          <t>CSL BEHRING</t>
        </is>
      </c>
      <c r="O593" s="1183" t="inlineStr">
        <is>
          <t>24/03/2028</t>
        </is>
      </c>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73" t="n"/>
      <c r="E594" s="973" t="n"/>
      <c r="F594" s="994" t="n"/>
      <c r="G594" s="994" t="n"/>
      <c r="H594" s="973" t="n"/>
      <c r="I594" s="973" t="n"/>
      <c r="J594" s="973" t="n"/>
      <c r="K594" s="973" t="n"/>
      <c r="L594" s="253" t="n">
        <v>12</v>
      </c>
      <c r="M594" s="254" t="inlineStr">
        <is>
          <t>Y1A06</t>
        </is>
      </c>
      <c r="N594" s="254" t="inlineStr">
        <is>
          <t>Sanofi Pasteur</t>
        </is>
      </c>
      <c r="O594" s="1183" t="inlineStr">
        <is>
          <t>31/12/2026</t>
        </is>
      </c>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73" t="n"/>
      <c r="E595" s="973" t="n"/>
      <c r="F595" s="994" t="n"/>
      <c r="G595" s="994" t="n"/>
      <c r="H595" s="973" t="n"/>
      <c r="I595" s="973" t="n"/>
      <c r="J595" s="973" t="n"/>
      <c r="K595" s="975" t="n"/>
      <c r="L595" s="253" t="n"/>
      <c r="M595" s="254" t="n"/>
      <c r="N595" s="254" t="n"/>
      <c r="O595" s="1183" t="n"/>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75" t="n"/>
      <c r="E596" s="975" t="n"/>
      <c r="F596" s="998" t="n"/>
      <c r="G596" s="998" t="n"/>
      <c r="H596" s="975" t="n"/>
      <c r="I596" s="975" t="n"/>
      <c r="J596" s="975" t="n"/>
      <c r="K596" s="1189">
        <f>K591=L596</f>
        <v/>
      </c>
      <c r="L596" s="491">
        <f>SUM(L591:L595)</f>
        <v/>
      </c>
      <c r="M596" s="1190" t="inlineStr">
        <is>
          <t xml:space="preserve">“Verdadero” indica que la cantidad por lote, coincide con el saldo que inicia al mes siguiente. "Falso" no coinicide. </t>
        </is>
      </c>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413">
        <f>ENERO!K597</f>
        <v/>
      </c>
      <c r="E597" s="339">
        <f>H193</f>
        <v/>
      </c>
      <c r="F597" s="338" t="n">
        <v>0</v>
      </c>
      <c r="G597" s="338" t="n">
        <v>0</v>
      </c>
      <c r="H597" s="1235">
        <f>+F597+G597</f>
        <v/>
      </c>
      <c r="I597" s="340">
        <f>+AM597</f>
        <v/>
      </c>
      <c r="J597" s="341">
        <f>+H597+I597</f>
        <v/>
      </c>
      <c r="K597" s="583">
        <f>+(D597+E597)-(J597)</f>
        <v/>
      </c>
      <c r="L597" s="253" t="n">
        <v>3</v>
      </c>
      <c r="M597" s="254" t="inlineStr">
        <is>
          <t>08AR25015</t>
        </is>
      </c>
      <c r="N597" s="254" t="inlineStr">
        <is>
          <t>VINS BIOPRODUCTS LIMITED</t>
        </is>
      </c>
      <c r="O597" s="1183" t="inlineStr">
        <is>
          <t>31/05/2027</t>
        </is>
      </c>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v>0</v>
      </c>
      <c r="AA597" s="648" t="n">
        <v>0</v>
      </c>
      <c r="AB597" s="649">
        <f>+Z597+AA597</f>
        <v/>
      </c>
      <c r="AC597" s="648" t="n">
        <v>0</v>
      </c>
      <c r="AD597" s="648" t="n">
        <v>0</v>
      </c>
      <c r="AE597" s="648" t="n">
        <v>0</v>
      </c>
      <c r="AF597" s="648" t="n">
        <v>0</v>
      </c>
      <c r="AG597" s="648" t="n">
        <v>0</v>
      </c>
      <c r="AH597" s="648" t="n">
        <v>0</v>
      </c>
      <c r="AI597" s="648" t="n">
        <v>0</v>
      </c>
      <c r="AJ597" s="648" t="n">
        <v>0</v>
      </c>
      <c r="AK597" s="648" t="n">
        <v>0</v>
      </c>
      <c r="AL597" s="648" t="n">
        <v>0</v>
      </c>
      <c r="AM597" s="421">
        <f>SUM(AB597:AL601)</f>
        <v/>
      </c>
      <c r="AN597" s="726" t="n"/>
      <c r="AQ597" s="1238">
        <f>IFERROR(I597/J597*100,"0")</f>
        <v/>
      </c>
      <c r="AR597" s="343">
        <f>IFERROR(1/(1-(AQ597/100)),"0")</f>
        <v/>
      </c>
      <c r="AS597" s="1239" t="n">
        <v>0</v>
      </c>
      <c r="AT597" s="345" t="n">
        <v>1</v>
      </c>
      <c r="AU597" s="1240" t="n"/>
      <c r="AV597" s="1241" t="n"/>
      <c r="AW597" s="1242">
        <f>+H597-AV597</f>
        <v/>
      </c>
    </row>
    <row r="598" ht="17.25" customHeight="1">
      <c r="A598" s="973" t="n"/>
      <c r="B598" s="971" t="n"/>
      <c r="C598" s="972" t="n"/>
      <c r="D598" s="973" t="n"/>
      <c r="E598" s="973" t="n"/>
      <c r="F598" s="994" t="n"/>
      <c r="G598" s="994" t="n"/>
      <c r="H598" s="973" t="n"/>
      <c r="I598" s="973" t="n"/>
      <c r="J598" s="973" t="n"/>
      <c r="K598" s="973" t="n"/>
      <c r="L598" s="253" t="n">
        <v>11</v>
      </c>
      <c r="M598" s="254" t="inlineStr">
        <is>
          <t>1484T128</t>
        </is>
      </c>
      <c r="N598" s="254" t="inlineStr">
        <is>
          <t>Serum</t>
        </is>
      </c>
      <c r="O598" s="1183" t="inlineStr">
        <is>
          <t>31/10/2027</t>
        </is>
      </c>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73" t="n"/>
      <c r="E599" s="973" t="n"/>
      <c r="F599" s="994" t="n"/>
      <c r="G599" s="994" t="n"/>
      <c r="H599" s="973" t="n"/>
      <c r="I599" s="973" t="n"/>
      <c r="J599" s="973" t="n"/>
      <c r="K599" s="973" t="n"/>
      <c r="L599" s="253" t="n">
        <v>16</v>
      </c>
      <c r="M599" s="254" t="inlineStr">
        <is>
          <t>P100819448</t>
        </is>
      </c>
      <c r="N599" s="254" t="inlineStr">
        <is>
          <t>CSL BEHRING</t>
        </is>
      </c>
      <c r="O599" s="1183" t="inlineStr">
        <is>
          <t>24/03/2028</t>
        </is>
      </c>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73"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73"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75" t="n"/>
      <c r="E602" s="975" t="n"/>
      <c r="F602" s="998" t="n"/>
      <c r="G602" s="998" t="n"/>
      <c r="H602" s="975" t="n"/>
      <c r="I602" s="975" t="n"/>
      <c r="J602" s="975" t="n"/>
      <c r="K602" s="1189">
        <f>K597=L602</f>
        <v/>
      </c>
      <c r="L602" s="491">
        <f>SUM(L597:L601)</f>
        <v/>
      </c>
      <c r="M602" s="1190" t="inlineStr">
        <is>
          <t xml:space="preserve">“Verdadero” indica que la cantidad por lote, coincide con el saldo que inicia al mes siguiente. "Falso" no coinicide. </t>
        </is>
      </c>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413">
        <f>ENERO!K603</f>
        <v/>
      </c>
      <c r="E603" s="339">
        <f>H199</f>
        <v/>
      </c>
      <c r="F603" s="338" t="n">
        <v>117</v>
      </c>
      <c r="G603" s="338" t="n">
        <v>3</v>
      </c>
      <c r="H603" s="1235">
        <f>+F603+G603</f>
        <v/>
      </c>
      <c r="I603" s="340">
        <f>+AM603</f>
        <v/>
      </c>
      <c r="J603" s="341">
        <f>+H603+I603</f>
        <v/>
      </c>
      <c r="K603" s="583">
        <f>+(D603+E603)-(J603)</f>
        <v/>
      </c>
      <c r="L603" s="253" t="n">
        <v>249</v>
      </c>
      <c r="M603" s="254" t="inlineStr">
        <is>
          <t>08AR25015</t>
        </is>
      </c>
      <c r="N603" s="254" t="inlineStr">
        <is>
          <t>VINS BIOPRODUCTS LIMITED</t>
        </is>
      </c>
      <c r="O603" s="1183" t="inlineStr">
        <is>
          <t>31/05/2027</t>
        </is>
      </c>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v>0</v>
      </c>
      <c r="AA603" s="648" t="n">
        <v>0</v>
      </c>
      <c r="AB603" s="649">
        <f>+Z603+AA603</f>
        <v/>
      </c>
      <c r="AC603" s="648" t="n">
        <v>0</v>
      </c>
      <c r="AD603" s="648" t="n">
        <v>0</v>
      </c>
      <c r="AE603" s="648" t="n">
        <v>0</v>
      </c>
      <c r="AF603" s="648" t="n">
        <v>0</v>
      </c>
      <c r="AG603" s="648" t="n">
        <v>0</v>
      </c>
      <c r="AH603" s="648" t="n">
        <v>0</v>
      </c>
      <c r="AI603" s="648" t="n">
        <v>0</v>
      </c>
      <c r="AJ603" s="648" t="n">
        <v>0</v>
      </c>
      <c r="AK603" s="648" t="n">
        <v>0</v>
      </c>
      <c r="AL603" s="648" t="n">
        <v>0</v>
      </c>
      <c r="AM603" s="421">
        <f>SUM(AB603:AL607)</f>
        <v/>
      </c>
      <c r="AN603" s="726" t="n"/>
      <c r="AQ603" s="1238">
        <f>IFERROR(I603/J603*100,"0")</f>
        <v/>
      </c>
      <c r="AR603" s="343">
        <f>IFERROR(1/(1-(AQ603/100)),"0")</f>
        <v/>
      </c>
      <c r="AS603" s="1239" t="n">
        <v>0</v>
      </c>
      <c r="AT603" s="345" t="n">
        <v>1</v>
      </c>
      <c r="AU603" s="1240" t="n"/>
      <c r="AV603" s="1241" t="n"/>
      <c r="AW603" s="1242">
        <f>+H603-AV603</f>
        <v/>
      </c>
    </row>
    <row r="604" ht="17.25" customHeight="1">
      <c r="A604" s="973" t="n"/>
      <c r="B604" s="971" t="n"/>
      <c r="C604" s="972" t="n"/>
      <c r="D604" s="973" t="n"/>
      <c r="E604" s="973" t="n"/>
      <c r="F604" s="994" t="n"/>
      <c r="G604" s="994" t="n"/>
      <c r="H604" s="973" t="n"/>
      <c r="I604" s="973" t="n"/>
      <c r="J604" s="973" t="n"/>
      <c r="K604" s="973" t="n"/>
      <c r="L604" s="253" t="n"/>
      <c r="M604" s="254" t="n"/>
      <c r="N604" s="254" t="n"/>
      <c r="O604" s="1183" t="n"/>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73" t="n"/>
      <c r="E605" s="973" t="n"/>
      <c r="F605" s="994" t="n"/>
      <c r="G605" s="994" t="n"/>
      <c r="H605" s="973" t="n"/>
      <c r="I605" s="973" t="n"/>
      <c r="J605" s="973" t="n"/>
      <c r="K605" s="973" t="n"/>
      <c r="L605" s="253" t="n"/>
      <c r="M605" s="254" t="n"/>
      <c r="N605" s="254" t="n"/>
      <c r="O605" s="1183" t="n"/>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73" t="n"/>
      <c r="E606" s="973" t="n"/>
      <c r="F606" s="994" t="n"/>
      <c r="G606" s="994" t="n"/>
      <c r="H606" s="973" t="n"/>
      <c r="I606" s="973" t="n"/>
      <c r="J606" s="973" t="n"/>
      <c r="K606" s="973" t="n"/>
      <c r="L606" s="253" t="n"/>
      <c r="M606" s="254" t="n"/>
      <c r="N606" s="254" t="n"/>
      <c r="O606" s="1183" t="n"/>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73"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75" t="n"/>
      <c r="E608" s="975" t="n"/>
      <c r="F608" s="998" t="n"/>
      <c r="G608" s="998" t="n"/>
      <c r="H608" s="975" t="n"/>
      <c r="I608" s="975" t="n"/>
      <c r="J608" s="975" t="n"/>
      <c r="K608" s="1189">
        <f>K603=L608</f>
        <v/>
      </c>
      <c r="L608" s="491">
        <f>SUM(L603:L607)</f>
        <v/>
      </c>
      <c r="M608" s="1190" t="inlineStr">
        <is>
          <t xml:space="preserve">“Verdadero” indica que la cantidad por lote, coincide con el saldo que inicia al mes siguiente. "Falso" no coinicide. </t>
        </is>
      </c>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413">
        <f>ENERO!K609</f>
        <v/>
      </c>
      <c r="E609" s="339">
        <f>H205</f>
        <v/>
      </c>
      <c r="F609" s="338" t="n">
        <v>14</v>
      </c>
      <c r="G609" s="338" t="n">
        <v>0</v>
      </c>
      <c r="H609" s="1235">
        <f>+F609+G609</f>
        <v/>
      </c>
      <c r="I609" s="340">
        <f>+AM609</f>
        <v/>
      </c>
      <c r="J609" s="341">
        <f>+H609+I609</f>
        <v/>
      </c>
      <c r="K609" s="583">
        <f>+(D609+E609)-(J609)</f>
        <v/>
      </c>
      <c r="L609" s="253" t="n">
        <v>5</v>
      </c>
      <c r="M609" s="254" t="inlineStr">
        <is>
          <t>P100646141</t>
        </is>
      </c>
      <c r="N609" s="254" t="inlineStr">
        <is>
          <t>CSL BEHRING</t>
        </is>
      </c>
      <c r="O609" s="1183" t="inlineStr">
        <is>
          <t>27/11/2026</t>
        </is>
      </c>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v>0</v>
      </c>
      <c r="AA609" s="648" t="n">
        <v>0</v>
      </c>
      <c r="AB609" s="649">
        <f>+Z609+AA609</f>
        <v/>
      </c>
      <c r="AC609" s="648" t="n">
        <v>0</v>
      </c>
      <c r="AD609" s="648" t="n">
        <v>0</v>
      </c>
      <c r="AE609" s="648" t="n">
        <v>0</v>
      </c>
      <c r="AF609" s="648" t="n">
        <v>0</v>
      </c>
      <c r="AG609" s="648" t="n">
        <v>0</v>
      </c>
      <c r="AH609" s="648" t="n">
        <v>0</v>
      </c>
      <c r="AI609" s="648" t="n">
        <v>0</v>
      </c>
      <c r="AJ609" s="648" t="n">
        <v>0</v>
      </c>
      <c r="AK609" s="648" t="n">
        <v>0</v>
      </c>
      <c r="AL609" s="648" t="n">
        <v>0</v>
      </c>
      <c r="AM609" s="421">
        <f>SUM(AB609:AL613)</f>
        <v/>
      </c>
      <c r="AN609" s="726" t="n"/>
      <c r="AQ609" s="1238">
        <f>IFERROR(I609/J609*100,"0")</f>
        <v/>
      </c>
      <c r="AR609" s="343">
        <f>IFERROR(1/(1-(AQ609/100)),"0")</f>
        <v/>
      </c>
      <c r="AS609" s="1239" t="n">
        <v>0</v>
      </c>
      <c r="AT609" s="345" t="n">
        <v>1</v>
      </c>
      <c r="AU609" s="1240" t="n"/>
      <c r="AV609" s="1241" t="n"/>
      <c r="AW609" s="1242">
        <f>+H609-AV609</f>
        <v/>
      </c>
    </row>
    <row r="610" ht="17.25" customHeight="1">
      <c r="A610" s="973" t="n"/>
      <c r="B610" s="971" t="n"/>
      <c r="C610" s="972" t="n"/>
      <c r="D610" s="973" t="n"/>
      <c r="E610" s="973" t="n"/>
      <c r="F610" s="994" t="n"/>
      <c r="G610" s="994" t="n"/>
      <c r="H610" s="973" t="n"/>
      <c r="I610" s="973" t="n"/>
      <c r="J610" s="973" t="n"/>
      <c r="K610" s="973" t="n"/>
      <c r="L610" s="253" t="n">
        <v>6</v>
      </c>
      <c r="M610" s="254" t="inlineStr">
        <is>
          <t>P100666739</t>
        </is>
      </c>
      <c r="N610" s="254" t="inlineStr">
        <is>
          <t>CSL BEHRING</t>
        </is>
      </c>
      <c r="O610" s="1183" t="inlineStr">
        <is>
          <t>12/02/2027</t>
        </is>
      </c>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73" t="n"/>
      <c r="E611" s="973" t="n"/>
      <c r="F611" s="994" t="n"/>
      <c r="G611" s="994" t="n"/>
      <c r="H611" s="973" t="n"/>
      <c r="I611" s="973" t="n"/>
      <c r="J611" s="973" t="n"/>
      <c r="K611" s="973" t="n"/>
      <c r="L611" s="253" t="n">
        <v>15</v>
      </c>
      <c r="M611" s="254" t="inlineStr">
        <is>
          <t>P100700727</t>
        </is>
      </c>
      <c r="N611" s="254" t="inlineStr">
        <is>
          <t>CSL BEHRING</t>
        </is>
      </c>
      <c r="O611" s="1183" t="inlineStr">
        <is>
          <t>08/04/2027</t>
        </is>
      </c>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73" t="n"/>
      <c r="E612" s="973" t="n"/>
      <c r="F612" s="994" t="n"/>
      <c r="G612" s="994" t="n"/>
      <c r="H612" s="973" t="n"/>
      <c r="I612" s="973" t="n"/>
      <c r="J612" s="973" t="n"/>
      <c r="K612" s="973" t="n"/>
      <c r="L612" s="253" t="n">
        <v>13</v>
      </c>
      <c r="M612" s="254" t="inlineStr">
        <is>
          <t>P100734570</t>
        </is>
      </c>
      <c r="N612" s="254" t="inlineStr">
        <is>
          <t>CSL BEHRING</t>
        </is>
      </c>
      <c r="O612" s="1183" t="inlineStr">
        <is>
          <t>12/02/2027</t>
        </is>
      </c>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73" t="n"/>
      <c r="E613" s="973" t="n"/>
      <c r="F613" s="994" t="n"/>
      <c r="G613" s="994" t="n"/>
      <c r="H613" s="973" t="n"/>
      <c r="I613" s="973" t="n"/>
      <c r="J613" s="973" t="n"/>
      <c r="K613" s="975" t="n"/>
      <c r="L613" s="253" t="n">
        <v>64</v>
      </c>
      <c r="M613" s="254" t="inlineStr">
        <is>
          <t>P100756726</t>
        </is>
      </c>
      <c r="N613" s="254" t="inlineStr">
        <is>
          <t>CSL BEHRING</t>
        </is>
      </c>
      <c r="O613" s="1183" t="inlineStr">
        <is>
          <t>09/10/2027</t>
        </is>
      </c>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75" t="n"/>
      <c r="E614" s="975" t="n"/>
      <c r="F614" s="998" t="n"/>
      <c r="G614" s="998" t="n"/>
      <c r="H614" s="975" t="n"/>
      <c r="I614" s="975" t="n"/>
      <c r="J614" s="975" t="n"/>
      <c r="K614" s="1189">
        <f>K609=L614</f>
        <v/>
      </c>
      <c r="L614" s="491">
        <f>SUM(L609:L613)</f>
        <v/>
      </c>
      <c r="M614" s="1190" t="inlineStr">
        <is>
          <t xml:space="preserve">“Verdadero” indica que la cantidad por lote, coincide con el saldo que inicia al mes siguiente. "Falso" no coinicide. </t>
        </is>
      </c>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413">
        <f>ENERO!K615</f>
        <v/>
      </c>
      <c r="E615" s="339">
        <f>H211</f>
        <v/>
      </c>
      <c r="F615" s="338" t="n">
        <v>0</v>
      </c>
      <c r="G615" s="338" t="n">
        <v>0</v>
      </c>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v>0</v>
      </c>
      <c r="AA615" s="648" t="n">
        <v>0</v>
      </c>
      <c r="AB615" s="649">
        <f>+Z615+AA615</f>
        <v/>
      </c>
      <c r="AC615" s="648" t="n">
        <v>0</v>
      </c>
      <c r="AD615" s="648" t="n">
        <v>0</v>
      </c>
      <c r="AE615" s="648" t="n">
        <v>0</v>
      </c>
      <c r="AF615" s="648" t="n">
        <v>0</v>
      </c>
      <c r="AG615" s="648" t="n">
        <v>0</v>
      </c>
      <c r="AH615" s="648" t="n">
        <v>0</v>
      </c>
      <c r="AI615" s="648" t="n">
        <v>0</v>
      </c>
      <c r="AJ615" s="648" t="n">
        <v>0</v>
      </c>
      <c r="AK615" s="648" t="n">
        <v>0</v>
      </c>
      <c r="AL615" s="648" t="n">
        <v>0</v>
      </c>
      <c r="AM615" s="421">
        <f>SUM(AB615:AL619)</f>
        <v/>
      </c>
      <c r="AN615" s="726" t="n"/>
      <c r="AQ615" s="1238">
        <f>IFERROR(I615/J615*100,"0")</f>
        <v/>
      </c>
      <c r="AR615" s="343">
        <f>IFERROR(1/(1-(AQ615/100)),"0")</f>
        <v/>
      </c>
      <c r="AS615" s="1239" t="n">
        <v>0</v>
      </c>
      <c r="AT615" s="345" t="n">
        <v>1</v>
      </c>
      <c r="AU615" s="1240" t="n"/>
      <c r="AV615" s="1241" t="n"/>
      <c r="AW615" s="1242">
        <f>+H615-AV615</f>
        <v/>
      </c>
    </row>
    <row r="616" ht="17.25" customHeight="1">
      <c r="A616" s="973" t="n"/>
      <c r="B616" s="971" t="n"/>
      <c r="C616" s="972" t="n"/>
      <c r="D616" s="973"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73"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73"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73"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75" t="n"/>
      <c r="E620" s="975" t="n"/>
      <c r="F620" s="998" t="n"/>
      <c r="G620" s="998" t="n"/>
      <c r="H620" s="975" t="n"/>
      <c r="I620" s="975" t="n"/>
      <c r="J620" s="975" t="n"/>
      <c r="K620" s="1189">
        <f>K615=L620</f>
        <v/>
      </c>
      <c r="L620" s="491">
        <f>SUM(L615:L619)</f>
        <v/>
      </c>
      <c r="M620" s="1190" t="inlineStr">
        <is>
          <t xml:space="preserve">“Verdadero” indica que la cantidad por lote, coincide con el saldo que inicia al mes siguiente. "Falso" no coinicide. </t>
        </is>
      </c>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413">
        <f>ENERO!K621</f>
        <v/>
      </c>
      <c r="E621" s="339">
        <f>H217</f>
        <v/>
      </c>
      <c r="F621" s="338" t="n">
        <v>0</v>
      </c>
      <c r="G621" s="338" t="n">
        <v>0</v>
      </c>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v>0</v>
      </c>
      <c r="AA621" s="648" t="n">
        <v>0</v>
      </c>
      <c r="AB621" s="649">
        <f>+Z621+AA621</f>
        <v/>
      </c>
      <c r="AC621" s="648" t="n">
        <v>0</v>
      </c>
      <c r="AD621" s="648" t="n">
        <v>0</v>
      </c>
      <c r="AE621" s="648" t="n">
        <v>0</v>
      </c>
      <c r="AF621" s="648" t="n">
        <v>0</v>
      </c>
      <c r="AG621" s="648" t="n">
        <v>0</v>
      </c>
      <c r="AH621" s="648" t="n">
        <v>0</v>
      </c>
      <c r="AI621" s="648" t="n">
        <v>0</v>
      </c>
      <c r="AJ621" s="648" t="n">
        <v>0</v>
      </c>
      <c r="AK621" s="648" t="n">
        <v>0</v>
      </c>
      <c r="AL621" s="648" t="n">
        <v>0</v>
      </c>
      <c r="AM621" s="421">
        <f>SUM(AB621:AL625)</f>
        <v/>
      </c>
      <c r="AN621" s="726" t="n"/>
      <c r="AQ621" s="1238">
        <f>IFERROR(I621/J621*100,"0")</f>
        <v/>
      </c>
      <c r="AR621" s="343">
        <f>IFERROR(1/(1-(AQ621/100)),"0")</f>
        <v/>
      </c>
      <c r="AS621" s="1239" t="n">
        <v>0</v>
      </c>
      <c r="AT621" s="345" t="n">
        <v>1</v>
      </c>
      <c r="AU621" s="1240" t="n"/>
      <c r="AV621" s="1241" t="n"/>
      <c r="AW621" s="1242">
        <f>+H621-AV621</f>
        <v/>
      </c>
    </row>
    <row r="622" ht="17.25" customHeight="1">
      <c r="A622" s="973" t="n"/>
      <c r="B622" s="971" t="n"/>
      <c r="C622" s="972" t="n"/>
      <c r="D622" s="973"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73"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73"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73"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75" t="n"/>
      <c r="E626" s="975" t="n"/>
      <c r="F626" s="998" t="n"/>
      <c r="G626" s="998" t="n"/>
      <c r="H626" s="975" t="n"/>
      <c r="I626" s="975" t="n"/>
      <c r="J626" s="975" t="n"/>
      <c r="K626" s="1189">
        <f>K621=L626</f>
        <v/>
      </c>
      <c r="L626" s="491">
        <f>SUM(L621:L625)</f>
        <v/>
      </c>
      <c r="M626" s="1190" t="inlineStr">
        <is>
          <t xml:space="preserve">“Verdadero” indica que la cantidad por lote, coincide con el saldo que inicia al mes siguiente. "Falso" no coinicide. </t>
        </is>
      </c>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413">
        <f>ENERO!K627</f>
        <v/>
      </c>
      <c r="E627" s="339">
        <f>H223</f>
        <v/>
      </c>
      <c r="F627" s="338" t="n">
        <v>0</v>
      </c>
      <c r="G627" s="338" t="n">
        <v>0</v>
      </c>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v>0</v>
      </c>
      <c r="AA627" s="648" t="n">
        <v>0</v>
      </c>
      <c r="AB627" s="649">
        <f>+Z627+AA627</f>
        <v/>
      </c>
      <c r="AC627" s="648" t="n">
        <v>0</v>
      </c>
      <c r="AD627" s="648" t="n">
        <v>0</v>
      </c>
      <c r="AE627" s="648" t="n">
        <v>0</v>
      </c>
      <c r="AF627" s="648" t="n">
        <v>0</v>
      </c>
      <c r="AG627" s="648" t="n">
        <v>0</v>
      </c>
      <c r="AH627" s="648" t="n">
        <v>0</v>
      </c>
      <c r="AI627" s="648" t="n">
        <v>0</v>
      </c>
      <c r="AJ627" s="648" t="n">
        <v>0</v>
      </c>
      <c r="AK627" s="648" t="n">
        <v>0</v>
      </c>
      <c r="AL627" s="648" t="n">
        <v>0</v>
      </c>
      <c r="AM627" s="421">
        <f>SUM(AB627:AL631)</f>
        <v/>
      </c>
      <c r="AN627" s="726" t="n"/>
      <c r="AQ627" s="1238">
        <f>IFERROR(I627/J627*100,"0")</f>
        <v/>
      </c>
      <c r="AR627" s="343">
        <f>IFERROR(1/(1-(AQ627/100)),"0")</f>
        <v/>
      </c>
      <c r="AS627" s="1239" t="n">
        <v>0</v>
      </c>
      <c r="AT627" s="345" t="n">
        <v>1</v>
      </c>
      <c r="AU627" s="1240" t="n"/>
      <c r="AV627" s="1241" t="n"/>
      <c r="AW627" s="1242">
        <f>+H627-AV627</f>
        <v/>
      </c>
    </row>
    <row r="628" ht="17.25" customHeight="1">
      <c r="A628" s="973" t="n"/>
      <c r="B628" s="971" t="n"/>
      <c r="C628" s="972" t="n"/>
      <c r="D628" s="973"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73"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73"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73"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75" t="n"/>
      <c r="E632" s="975" t="n"/>
      <c r="F632" s="998" t="n"/>
      <c r="G632" s="998" t="n"/>
      <c r="H632" s="975" t="n"/>
      <c r="I632" s="975" t="n"/>
      <c r="J632" s="975" t="n"/>
      <c r="K632" s="1189">
        <f>K627=L632</f>
        <v/>
      </c>
      <c r="L632" s="491">
        <f>SUM(L627:L631)</f>
        <v/>
      </c>
      <c r="M632" s="1190" t="inlineStr">
        <is>
          <t xml:space="preserve">“Verdadero” indica que la cantidad por lote, coincide con el saldo que inicia al mes siguiente. "Falso" no coinicide. </t>
        </is>
      </c>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533"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413">
        <f>ENERO!K634</f>
        <v/>
      </c>
      <c r="E634" s="339">
        <f>H230</f>
        <v/>
      </c>
      <c r="F634" s="338" t="n">
        <v>619</v>
      </c>
      <c r="G634" s="338" t="n">
        <v>22</v>
      </c>
      <c r="H634" s="1235">
        <f>+F634+G634</f>
        <v/>
      </c>
      <c r="I634" s="340">
        <f>+AM634</f>
        <v/>
      </c>
      <c r="J634" s="341">
        <f>+H634+I634</f>
        <v/>
      </c>
      <c r="K634" s="583">
        <f>+(D634+E634)-(J634)</f>
        <v/>
      </c>
      <c r="L634" s="253" t="n">
        <v>2545</v>
      </c>
      <c r="M634" s="254" t="n"/>
      <c r="N634" s="254" t="n"/>
      <c r="O634" s="1183" t="n"/>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v>581</v>
      </c>
      <c r="AA634" s="648" t="n">
        <v>152</v>
      </c>
      <c r="AB634" s="649">
        <f>+Z634+AA634</f>
        <v/>
      </c>
      <c r="AC634" s="648" t="n">
        <v>0</v>
      </c>
      <c r="AD634" s="648" t="n">
        <v>0</v>
      </c>
      <c r="AE634" s="648" t="n">
        <v>0</v>
      </c>
      <c r="AF634" s="648" t="n">
        <v>0</v>
      </c>
      <c r="AG634" s="648" t="n">
        <v>0</v>
      </c>
      <c r="AH634" s="648" t="n">
        <v>0</v>
      </c>
      <c r="AI634" s="648" t="n">
        <v>0</v>
      </c>
      <c r="AJ634" s="648" t="n">
        <v>0</v>
      </c>
      <c r="AK634" s="648" t="n">
        <v>0</v>
      </c>
      <c r="AL634" s="648" t="n">
        <v>0</v>
      </c>
      <c r="AM634" s="421">
        <f>SUM(AB634:AL638)</f>
        <v/>
      </c>
      <c r="AN634" s="726" t="n"/>
      <c r="AU634" s="1240" t="n"/>
      <c r="AV634" s="1240" t="n"/>
    </row>
    <row r="635" ht="17.1" customHeight="1">
      <c r="A635" s="973" t="n"/>
      <c r="B635" s="971" t="n"/>
      <c r="C635" s="972" t="n"/>
      <c r="D635" s="973" t="n"/>
      <c r="E635" s="973" t="n"/>
      <c r="F635" s="994" t="n"/>
      <c r="G635" s="994" t="n"/>
      <c r="H635" s="973" t="n"/>
      <c r="I635" s="973" t="n"/>
      <c r="J635" s="973" t="n"/>
      <c r="K635" s="973" t="n"/>
      <c r="L635" s="253" t="n"/>
      <c r="M635" s="254" t="n"/>
      <c r="N635" s="254" t="n"/>
      <c r="O635" s="1183" t="n"/>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73" t="n"/>
      <c r="E636" s="973" t="n"/>
      <c r="F636" s="994" t="n"/>
      <c r="G636" s="994" t="n"/>
      <c r="H636" s="973" t="n"/>
      <c r="I636" s="973" t="n"/>
      <c r="J636" s="973" t="n"/>
      <c r="K636" s="973" t="n"/>
      <c r="L636" s="253" t="n"/>
      <c r="M636" s="254" t="n"/>
      <c r="N636" s="254" t="n"/>
      <c r="O636" s="1183" t="n"/>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73" t="n"/>
      <c r="E637" s="973" t="n"/>
      <c r="F637" s="994" t="n"/>
      <c r="G637" s="994" t="n"/>
      <c r="H637" s="973" t="n"/>
      <c r="I637" s="973" t="n"/>
      <c r="J637" s="973" t="n"/>
      <c r="K637" s="973" t="n"/>
      <c r="L637" s="253" t="n"/>
      <c r="M637" s="254" t="n"/>
      <c r="N637" s="254" t="n"/>
      <c r="O637" s="1183" t="n"/>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73" t="n"/>
      <c r="E638" s="973" t="n"/>
      <c r="F638" s="994" t="n"/>
      <c r="G638" s="994" t="n"/>
      <c r="H638" s="973" t="n"/>
      <c r="I638" s="973" t="n"/>
      <c r="J638" s="973" t="n"/>
      <c r="K638" s="975" t="n"/>
      <c r="L638" s="253" t="n"/>
      <c r="M638" s="254" t="n"/>
      <c r="N638" s="254" t="n"/>
      <c r="O638" s="1183" t="n"/>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75" t="n"/>
      <c r="E639" s="975" t="n"/>
      <c r="F639" s="998" t="n"/>
      <c r="G639" s="998" t="n"/>
      <c r="H639" s="975" t="n"/>
      <c r="I639" s="975" t="n"/>
      <c r="J639" s="975" t="n"/>
      <c r="K639" s="1189">
        <f>K634=L639</f>
        <v/>
      </c>
      <c r="L639" s="491">
        <f>SUM(L634:L638)</f>
        <v/>
      </c>
      <c r="M639" s="1190" t="inlineStr">
        <is>
          <t xml:space="preserve">“Verdadero” indica que la cantidad por lote, coincide con el saldo que inicia al mes siguiente. "Falso" no coinicide. </t>
        </is>
      </c>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413">
        <f>ENERO!K640</f>
        <v/>
      </c>
      <c r="E640" s="339">
        <f>H236</f>
        <v/>
      </c>
      <c r="F640" s="338" t="n">
        <v>1511</v>
      </c>
      <c r="G640" s="338" t="n">
        <v>27</v>
      </c>
      <c r="H640" s="1235">
        <f>+F640+G640</f>
        <v/>
      </c>
      <c r="I640" s="340">
        <f>+AM640</f>
        <v/>
      </c>
      <c r="J640" s="341">
        <f>+H640+I640</f>
        <v/>
      </c>
      <c r="K640" s="583">
        <f>+(D640+E640)-(J640)</f>
        <v/>
      </c>
      <c r="L640" s="253" t="n">
        <v>2649</v>
      </c>
      <c r="M640" s="254" t="n"/>
      <c r="N640" s="254" t="n"/>
      <c r="O640" s="1183" t="n"/>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v>0</v>
      </c>
      <c r="AA640" s="648" t="n">
        <v>0</v>
      </c>
      <c r="AB640" s="649">
        <f>+Z640+AA640</f>
        <v/>
      </c>
      <c r="AC640" s="648" t="n">
        <v>0</v>
      </c>
      <c r="AD640" s="648" t="n">
        <v>0</v>
      </c>
      <c r="AE640" s="648" t="n">
        <v>1</v>
      </c>
      <c r="AF640" s="648" t="n">
        <v>1</v>
      </c>
      <c r="AG640" s="648" t="n">
        <v>17</v>
      </c>
      <c r="AH640" s="648" t="n">
        <v>0</v>
      </c>
      <c r="AI640" s="648" t="n">
        <v>0</v>
      </c>
      <c r="AJ640" s="648" t="n">
        <v>0</v>
      </c>
      <c r="AK640" s="648" t="n">
        <v>0</v>
      </c>
      <c r="AL640" s="648" t="n">
        <v>0</v>
      </c>
      <c r="AM640" s="421">
        <f>SUM(AB640:AL644)</f>
        <v/>
      </c>
      <c r="AN640" s="726" t="n"/>
      <c r="AU640" s="1240" t="n"/>
      <c r="AV640" s="1240" t="n"/>
    </row>
    <row r="641" ht="17.1" customHeight="1">
      <c r="A641" s="973" t="n"/>
      <c r="B641" s="971" t="n"/>
      <c r="C641" s="972" t="n"/>
      <c r="D641" s="973" t="n"/>
      <c r="E641" s="973" t="n"/>
      <c r="F641" s="994" t="n"/>
      <c r="G641" s="994" t="n"/>
      <c r="H641" s="973" t="n"/>
      <c r="I641" s="973" t="n"/>
      <c r="J641" s="973" t="n"/>
      <c r="K641" s="973" t="n"/>
      <c r="L641" s="253" t="n"/>
      <c r="M641" s="254" t="n"/>
      <c r="N641" s="254" t="n"/>
      <c r="O641" s="1183" t="n"/>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73" t="n"/>
      <c r="E642" s="973" t="n"/>
      <c r="F642" s="994" t="n"/>
      <c r="G642" s="994" t="n"/>
      <c r="H642" s="973" t="n"/>
      <c r="I642" s="973" t="n"/>
      <c r="J642" s="973" t="n"/>
      <c r="K642" s="973" t="n"/>
      <c r="L642" s="253" t="n"/>
      <c r="M642" s="254" t="n"/>
      <c r="N642" s="254" t="n"/>
      <c r="O642" s="1183" t="n"/>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73" t="n"/>
      <c r="E643" s="973" t="n"/>
      <c r="F643" s="994" t="n"/>
      <c r="G643" s="994" t="n"/>
      <c r="H643" s="973" t="n"/>
      <c r="I643" s="973" t="n"/>
      <c r="J643" s="973" t="n"/>
      <c r="K643" s="973" t="n"/>
      <c r="L643" s="253" t="n"/>
      <c r="M643" s="254" t="n"/>
      <c r="N643" s="254" t="n"/>
      <c r="O643" s="1183" t="n"/>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73"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75" t="n"/>
      <c r="E645" s="975" t="n"/>
      <c r="F645" s="998" t="n"/>
      <c r="G645" s="998" t="n"/>
      <c r="H645" s="975" t="n"/>
      <c r="I645" s="975" t="n"/>
      <c r="J645" s="975" t="n"/>
      <c r="K645" s="1189">
        <f>K640=L645</f>
        <v/>
      </c>
      <c r="L645" s="491">
        <f>SUM(L640:L644)</f>
        <v/>
      </c>
      <c r="M645" s="1190" t="inlineStr">
        <is>
          <t xml:space="preserve">“Verdadero” indica que la cantidad por lote, coincide con el saldo que inicia al mes siguiente. "Falso" no coinicide. </t>
        </is>
      </c>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413">
        <f>ENERO!K646</f>
        <v/>
      </c>
      <c r="E646" s="339">
        <f>H242</f>
        <v/>
      </c>
      <c r="F646" s="338" t="n">
        <v>0</v>
      </c>
      <c r="G646" s="338" t="n">
        <v>0</v>
      </c>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v>0</v>
      </c>
      <c r="AA646" s="648" t="n">
        <v>0</v>
      </c>
      <c r="AB646" s="649">
        <f>+Z646+AA646</f>
        <v/>
      </c>
      <c r="AC646" s="648" t="n">
        <v>0</v>
      </c>
      <c r="AD646" s="648" t="n">
        <v>0</v>
      </c>
      <c r="AE646" s="648" t="n">
        <v>0</v>
      </c>
      <c r="AF646" s="648" t="n">
        <v>0</v>
      </c>
      <c r="AG646" s="648" t="n">
        <v>0</v>
      </c>
      <c r="AH646" s="648" t="n">
        <v>0</v>
      </c>
      <c r="AI646" s="648" t="n">
        <v>0</v>
      </c>
      <c r="AJ646" s="648" t="n">
        <v>0</v>
      </c>
      <c r="AK646" s="648" t="n">
        <v>0</v>
      </c>
      <c r="AL646" s="648" t="n">
        <v>0</v>
      </c>
      <c r="AM646" s="421">
        <f>SUM(AB646:AL650)</f>
        <v/>
      </c>
      <c r="AN646" s="726" t="n"/>
      <c r="AU646" s="1240" t="n"/>
      <c r="AV646" s="1240" t="n"/>
    </row>
    <row r="647" ht="17.1" customHeight="1">
      <c r="A647" s="973" t="n"/>
      <c r="B647" s="971" t="n"/>
      <c r="C647" s="972" t="n"/>
      <c r="D647" s="973"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73"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73"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73"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75" t="n"/>
      <c r="E651" s="975" t="n"/>
      <c r="F651" s="998" t="n"/>
      <c r="G651" s="998" t="n"/>
      <c r="H651" s="975" t="n"/>
      <c r="I651" s="975" t="n"/>
      <c r="J651" s="975" t="n"/>
      <c r="K651" s="1189">
        <f>K646=L651</f>
        <v/>
      </c>
      <c r="L651" s="491">
        <f>SUM(L646:L650)</f>
        <v/>
      </c>
      <c r="M651" s="1190" t="inlineStr">
        <is>
          <t xml:space="preserve">“Verdadero” indica que la cantidad por lote, coincide con el saldo que inicia al mes siguiente. "Falso" no coinicide. </t>
        </is>
      </c>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413">
        <f>ENERO!K652</f>
        <v/>
      </c>
      <c r="E652" s="339">
        <f>H248</f>
        <v/>
      </c>
      <c r="F652" s="338" t="n">
        <v>0</v>
      </c>
      <c r="G652" s="338" t="n">
        <v>0</v>
      </c>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v>0</v>
      </c>
      <c r="AA652" s="648" t="n">
        <v>0</v>
      </c>
      <c r="AB652" s="649">
        <f>+Z652+AA652</f>
        <v/>
      </c>
      <c r="AC652" s="648" t="n">
        <v>0</v>
      </c>
      <c r="AD652" s="648" t="n">
        <v>0</v>
      </c>
      <c r="AE652" s="648" t="n">
        <v>0</v>
      </c>
      <c r="AF652" s="648" t="n">
        <v>0</v>
      </c>
      <c r="AG652" s="648" t="n">
        <v>0</v>
      </c>
      <c r="AH652" s="648" t="n">
        <v>0</v>
      </c>
      <c r="AI652" s="648" t="n">
        <v>0</v>
      </c>
      <c r="AJ652" s="648" t="n">
        <v>0</v>
      </c>
      <c r="AK652" s="648" t="n">
        <v>0</v>
      </c>
      <c r="AL652" s="648" t="n">
        <v>0</v>
      </c>
      <c r="AM652" s="421">
        <f>SUM(AB652:AL656)</f>
        <v/>
      </c>
      <c r="AN652" s="726" t="n"/>
      <c r="AU652" s="1240" t="n"/>
      <c r="AV652" s="1240" t="n"/>
    </row>
    <row r="653" ht="17.1" customHeight="1">
      <c r="A653" s="973" t="n"/>
      <c r="B653" s="971" t="n"/>
      <c r="C653" s="972" t="n"/>
      <c r="D653" s="973"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73"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73"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73"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75" t="n"/>
      <c r="E657" s="975" t="n"/>
      <c r="F657" s="998" t="n"/>
      <c r="G657" s="998" t="n"/>
      <c r="H657" s="975" t="n"/>
      <c r="I657" s="975" t="n"/>
      <c r="J657" s="975" t="n"/>
      <c r="K657" s="1189">
        <f>K652=L657</f>
        <v/>
      </c>
      <c r="L657" s="491">
        <f>SUM(L652:L656)</f>
        <v/>
      </c>
      <c r="M657" s="1190" t="inlineStr">
        <is>
          <t xml:space="preserve">“Verdadero” indica que la cantidad por lote, coincide con el saldo que inicia al mes siguiente. "Falso" no coinicide. </t>
        </is>
      </c>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413">
        <f>ENERO!K658</f>
        <v/>
      </c>
      <c r="E658" s="339">
        <f>H254</f>
        <v/>
      </c>
      <c r="F658" s="338" t="n">
        <v>1053</v>
      </c>
      <c r="G658" s="338" t="n">
        <v>8</v>
      </c>
      <c r="H658" s="1235">
        <f>+F658+G658</f>
        <v/>
      </c>
      <c r="I658" s="340">
        <f>+AM658</f>
        <v/>
      </c>
      <c r="J658" s="341">
        <f>+H658+I658</f>
        <v/>
      </c>
      <c r="K658" s="583">
        <f>+(D658+E658)-(J658)</f>
        <v/>
      </c>
      <c r="L658" s="253" t="n">
        <v>2273</v>
      </c>
      <c r="M658" s="254" t="n"/>
      <c r="N658" s="254" t="n"/>
      <c r="O658" s="1183" t="n"/>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v>79</v>
      </c>
      <c r="AA658" s="648" t="n">
        <v>0</v>
      </c>
      <c r="AB658" s="649">
        <f>+Z658+AA658</f>
        <v/>
      </c>
      <c r="AC658" s="648" t="n">
        <v>0</v>
      </c>
      <c r="AD658" s="648" t="n">
        <v>0</v>
      </c>
      <c r="AE658" s="648" t="n">
        <v>0</v>
      </c>
      <c r="AF658" s="648" t="n">
        <v>0</v>
      </c>
      <c r="AG658" s="648" t="n">
        <v>0</v>
      </c>
      <c r="AH658" s="648" t="n">
        <v>0</v>
      </c>
      <c r="AI658" s="648" t="n">
        <v>0</v>
      </c>
      <c r="AJ658" s="648" t="n">
        <v>0</v>
      </c>
      <c r="AK658" s="648" t="n">
        <v>0</v>
      </c>
      <c r="AL658" s="648" t="n">
        <v>0</v>
      </c>
      <c r="AM658" s="421">
        <f>SUM(AB658:AL662)</f>
        <v/>
      </c>
      <c r="AN658" s="726" t="n"/>
      <c r="AU658" s="1240" t="n"/>
      <c r="AV658" s="1240" t="n"/>
    </row>
    <row r="659" ht="17.1" customHeight="1">
      <c r="A659" s="973" t="n"/>
      <c r="B659" s="971" t="n"/>
      <c r="C659" s="972" t="n"/>
      <c r="D659" s="973" t="n"/>
      <c r="E659" s="973" t="n"/>
      <c r="F659" s="994" t="n"/>
      <c r="G659" s="994" t="n"/>
      <c r="H659" s="973" t="n"/>
      <c r="I659" s="973" t="n"/>
      <c r="J659" s="973" t="n"/>
      <c r="K659" s="973" t="n"/>
      <c r="L659" s="253" t="n"/>
      <c r="M659" s="254" t="n"/>
      <c r="N659" s="254" t="n"/>
      <c r="O659" s="1183" t="n"/>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73" t="n"/>
      <c r="E660" s="973" t="n"/>
      <c r="F660" s="994" t="n"/>
      <c r="G660" s="994" t="n"/>
      <c r="H660" s="973" t="n"/>
      <c r="I660" s="973" t="n"/>
      <c r="J660" s="973" t="n"/>
      <c r="K660" s="973" t="n"/>
      <c r="L660" s="253" t="n"/>
      <c r="M660" s="254" t="n"/>
      <c r="N660" s="254" t="n"/>
      <c r="O660" s="1183" t="n"/>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73" t="n"/>
      <c r="E661" s="973" t="n"/>
      <c r="F661" s="994" t="n"/>
      <c r="G661" s="994" t="n"/>
      <c r="H661" s="973" t="n"/>
      <c r="I661" s="973" t="n"/>
      <c r="J661" s="973" t="n"/>
      <c r="K661" s="973" t="n"/>
      <c r="L661" s="253" t="n"/>
      <c r="M661" s="254" t="n"/>
      <c r="N661" s="254" t="n"/>
      <c r="O661" s="1183" t="n"/>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73"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75" t="n"/>
      <c r="E663" s="975" t="n"/>
      <c r="F663" s="998" t="n"/>
      <c r="G663" s="998" t="n"/>
      <c r="H663" s="975" t="n"/>
      <c r="I663" s="975" t="n"/>
      <c r="J663" s="975" t="n"/>
      <c r="K663" s="1189">
        <f>K658=L663</f>
        <v/>
      </c>
      <c r="L663" s="491">
        <f>SUM(L658:L662)</f>
        <v/>
      </c>
      <c r="M663" s="1190" t="inlineStr">
        <is>
          <t xml:space="preserve">“Verdadero” indica que la cantidad por lote, coincide con el saldo que inicia al mes siguiente. "Falso" no coinicide. </t>
        </is>
      </c>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413">
        <f>ENERO!K664</f>
        <v/>
      </c>
      <c r="E664" s="339">
        <f>H260</f>
        <v/>
      </c>
      <c r="F664" s="338" t="n">
        <v>0</v>
      </c>
      <c r="G664" s="338" t="n">
        <v>0</v>
      </c>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v>0</v>
      </c>
      <c r="AA664" s="648" t="n">
        <v>0</v>
      </c>
      <c r="AB664" s="649">
        <f>+Z664+AA664</f>
        <v/>
      </c>
      <c r="AC664" s="648" t="n">
        <v>0</v>
      </c>
      <c r="AD664" s="648" t="n">
        <v>0</v>
      </c>
      <c r="AE664" s="648" t="n">
        <v>0</v>
      </c>
      <c r="AF664" s="648" t="n">
        <v>0</v>
      </c>
      <c r="AG664" s="648" t="n">
        <v>0</v>
      </c>
      <c r="AH664" s="648" t="n">
        <v>0</v>
      </c>
      <c r="AI664" s="648" t="n">
        <v>0</v>
      </c>
      <c r="AJ664" s="648" t="n">
        <v>0</v>
      </c>
      <c r="AK664" s="648" t="n">
        <v>0</v>
      </c>
      <c r="AL664" s="648" t="n">
        <v>0</v>
      </c>
      <c r="AM664" s="421">
        <f>SUM(AB664:AL668)</f>
        <v/>
      </c>
      <c r="AN664" s="726" t="n"/>
      <c r="AU664" s="1240" t="n"/>
      <c r="AV664" s="1240" t="n"/>
    </row>
    <row r="665" ht="17.1" customHeight="1">
      <c r="A665" s="973" t="n"/>
      <c r="B665" s="971" t="n"/>
      <c r="C665" s="972" t="n"/>
      <c r="D665" s="973"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73"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73"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73"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75" t="n"/>
      <c r="E669" s="975" t="n"/>
      <c r="F669" s="998" t="n"/>
      <c r="G669" s="998" t="n"/>
      <c r="H669" s="975" t="n"/>
      <c r="I669" s="975" t="n"/>
      <c r="J669" s="975" t="n"/>
      <c r="K669" s="1189">
        <f>K664=L669</f>
        <v/>
      </c>
      <c r="L669" s="491">
        <f>SUM(L664:L668)</f>
        <v/>
      </c>
      <c r="M669" s="1190" t="inlineStr">
        <is>
          <t xml:space="preserve">“Verdadero” indica que la cantidad por lote, coincide con el saldo que inicia al mes siguiente. "Falso" no coinicide. </t>
        </is>
      </c>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413">
        <f>ENERO!K670</f>
        <v/>
      </c>
      <c r="E670" s="339">
        <f>H266</f>
        <v/>
      </c>
      <c r="F670" s="338" t="n">
        <v>0</v>
      </c>
      <c r="G670" s="338" t="n">
        <v>0</v>
      </c>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v>0</v>
      </c>
      <c r="AA670" s="648" t="n">
        <v>0</v>
      </c>
      <c r="AB670" s="649">
        <f>+Z670+AA670</f>
        <v/>
      </c>
      <c r="AC670" s="648" t="n">
        <v>0</v>
      </c>
      <c r="AD670" s="648" t="n">
        <v>0</v>
      </c>
      <c r="AE670" s="648" t="n">
        <v>0</v>
      </c>
      <c r="AF670" s="648" t="n">
        <v>0</v>
      </c>
      <c r="AG670" s="648" t="n">
        <v>0</v>
      </c>
      <c r="AH670" s="648" t="n">
        <v>0</v>
      </c>
      <c r="AI670" s="648" t="n">
        <v>0</v>
      </c>
      <c r="AJ670" s="648" t="n">
        <v>0</v>
      </c>
      <c r="AK670" s="648" t="n">
        <v>0</v>
      </c>
      <c r="AL670" s="648" t="n">
        <v>0</v>
      </c>
      <c r="AM670" s="421">
        <f>SUM(AB670:AL674)</f>
        <v/>
      </c>
      <c r="AN670" s="726" t="n"/>
      <c r="AU670" s="1240" t="n"/>
      <c r="AV670" s="1240" t="n"/>
    </row>
    <row r="671" ht="17.1" customHeight="1">
      <c r="A671" s="973" t="n"/>
      <c r="B671" s="971" t="n"/>
      <c r="C671" s="972" t="n"/>
      <c r="D671" s="973"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73"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73"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73"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75" t="n"/>
      <c r="E675" s="975" t="n"/>
      <c r="F675" s="998" t="n"/>
      <c r="G675" s="998" t="n"/>
      <c r="H675" s="975" t="n"/>
      <c r="I675" s="975" t="n"/>
      <c r="J675" s="975" t="n"/>
      <c r="K675" s="1189">
        <f>K670=L675</f>
        <v/>
      </c>
      <c r="L675" s="491">
        <f>SUM(L670:L674)</f>
        <v/>
      </c>
      <c r="M675" s="1190" t="inlineStr">
        <is>
          <t xml:space="preserve">“Verdadero” indica que la cantidad por lote, coincide con el saldo que inicia al mes siguiente. "Falso" no coinicide. </t>
        </is>
      </c>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413">
        <f>ENERO!K676</f>
        <v/>
      </c>
      <c r="E676" s="339">
        <f>H272</f>
        <v/>
      </c>
      <c r="F676" s="338" t="n">
        <v>2783</v>
      </c>
      <c r="G676" s="338" t="n">
        <v>33</v>
      </c>
      <c r="H676" s="1235">
        <f>+F676+G676</f>
        <v/>
      </c>
      <c r="I676" s="340">
        <f>+AM676</f>
        <v/>
      </c>
      <c r="J676" s="341">
        <f>+H676+I676</f>
        <v/>
      </c>
      <c r="K676" s="583">
        <f>+(D676+E676)-(J676)</f>
        <v/>
      </c>
      <c r="L676" s="253" t="n">
        <v>23812</v>
      </c>
      <c r="M676" s="254" t="n"/>
      <c r="N676" s="254" t="n"/>
      <c r="O676" s="1183" t="n"/>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v>2465</v>
      </c>
      <c r="AA676" s="648" t="n">
        <v>1065</v>
      </c>
      <c r="AB676" s="649">
        <f>+Z676+AA676</f>
        <v/>
      </c>
      <c r="AC676" s="648" t="n">
        <v>0</v>
      </c>
      <c r="AD676" s="648" t="n">
        <v>0</v>
      </c>
      <c r="AE676" s="648" t="n">
        <v>0</v>
      </c>
      <c r="AF676" s="648" t="n">
        <v>0</v>
      </c>
      <c r="AG676" s="648" t="n">
        <v>0</v>
      </c>
      <c r="AH676" s="648" t="n">
        <v>0</v>
      </c>
      <c r="AI676" s="648" t="n">
        <v>0</v>
      </c>
      <c r="AJ676" s="648" t="n">
        <v>0</v>
      </c>
      <c r="AK676" s="648" t="n">
        <v>0</v>
      </c>
      <c r="AL676" s="648" t="n">
        <v>0</v>
      </c>
      <c r="AM676" s="421">
        <f>SUM(AB676:AL680)</f>
        <v/>
      </c>
      <c r="AN676" s="726" t="n"/>
      <c r="AU676" s="1240" t="n"/>
      <c r="AV676" s="1240" t="n"/>
    </row>
    <row r="677" ht="17.1" customHeight="1">
      <c r="A677" s="973" t="n"/>
      <c r="B677" s="971" t="n"/>
      <c r="C677" s="972" t="n"/>
      <c r="D677" s="973" t="n"/>
      <c r="E677" s="973" t="n"/>
      <c r="F677" s="994" t="n"/>
      <c r="G677" s="994" t="n"/>
      <c r="H677" s="973" t="n"/>
      <c r="I677" s="973" t="n"/>
      <c r="J677" s="973" t="n"/>
      <c r="K677" s="973" t="n"/>
      <c r="L677" s="253" t="n"/>
      <c r="M677" s="254" t="n"/>
      <c r="N677" s="254" t="n"/>
      <c r="O677" s="1183" t="n"/>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73" t="n"/>
      <c r="E678" s="973" t="n"/>
      <c r="F678" s="994" t="n"/>
      <c r="G678" s="994" t="n"/>
      <c r="H678" s="973" t="n"/>
      <c r="I678" s="973" t="n"/>
      <c r="J678" s="973" t="n"/>
      <c r="K678" s="973" t="n"/>
      <c r="L678" s="253" t="n"/>
      <c r="M678" s="254" t="n"/>
      <c r="N678" s="254" t="n"/>
      <c r="O678" s="1183" t="n"/>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73" t="n"/>
      <c r="E679" s="973" t="n"/>
      <c r="F679" s="994" t="n"/>
      <c r="G679" s="994" t="n"/>
      <c r="H679" s="973" t="n"/>
      <c r="I679" s="973" t="n"/>
      <c r="J679" s="973" t="n"/>
      <c r="K679" s="973" t="n"/>
      <c r="L679" s="253" t="n"/>
      <c r="M679" s="254" t="n"/>
      <c r="N679" s="254" t="n"/>
      <c r="O679" s="1183" t="n"/>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73" t="n"/>
      <c r="E680" s="973" t="n"/>
      <c r="F680" s="994" t="n"/>
      <c r="G680" s="994" t="n"/>
      <c r="H680" s="973" t="n"/>
      <c r="I680" s="973" t="n"/>
      <c r="J680" s="973" t="n"/>
      <c r="K680" s="975" t="n"/>
      <c r="L680" s="253" t="n"/>
      <c r="M680" s="254" t="n"/>
      <c r="N680" s="254" t="n"/>
      <c r="O680" s="1183" t="n"/>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75" t="n"/>
      <c r="E681" s="975" t="n"/>
      <c r="F681" s="998" t="n"/>
      <c r="G681" s="998" t="n"/>
      <c r="H681" s="975" t="n"/>
      <c r="I681" s="975" t="n"/>
      <c r="J681" s="975" t="n"/>
      <c r="K681" s="1189">
        <f>K676=L681</f>
        <v/>
      </c>
      <c r="L681" s="491">
        <f>SUM(L676:L680)</f>
        <v/>
      </c>
      <c r="M681" s="1190" t="inlineStr">
        <is>
          <t xml:space="preserve">“Verdadero” indica que la cantidad por lote, coincide con el saldo que inicia al mes siguiente. "Falso" no coinicide. </t>
        </is>
      </c>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413">
        <f>ENERO!K682</f>
        <v/>
      </c>
      <c r="E682" s="339">
        <f>H278</f>
        <v/>
      </c>
      <c r="F682" s="338" t="n">
        <v>1288</v>
      </c>
      <c r="G682" s="338" t="n">
        <v>24</v>
      </c>
      <c r="H682" s="1235">
        <f>+F682+G682</f>
        <v/>
      </c>
      <c r="I682" s="340">
        <f>+AM682</f>
        <v/>
      </c>
      <c r="J682" s="341">
        <f>+H682+I682</f>
        <v/>
      </c>
      <c r="K682" s="583">
        <f>+(D682+E682)-(J682)</f>
        <v/>
      </c>
      <c r="L682" s="253" t="n">
        <v>1959</v>
      </c>
      <c r="M682" s="254" t="n"/>
      <c r="N682" s="254" t="n"/>
      <c r="O682" s="1183" t="n"/>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v>0</v>
      </c>
      <c r="AA682" s="648" t="n">
        <v>0</v>
      </c>
      <c r="AB682" s="649">
        <f>+Z682+AA682</f>
        <v/>
      </c>
      <c r="AC682" s="648" t="n">
        <v>0</v>
      </c>
      <c r="AD682" s="648" t="n">
        <v>0</v>
      </c>
      <c r="AE682" s="648" t="n">
        <v>0</v>
      </c>
      <c r="AF682" s="648" t="n">
        <v>1</v>
      </c>
      <c r="AG682" s="648" t="n">
        <v>0</v>
      </c>
      <c r="AH682" s="648" t="n">
        <v>0</v>
      </c>
      <c r="AI682" s="648" t="n">
        <v>0</v>
      </c>
      <c r="AJ682" s="648" t="n">
        <v>0</v>
      </c>
      <c r="AK682" s="648" t="n">
        <v>0</v>
      </c>
      <c r="AL682" s="648" t="n">
        <v>0</v>
      </c>
      <c r="AM682" s="421">
        <f>SUM(AB682:AL686)</f>
        <v/>
      </c>
      <c r="AN682" s="726" t="n"/>
      <c r="AU682" s="1240" t="n"/>
      <c r="AV682" s="1240" t="n"/>
    </row>
    <row r="683" ht="17.1" customHeight="1">
      <c r="A683" s="973" t="n"/>
      <c r="B683" s="971" t="n"/>
      <c r="C683" s="972" t="n"/>
      <c r="D683" s="973" t="n"/>
      <c r="E683" s="973" t="n"/>
      <c r="F683" s="994" t="n"/>
      <c r="G683" s="994" t="n"/>
      <c r="H683" s="973" t="n"/>
      <c r="I683" s="973" t="n"/>
      <c r="J683" s="973" t="n"/>
      <c r="K683" s="973" t="n"/>
      <c r="L683" s="253" t="n"/>
      <c r="M683" s="254" t="n"/>
      <c r="N683" s="254" t="n"/>
      <c r="O683" s="1183" t="n"/>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73" t="n"/>
      <c r="E684" s="973" t="n"/>
      <c r="F684" s="994" t="n"/>
      <c r="G684" s="994" t="n"/>
      <c r="H684" s="973" t="n"/>
      <c r="I684" s="973" t="n"/>
      <c r="J684" s="973" t="n"/>
      <c r="K684" s="973" t="n"/>
      <c r="L684" s="253" t="n"/>
      <c r="M684" s="254" t="n"/>
      <c r="N684" s="254" t="n"/>
      <c r="O684" s="1183" t="n"/>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73"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73"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75" t="n"/>
      <c r="E687" s="975" t="n"/>
      <c r="F687" s="998" t="n"/>
      <c r="G687" s="998" t="n"/>
      <c r="H687" s="975" t="n"/>
      <c r="I687" s="975" t="n"/>
      <c r="J687" s="975" t="n"/>
      <c r="K687" s="1189">
        <f>K682=L687</f>
        <v/>
      </c>
      <c r="L687" s="491">
        <f>SUM(L682:L686)</f>
        <v/>
      </c>
      <c r="M687" s="1190" t="inlineStr">
        <is>
          <t xml:space="preserve">“Verdadero” indica que la cantidad por lote, coincide con el saldo que inicia al mes siguiente. "Falso" no coinicide. </t>
        </is>
      </c>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413">
        <f>ENERO!K688</f>
        <v/>
      </c>
      <c r="E688" s="339">
        <f>H284</f>
        <v/>
      </c>
      <c r="F688" s="338" t="n">
        <v>0</v>
      </c>
      <c r="G688" s="338" t="n">
        <v>0</v>
      </c>
      <c r="H688" s="1235">
        <f>+F688+G688</f>
        <v/>
      </c>
      <c r="I688" s="340">
        <f>+AM688</f>
        <v/>
      </c>
      <c r="J688" s="341">
        <f>+H688+I688</f>
        <v/>
      </c>
      <c r="K688" s="583">
        <f>+(D688+E688)-(J688)</f>
        <v/>
      </c>
      <c r="L688" s="253" t="n">
        <v>87</v>
      </c>
      <c r="M688" s="254" t="n"/>
      <c r="N688" s="254" t="n"/>
      <c r="O688" s="1183" t="n"/>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v>0</v>
      </c>
      <c r="AA688" s="648" t="n">
        <v>0</v>
      </c>
      <c r="AB688" s="649">
        <f>+Z688+AA688</f>
        <v/>
      </c>
      <c r="AC688" s="648" t="n">
        <v>0</v>
      </c>
      <c r="AD688" s="648" t="n">
        <v>0</v>
      </c>
      <c r="AE688" s="648" t="n">
        <v>0</v>
      </c>
      <c r="AF688" s="648" t="n">
        <v>0</v>
      </c>
      <c r="AG688" s="648" t="n">
        <v>0</v>
      </c>
      <c r="AH688" s="648" t="n">
        <v>0</v>
      </c>
      <c r="AI688" s="648" t="n">
        <v>0</v>
      </c>
      <c r="AJ688" s="648" t="n">
        <v>0</v>
      </c>
      <c r="AK688" s="648" t="n">
        <v>0</v>
      </c>
      <c r="AL688" s="648" t="n">
        <v>0</v>
      </c>
      <c r="AM688" s="421">
        <f>SUM(AB688:AL692)</f>
        <v/>
      </c>
      <c r="AN688" s="726" t="n"/>
      <c r="AU688" s="1240" t="n"/>
      <c r="AV688" s="1240" t="n"/>
    </row>
    <row r="689" ht="17.1" customHeight="1">
      <c r="A689" s="973" t="n"/>
      <c r="B689" s="971" t="n"/>
      <c r="C689" s="972" t="n"/>
      <c r="D689" s="973" t="n"/>
      <c r="E689" s="973" t="n"/>
      <c r="F689" s="994" t="n"/>
      <c r="G689" s="994" t="n"/>
      <c r="H689" s="973" t="n"/>
      <c r="I689" s="973" t="n"/>
      <c r="J689" s="973" t="n"/>
      <c r="K689" s="973" t="n"/>
      <c r="L689" s="253" t="n"/>
      <c r="M689" s="254" t="n"/>
      <c r="N689" s="254" t="n"/>
      <c r="O689" s="1183" t="n"/>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73" t="n"/>
      <c r="E690" s="973" t="n"/>
      <c r="F690" s="994" t="n"/>
      <c r="G690" s="994" t="n"/>
      <c r="H690" s="973" t="n"/>
      <c r="I690" s="973" t="n"/>
      <c r="J690" s="973" t="n"/>
      <c r="K690" s="973" t="n"/>
      <c r="L690" s="253" t="n"/>
      <c r="M690" s="254" t="n"/>
      <c r="N690" s="254" t="n"/>
      <c r="O690" s="1183" t="n"/>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73" t="n"/>
      <c r="E691" s="973" t="n"/>
      <c r="F691" s="994" t="n"/>
      <c r="G691" s="994" t="n"/>
      <c r="H691" s="973" t="n"/>
      <c r="I691" s="973" t="n"/>
      <c r="J691" s="973" t="n"/>
      <c r="K691" s="973" t="n"/>
      <c r="L691" s="253" t="n"/>
      <c r="M691" s="254" t="n"/>
      <c r="N691" s="254" t="n"/>
      <c r="O691" s="1183" t="n"/>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73" t="n"/>
      <c r="E692" s="973" t="n"/>
      <c r="F692" s="994" t="n"/>
      <c r="G692" s="994" t="n"/>
      <c r="H692" s="973" t="n"/>
      <c r="I692" s="973" t="n"/>
      <c r="J692" s="973" t="n"/>
      <c r="K692" s="975" t="n"/>
      <c r="L692" s="253" t="n"/>
      <c r="M692" s="254" t="n"/>
      <c r="N692" s="254" t="n"/>
      <c r="O692" s="1183" t="n"/>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75" t="n"/>
      <c r="E693" s="975" t="n"/>
      <c r="F693" s="998" t="n"/>
      <c r="G693" s="998" t="n"/>
      <c r="H693" s="975" t="n"/>
      <c r="I693" s="975" t="n"/>
      <c r="J693" s="975" t="n"/>
      <c r="K693" s="1189">
        <f>K688=L693</f>
        <v/>
      </c>
      <c r="L693" s="491">
        <f>SUM(L688:L692)</f>
        <v/>
      </c>
      <c r="M693" s="1190" t="inlineStr">
        <is>
          <t xml:space="preserve">“Verdadero” indica que la cantidad por lote, coincide con el saldo que inicia al mes siguiente. "Falso" no coinicide. </t>
        </is>
      </c>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413">
        <f>ENERO!K694</f>
        <v/>
      </c>
      <c r="E694" s="339">
        <f>H290</f>
        <v/>
      </c>
      <c r="F694" s="338" t="n">
        <v>349</v>
      </c>
      <c r="G694" s="338" t="n">
        <v>11</v>
      </c>
      <c r="H694" s="1235">
        <f>+F694+G694</f>
        <v/>
      </c>
      <c r="I694" s="340">
        <f>+AM694</f>
        <v/>
      </c>
      <c r="J694" s="341">
        <f>+H694+I694</f>
        <v/>
      </c>
      <c r="K694" s="583">
        <f>+(D694+E694)-(J694)</f>
        <v/>
      </c>
      <c r="L694" s="253" t="n">
        <v>363</v>
      </c>
      <c r="M694" s="254" t="n"/>
      <c r="N694" s="254" t="n"/>
      <c r="O694" s="1183" t="n"/>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v>0</v>
      </c>
      <c r="AA694" s="648" t="n">
        <v>0</v>
      </c>
      <c r="AB694" s="649">
        <f>+Z694+AA694</f>
        <v/>
      </c>
      <c r="AC694" s="648" t="n">
        <v>0</v>
      </c>
      <c r="AD694" s="648" t="n">
        <v>0</v>
      </c>
      <c r="AE694" s="648" t="n">
        <v>2</v>
      </c>
      <c r="AF694" s="648" t="n">
        <v>0</v>
      </c>
      <c r="AG694" s="648" t="n">
        <v>0</v>
      </c>
      <c r="AH694" s="648" t="n">
        <v>0</v>
      </c>
      <c r="AI694" s="648" t="n">
        <v>0</v>
      </c>
      <c r="AJ694" s="648" t="n">
        <v>0</v>
      </c>
      <c r="AK694" s="648" t="n">
        <v>0</v>
      </c>
      <c r="AL694" s="648" t="n">
        <v>0</v>
      </c>
      <c r="AM694" s="421">
        <f>SUM(AB694:AL698)</f>
        <v/>
      </c>
      <c r="AN694" s="726" t="n"/>
      <c r="AU694" s="1240" t="n"/>
      <c r="AV694" s="1240" t="n"/>
    </row>
    <row r="695" ht="17.1" customHeight="1">
      <c r="A695" s="973" t="n"/>
      <c r="B695" s="971" t="n"/>
      <c r="C695" s="972" t="n"/>
      <c r="D695" s="973" t="n"/>
      <c r="E695" s="973" t="n"/>
      <c r="F695" s="994" t="n"/>
      <c r="G695" s="994" t="n"/>
      <c r="H695" s="973" t="n"/>
      <c r="I695" s="973" t="n"/>
      <c r="J695" s="973" t="n"/>
      <c r="K695" s="973" t="n"/>
      <c r="L695" s="253" t="n"/>
      <c r="M695" s="254" t="n"/>
      <c r="N695" s="254" t="n"/>
      <c r="O695" s="1183" t="n"/>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73" t="n"/>
      <c r="E696" s="973" t="n"/>
      <c r="F696" s="994" t="n"/>
      <c r="G696" s="994" t="n"/>
      <c r="H696" s="973" t="n"/>
      <c r="I696" s="973" t="n"/>
      <c r="J696" s="973" t="n"/>
      <c r="K696" s="973" t="n"/>
      <c r="L696" s="253" t="n"/>
      <c r="M696" s="254" t="n"/>
      <c r="N696" s="254" t="n"/>
      <c r="O696" s="1183" t="n"/>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73" t="n"/>
      <c r="E697" s="973" t="n"/>
      <c r="F697" s="994" t="n"/>
      <c r="G697" s="994" t="n"/>
      <c r="H697" s="973" t="n"/>
      <c r="I697" s="973" t="n"/>
      <c r="J697" s="973" t="n"/>
      <c r="K697" s="973" t="n"/>
      <c r="L697" s="253" t="n"/>
      <c r="M697" s="254" t="n"/>
      <c r="N697" s="254" t="n"/>
      <c r="O697" s="1183" t="n"/>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73" t="n"/>
      <c r="E698" s="973" t="n"/>
      <c r="F698" s="994" t="n"/>
      <c r="G698" s="994" t="n"/>
      <c r="H698" s="973" t="n"/>
      <c r="I698" s="973" t="n"/>
      <c r="J698" s="973" t="n"/>
      <c r="K698" s="975" t="n"/>
      <c r="L698" s="253" t="n"/>
      <c r="M698" s="254" t="n"/>
      <c r="N698" s="254" t="n"/>
      <c r="O698" s="1183" t="n"/>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75" t="n"/>
      <c r="E699" s="975" t="n"/>
      <c r="F699" s="998" t="n"/>
      <c r="G699" s="998" t="n"/>
      <c r="H699" s="975" t="n"/>
      <c r="I699" s="975" t="n"/>
      <c r="J699" s="975" t="n"/>
      <c r="K699" s="1189">
        <f>K694=L699</f>
        <v/>
      </c>
      <c r="L699" s="491">
        <f>SUM(L694:L698)</f>
        <v/>
      </c>
      <c r="M699" s="1190" t="inlineStr">
        <is>
          <t xml:space="preserve">“Verdadero” indica que la cantidad por lote, coincide con el saldo que inicia al mes siguiente. "Falso" no coinicide. </t>
        </is>
      </c>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413">
        <f>ENERO!K700</f>
        <v/>
      </c>
      <c r="E700" s="339">
        <f>H296</f>
        <v/>
      </c>
      <c r="F700" s="338" t="n">
        <v>0</v>
      </c>
      <c r="G700" s="338" t="n">
        <v>0</v>
      </c>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v>0</v>
      </c>
      <c r="AA700" s="648" t="n">
        <v>0</v>
      </c>
      <c r="AB700" s="649">
        <f>+Z700+AA700</f>
        <v/>
      </c>
      <c r="AC700" s="648" t="n">
        <v>0</v>
      </c>
      <c r="AD700" s="648" t="n">
        <v>0</v>
      </c>
      <c r="AE700" s="648" t="n">
        <v>0</v>
      </c>
      <c r="AF700" s="648" t="n">
        <v>0</v>
      </c>
      <c r="AG700" s="648" t="n">
        <v>0</v>
      </c>
      <c r="AH700" s="648" t="n">
        <v>0</v>
      </c>
      <c r="AI700" s="648" t="n">
        <v>0</v>
      </c>
      <c r="AJ700" s="648" t="n">
        <v>0</v>
      </c>
      <c r="AK700" s="648" t="n">
        <v>0</v>
      </c>
      <c r="AL700" s="648" t="n">
        <v>0</v>
      </c>
      <c r="AM700" s="421">
        <f>SUM(AB700:AL704)</f>
        <v/>
      </c>
      <c r="AN700" s="726" t="n"/>
      <c r="AU700" s="1240" t="n"/>
      <c r="AV700" s="1240" t="n"/>
    </row>
    <row r="701" ht="17.1" customHeight="1">
      <c r="A701" s="973" t="n"/>
      <c r="B701" s="971" t="n"/>
      <c r="C701" s="972" t="n"/>
      <c r="D701" s="973"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73"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73"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73"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75" t="n"/>
      <c r="E705" s="975" t="n"/>
      <c r="F705" s="998" t="n"/>
      <c r="G705" s="998" t="n"/>
      <c r="H705" s="975" t="n"/>
      <c r="I705" s="975" t="n"/>
      <c r="J705" s="975" t="n"/>
      <c r="K705" s="1189">
        <f>K700=L705</f>
        <v/>
      </c>
      <c r="L705" s="491">
        <f>SUM(L700:L704)</f>
        <v/>
      </c>
      <c r="M705" s="1190" t="inlineStr">
        <is>
          <t xml:space="preserve">“Verdadero” indica que la cantidad por lote, coincide con el saldo que inicia al mes siguiente. "Falso" no coinicide. </t>
        </is>
      </c>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533"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413">
        <f>ENERO!K707</f>
        <v/>
      </c>
      <c r="E707" s="339">
        <f>H303</f>
        <v/>
      </c>
      <c r="F707" s="338" t="n">
        <v>2150</v>
      </c>
      <c r="G707" s="338" t="n">
        <v>25</v>
      </c>
      <c r="H707" s="1235">
        <f>+F707+G707</f>
        <v/>
      </c>
      <c r="I707" s="340">
        <f>+AM707</f>
        <v/>
      </c>
      <c r="J707" s="341">
        <f>+H707+I707</f>
        <v/>
      </c>
      <c r="K707" s="583">
        <f>+(D707+E707)-(J707)</f>
        <v/>
      </c>
      <c r="L707" s="253" t="n">
        <v>14350</v>
      </c>
      <c r="M707" s="254" t="n"/>
      <c r="N707" s="254" t="n"/>
      <c r="O707" s="1183" t="n"/>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v>2</v>
      </c>
      <c r="AA707" s="648" t="n">
        <v>0</v>
      </c>
      <c r="AB707" s="649">
        <f>+Z707+AA707</f>
        <v/>
      </c>
      <c r="AC707" s="648" t="n">
        <v>2</v>
      </c>
      <c r="AD707" s="648" t="n">
        <v>1</v>
      </c>
      <c r="AE707" s="648" t="n">
        <v>0</v>
      </c>
      <c r="AF707" s="648" t="n">
        <v>0</v>
      </c>
      <c r="AG707" s="648" t="n">
        <v>0</v>
      </c>
      <c r="AH707" s="648" t="n">
        <v>1</v>
      </c>
      <c r="AI707" s="648" t="n">
        <v>0</v>
      </c>
      <c r="AJ707" s="648" t="n">
        <v>0</v>
      </c>
      <c r="AK707" s="648" t="n">
        <v>0</v>
      </c>
      <c r="AL707" s="648" t="n">
        <v>0</v>
      </c>
      <c r="AM707" s="421">
        <f>SUM(AB707:AL712)</f>
        <v/>
      </c>
      <c r="AN707" s="726" t="n"/>
      <c r="AU707" s="1240" t="n"/>
      <c r="AV707" s="1240" t="n"/>
    </row>
    <row r="708" ht="17.1" customHeight="1">
      <c r="A708" s="973" t="n"/>
      <c r="B708" s="971" t="n"/>
      <c r="C708" s="972" t="n"/>
      <c r="D708" s="973" t="n"/>
      <c r="E708" s="973" t="n"/>
      <c r="F708" s="994" t="n"/>
      <c r="G708" s="994" t="n"/>
      <c r="H708" s="973" t="n"/>
      <c r="I708" s="973" t="n"/>
      <c r="J708" s="973" t="n"/>
      <c r="K708" s="973" t="n"/>
      <c r="L708" s="253" t="n"/>
      <c r="M708" s="254" t="n"/>
      <c r="N708" s="254" t="n"/>
      <c r="O708" s="1183" t="n"/>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73" t="n"/>
      <c r="E709" s="973" t="n"/>
      <c r="F709" s="994" t="n"/>
      <c r="G709" s="994" t="n"/>
      <c r="H709" s="973" t="n"/>
      <c r="I709" s="973" t="n"/>
      <c r="J709" s="973" t="n"/>
      <c r="K709" s="973" t="n"/>
      <c r="L709" s="253" t="n"/>
      <c r="M709" s="254" t="n"/>
      <c r="N709" s="254" t="n"/>
      <c r="O709" s="1183" t="n"/>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73"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73" t="n"/>
      <c r="E711" s="973" t="n"/>
      <c r="F711" s="994" t="n"/>
      <c r="G711" s="994" t="n"/>
      <c r="H711" s="973" t="n"/>
      <c r="I711" s="973" t="n"/>
      <c r="J711" s="973" t="n"/>
      <c r="K711" s="973" t="n"/>
      <c r="L711" s="253" t="n"/>
      <c r="M711" s="254" t="n"/>
      <c r="N711" s="254" t="n"/>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73"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75" t="n"/>
      <c r="E713" s="975" t="n"/>
      <c r="F713" s="998" t="n"/>
      <c r="G713" s="998" t="n"/>
      <c r="H713" s="975" t="n"/>
      <c r="I713" s="975" t="n"/>
      <c r="J713" s="975" t="n"/>
      <c r="K713" s="1189">
        <f>K707=L713</f>
        <v/>
      </c>
      <c r="L713" s="491">
        <f>SUM(L707:L712)</f>
        <v/>
      </c>
      <c r="M713" s="1190" t="inlineStr">
        <is>
          <t xml:space="preserve">“Verdadero” indica que la cantidad por lote, coincide con el saldo que inicia al mes siguiente. "Falso" no coinicide. </t>
        </is>
      </c>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413">
        <f>ENERO!K714</f>
        <v/>
      </c>
      <c r="E714" s="339">
        <f>H310</f>
        <v/>
      </c>
      <c r="F714" s="338" t="n">
        <v>0</v>
      </c>
      <c r="G714" s="338" t="n">
        <v>0</v>
      </c>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v>0</v>
      </c>
      <c r="AA714" s="648" t="n">
        <v>0</v>
      </c>
      <c r="AB714" s="649">
        <f>+Z714+AA714</f>
        <v/>
      </c>
      <c r="AC714" s="648" t="n">
        <v>0</v>
      </c>
      <c r="AD714" s="648" t="n">
        <v>0</v>
      </c>
      <c r="AE714" s="648" t="n">
        <v>0</v>
      </c>
      <c r="AF714" s="648" t="n">
        <v>0</v>
      </c>
      <c r="AG714" s="648" t="n">
        <v>0</v>
      </c>
      <c r="AH714" s="648" t="n">
        <v>0</v>
      </c>
      <c r="AI714" s="648" t="n">
        <v>0</v>
      </c>
      <c r="AJ714" s="648" t="n">
        <v>0</v>
      </c>
      <c r="AK714" s="648" t="n">
        <v>0</v>
      </c>
      <c r="AL714" s="648" t="n">
        <v>0</v>
      </c>
      <c r="AM714" s="421">
        <f>SUM(AB714:AL719)</f>
        <v/>
      </c>
      <c r="AN714" s="726" t="n"/>
      <c r="AU714" s="1240" t="n"/>
      <c r="AV714" s="1240" t="n"/>
    </row>
    <row r="715" ht="17.1" customHeight="1">
      <c r="A715" s="973" t="n"/>
      <c r="B715" s="971" t="n"/>
      <c r="C715" s="972" t="n"/>
      <c r="D715" s="973"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73"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73"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73"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73"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75"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413">
        <f>ENERO!K721</f>
        <v/>
      </c>
      <c r="E721" s="339">
        <f>H317</f>
        <v/>
      </c>
      <c r="F721" s="338" t="n">
        <v>1016</v>
      </c>
      <c r="G721" s="338" t="n">
        <v>7</v>
      </c>
      <c r="H721" s="1235">
        <f>+F721+G721</f>
        <v/>
      </c>
      <c r="I721" s="340">
        <f>+AM721</f>
        <v/>
      </c>
      <c r="J721" s="341">
        <f>+H721+I721</f>
        <v/>
      </c>
      <c r="K721" s="583">
        <f>+(D721+E721)-(J721)</f>
        <v/>
      </c>
      <c r="L721" s="253" t="n">
        <v>12656</v>
      </c>
      <c r="M721" s="254" t="n"/>
      <c r="N721" s="254" t="n"/>
      <c r="O721" s="1183" t="n"/>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v>0</v>
      </c>
      <c r="AA721" s="648" t="n">
        <v>0</v>
      </c>
      <c r="AB721" s="649">
        <f>+Z721+AA721</f>
        <v/>
      </c>
      <c r="AC721" s="648" t="n">
        <v>0</v>
      </c>
      <c r="AD721" s="648" t="n">
        <v>0</v>
      </c>
      <c r="AE721" s="648" t="n">
        <v>0</v>
      </c>
      <c r="AF721" s="648" t="n">
        <v>0</v>
      </c>
      <c r="AG721" s="648" t="n">
        <v>0</v>
      </c>
      <c r="AH721" s="648" t="n">
        <v>0</v>
      </c>
      <c r="AI721" s="648" t="n">
        <v>0</v>
      </c>
      <c r="AJ721" s="648" t="n">
        <v>0</v>
      </c>
      <c r="AK721" s="648" t="n">
        <v>0</v>
      </c>
      <c r="AL721" s="648" t="n">
        <v>0</v>
      </c>
      <c r="AM721" s="421">
        <f>SUM(AB721:AL726)</f>
        <v/>
      </c>
      <c r="AN721" s="726" t="n"/>
      <c r="AU721" s="1240" t="n"/>
      <c r="AV721" s="1240" t="n"/>
    </row>
    <row r="722" ht="17.1" customHeight="1">
      <c r="A722" s="973" t="n"/>
      <c r="B722" s="971" t="n"/>
      <c r="C722" s="972" t="n"/>
      <c r="D722" s="973" t="n"/>
      <c r="E722" s="973" t="n"/>
      <c r="F722" s="994" t="n"/>
      <c r="G722" s="994" t="n"/>
      <c r="H722" s="973" t="n"/>
      <c r="I722" s="973" t="n"/>
      <c r="J722" s="973" t="n"/>
      <c r="K722" s="973" t="n"/>
      <c r="L722" s="253" t="n"/>
      <c r="M722" s="254" t="n"/>
      <c r="N722" s="254" t="n"/>
      <c r="O722" s="1183" t="n"/>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73" t="n"/>
      <c r="E723" s="973" t="n"/>
      <c r="F723" s="994" t="n"/>
      <c r="G723" s="994" t="n"/>
      <c r="H723" s="973" t="n"/>
      <c r="I723" s="973" t="n"/>
      <c r="J723" s="973" t="n"/>
      <c r="K723" s="973" t="n"/>
      <c r="L723" s="253" t="n"/>
      <c r="M723" s="254" t="n"/>
      <c r="N723" s="254" t="n"/>
      <c r="O723" s="1183" t="n"/>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73" t="n"/>
      <c r="E724" s="973" t="n"/>
      <c r="F724" s="994" t="n"/>
      <c r="G724" s="994" t="n"/>
      <c r="H724" s="973" t="n"/>
      <c r="I724" s="973" t="n"/>
      <c r="J724" s="973" t="n"/>
      <c r="K724" s="973" t="n"/>
      <c r="L724" s="253" t="n"/>
      <c r="M724" s="254" t="n"/>
      <c r="N724" s="254" t="n"/>
      <c r="O724" s="1183" t="n"/>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73" t="n"/>
      <c r="E725" s="973" t="n"/>
      <c r="F725" s="994" t="n"/>
      <c r="G725" s="994" t="n"/>
      <c r="H725" s="973" t="n"/>
      <c r="I725" s="973" t="n"/>
      <c r="J725" s="973" t="n"/>
      <c r="K725" s="973" t="n"/>
      <c r="L725" s="253" t="n"/>
      <c r="M725" s="254" t="n"/>
      <c r="N725" s="254" t="n"/>
      <c r="O725" s="1183" t="n"/>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73" t="n"/>
      <c r="E726" s="973" t="n"/>
      <c r="F726" s="994" t="n"/>
      <c r="G726" s="994" t="n"/>
      <c r="H726" s="973" t="n"/>
      <c r="I726" s="973" t="n"/>
      <c r="J726" s="973" t="n"/>
      <c r="K726" s="975" t="n"/>
      <c r="L726" s="253" t="n"/>
      <c r="M726" s="254" t="n"/>
      <c r="N726" s="254" t="n"/>
      <c r="O726" s="1183" t="n"/>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75" t="n"/>
      <c r="E727" s="975" t="n"/>
      <c r="F727" s="998" t="n"/>
      <c r="G727" s="998" t="n"/>
      <c r="H727" s="975" t="n"/>
      <c r="I727" s="975" t="n"/>
      <c r="J727" s="975" t="n"/>
      <c r="K727" s="1189">
        <f>K721=L727</f>
        <v/>
      </c>
      <c r="L727" s="491">
        <f>SUM(L721:L726)</f>
        <v/>
      </c>
      <c r="M727" s="1190" t="inlineStr">
        <is>
          <t xml:space="preserve">“Verdadero” indica que la cantidad por lote, coincide con el saldo que inicia al mes siguiente. "Falso" no coinicide. </t>
        </is>
      </c>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413">
        <f>ENERO!K728</f>
        <v/>
      </c>
      <c r="E728" s="339">
        <f>H324</f>
        <v/>
      </c>
      <c r="F728" s="338" t="n">
        <v>56</v>
      </c>
      <c r="G728" s="338" t="n">
        <v>1</v>
      </c>
      <c r="H728" s="1235">
        <f>+F728+G728</f>
        <v/>
      </c>
      <c r="I728" s="340">
        <f>+AM728</f>
        <v/>
      </c>
      <c r="J728" s="341">
        <f>+H728+I728</f>
        <v/>
      </c>
      <c r="K728" s="583">
        <f>+(D728+E728)-(J728)</f>
        <v/>
      </c>
      <c r="L728" s="253" t="n">
        <v>593</v>
      </c>
      <c r="M728" s="254" t="n"/>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v>0</v>
      </c>
      <c r="AA728" s="648" t="n">
        <v>0</v>
      </c>
      <c r="AB728" s="649">
        <f>+Z728+AA728</f>
        <v/>
      </c>
      <c r="AC728" s="648" t="n">
        <v>0</v>
      </c>
      <c r="AD728" s="648" t="n">
        <v>0</v>
      </c>
      <c r="AE728" s="648" t="n">
        <v>0</v>
      </c>
      <c r="AF728" s="648" t="n">
        <v>0</v>
      </c>
      <c r="AG728" s="648" t="n">
        <v>0</v>
      </c>
      <c r="AH728" s="648" t="n">
        <v>0</v>
      </c>
      <c r="AI728" s="648" t="n">
        <v>0</v>
      </c>
      <c r="AJ728" s="648" t="n">
        <v>0</v>
      </c>
      <c r="AK728" s="648" t="n">
        <v>0</v>
      </c>
      <c r="AL728" s="648" t="n">
        <v>0</v>
      </c>
      <c r="AM728" s="421">
        <f>SUM(AB728:AL733)</f>
        <v/>
      </c>
      <c r="AN728" s="726" t="n"/>
      <c r="AU728" s="1240" t="n"/>
      <c r="AV728" s="1240" t="n"/>
    </row>
    <row r="729" ht="17.1" customHeight="1">
      <c r="A729" s="973" t="n"/>
      <c r="B729" s="971" t="n"/>
      <c r="C729" s="972" t="n"/>
      <c r="D729" s="973" t="n"/>
      <c r="E729" s="973" t="n"/>
      <c r="F729" s="994" t="n"/>
      <c r="G729" s="994" t="n"/>
      <c r="H729" s="973" t="n"/>
      <c r="I729" s="973" t="n"/>
      <c r="J729" s="973" t="n"/>
      <c r="K729" s="973" t="n"/>
      <c r="L729" s="253" t="n"/>
      <c r="M729" s="254" t="n"/>
      <c r="N729" s="254" t="n"/>
      <c r="O729" s="1183" t="n"/>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73"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73"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73"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73"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75" t="n"/>
      <c r="E734" s="975" t="n"/>
      <c r="F734" s="998" t="n"/>
      <c r="G734" s="998" t="n"/>
      <c r="H734" s="975" t="n"/>
      <c r="I734" s="975" t="n"/>
      <c r="J734" s="975" t="n"/>
      <c r="K734" s="1189">
        <f>K728=L734</f>
        <v/>
      </c>
      <c r="L734" s="491">
        <f>SUM(L728:L733)</f>
        <v/>
      </c>
      <c r="M734" s="1190" t="inlineStr">
        <is>
          <t xml:space="preserve">“Verdadero” indica que la cantidad por lote, coincide con el saldo que inicia al mes siguiente. "Falso" no coinicide. </t>
        </is>
      </c>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413">
        <f>ENERO!K735</f>
        <v/>
      </c>
      <c r="E735" s="339">
        <f>H331</f>
        <v/>
      </c>
      <c r="F735" s="338" t="n">
        <v>0</v>
      </c>
      <c r="G735" s="338" t="n">
        <v>0</v>
      </c>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v>0</v>
      </c>
      <c r="AA735" s="648" t="n">
        <v>0</v>
      </c>
      <c r="AB735" s="649">
        <f>+Z735+AA735</f>
        <v/>
      </c>
      <c r="AC735" s="648" t="n">
        <v>0</v>
      </c>
      <c r="AD735" s="648" t="n">
        <v>0</v>
      </c>
      <c r="AE735" s="648" t="n">
        <v>0</v>
      </c>
      <c r="AF735" s="648" t="n">
        <v>0</v>
      </c>
      <c r="AG735" s="648" t="n">
        <v>0</v>
      </c>
      <c r="AH735" s="648" t="n">
        <v>0</v>
      </c>
      <c r="AI735" s="648" t="n">
        <v>0</v>
      </c>
      <c r="AJ735" s="648" t="n">
        <v>0</v>
      </c>
      <c r="AK735" s="648" t="n">
        <v>0</v>
      </c>
      <c r="AL735" s="648" t="n">
        <v>0</v>
      </c>
      <c r="AM735" s="421">
        <f>SUM(AB735:AL740)</f>
        <v/>
      </c>
      <c r="AN735" s="726" t="n"/>
      <c r="AU735" s="1240" t="n"/>
      <c r="AV735" s="1240" t="n"/>
    </row>
    <row r="736" ht="17.1" customHeight="1">
      <c r="A736" s="973" t="n"/>
      <c r="B736" s="971" t="n"/>
      <c r="C736" s="972" t="n"/>
      <c r="D736" s="973"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73"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73"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73"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73"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75" t="n"/>
      <c r="E741" s="975" t="n"/>
      <c r="F741" s="998" t="n"/>
      <c r="G741" s="998" t="n"/>
      <c r="H741" s="975" t="n"/>
      <c r="I741" s="975" t="n"/>
      <c r="J741" s="975" t="n"/>
      <c r="K741" s="1189">
        <f>K735=L741</f>
        <v/>
      </c>
      <c r="L741" s="491">
        <f>SUM(L735:L740)</f>
        <v/>
      </c>
      <c r="M741" s="1190" t="inlineStr">
        <is>
          <t xml:space="preserve">“Verdadero” indica que la cantidad por lote, coincide con el saldo que inicia al mes siguiente. "Falso" no coinicide. </t>
        </is>
      </c>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413">
        <f>ENERO!K742</f>
        <v/>
      </c>
      <c r="E742" s="339">
        <f>H338</f>
        <v/>
      </c>
      <c r="F742" s="338" t="n">
        <v>8321</v>
      </c>
      <c r="G742" s="338" t="n">
        <v>83</v>
      </c>
      <c r="H742" s="1235">
        <f>+F742+G742</f>
        <v/>
      </c>
      <c r="I742" s="340">
        <f>+AM742</f>
        <v/>
      </c>
      <c r="J742" s="341">
        <f>+H742+I742</f>
        <v/>
      </c>
      <c r="K742" s="583">
        <f>+(D742+E742)-(J742)</f>
        <v/>
      </c>
      <c r="L742" s="253" t="n">
        <v>17176</v>
      </c>
      <c r="M742" s="254" t="n"/>
      <c r="N742" s="254" t="n"/>
      <c r="O742" s="1183" t="n"/>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v>0</v>
      </c>
      <c r="AA742" s="648" t="n">
        <v>0</v>
      </c>
      <c r="AB742" s="649">
        <f>+Z742+AA742</f>
        <v/>
      </c>
      <c r="AC742" s="648" t="n">
        <v>0</v>
      </c>
      <c r="AD742" s="648" t="n">
        <v>3</v>
      </c>
      <c r="AE742" s="648" t="n">
        <v>0</v>
      </c>
      <c r="AF742" s="648" t="n">
        <v>2</v>
      </c>
      <c r="AG742" s="648" t="n">
        <v>0</v>
      </c>
      <c r="AH742" s="648" t="n">
        <v>1</v>
      </c>
      <c r="AI742" s="648" t="n">
        <v>0</v>
      </c>
      <c r="AJ742" s="648" t="n">
        <v>0</v>
      </c>
      <c r="AK742" s="648" t="n">
        <v>0</v>
      </c>
      <c r="AL742" s="648" t="n">
        <v>0</v>
      </c>
      <c r="AM742" s="421">
        <f>SUM(AB742:AL747)</f>
        <v/>
      </c>
      <c r="AN742" s="726" t="n"/>
      <c r="AU742" s="1240" t="n"/>
      <c r="AV742" s="1240" t="n"/>
    </row>
    <row r="743" ht="17.1" customHeight="1">
      <c r="A743" s="973" t="n"/>
      <c r="B743" s="971" t="n"/>
      <c r="C743" s="972" t="n"/>
      <c r="D743" s="973" t="n"/>
      <c r="E743" s="973" t="n"/>
      <c r="F743" s="994" t="n"/>
      <c r="G743" s="994" t="n"/>
      <c r="H743" s="973" t="n"/>
      <c r="I743" s="973" t="n"/>
      <c r="J743" s="973" t="n"/>
      <c r="K743" s="973" t="n"/>
      <c r="L743" s="253" t="n"/>
      <c r="M743" s="254" t="n"/>
      <c r="N743" s="254" t="n"/>
      <c r="O743" s="1183" t="n"/>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73" t="n"/>
      <c r="E744" s="973" t="n"/>
      <c r="F744" s="994" t="n"/>
      <c r="G744" s="994" t="n"/>
      <c r="H744" s="973" t="n"/>
      <c r="I744" s="973" t="n"/>
      <c r="J744" s="973" t="n"/>
      <c r="K744" s="973" t="n"/>
      <c r="L744" s="253" t="n"/>
      <c r="M744" s="254" t="n"/>
      <c r="N744" s="254" t="n"/>
      <c r="O744" s="1183" t="n"/>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73" t="n"/>
      <c r="E745" s="973" t="n"/>
      <c r="F745" s="994" t="n"/>
      <c r="G745" s="994" t="n"/>
      <c r="H745" s="973" t="n"/>
      <c r="I745" s="973" t="n"/>
      <c r="J745" s="973" t="n"/>
      <c r="K745" s="973" t="n"/>
      <c r="L745" s="253" t="n"/>
      <c r="M745" s="254" t="n"/>
      <c r="N745" s="254" t="n"/>
      <c r="O745" s="1183" t="n"/>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73" t="n"/>
      <c r="E746" s="973" t="n"/>
      <c r="F746" s="994" t="n"/>
      <c r="G746" s="994" t="n"/>
      <c r="H746" s="973" t="n"/>
      <c r="I746" s="973" t="n"/>
      <c r="J746" s="973" t="n"/>
      <c r="K746" s="973" t="n"/>
      <c r="L746" s="253" t="n"/>
      <c r="M746" s="254" t="n"/>
      <c r="N746" s="254" t="n"/>
      <c r="O746" s="1183" t="n"/>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73" t="n"/>
      <c r="E747" s="973" t="n"/>
      <c r="F747" s="994" t="n"/>
      <c r="G747" s="994" t="n"/>
      <c r="H747" s="973" t="n"/>
      <c r="I747" s="973" t="n"/>
      <c r="J747" s="973" t="n"/>
      <c r="K747" s="975" t="n"/>
      <c r="L747" s="253" t="n"/>
      <c r="M747" s="254" t="n"/>
      <c r="N747" s="254" t="n"/>
      <c r="O747" s="1183" t="n"/>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75" t="n"/>
      <c r="E748" s="975" t="n"/>
      <c r="F748" s="998" t="n"/>
      <c r="G748" s="998" t="n"/>
      <c r="H748" s="975" t="n"/>
      <c r="I748" s="975" t="n"/>
      <c r="J748" s="975" t="n"/>
      <c r="K748" s="1189">
        <f>K742=L748</f>
        <v/>
      </c>
      <c r="L748" s="491">
        <f>SUM(L742:L747)</f>
        <v/>
      </c>
      <c r="M748" s="1190" t="inlineStr">
        <is>
          <t xml:space="preserve">“Verdadero” indica que la cantidad por lote, coincide con el saldo que inicia al mes siguiente. "Falso" no coinicide. </t>
        </is>
      </c>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413">
        <f>ENERO!K749</f>
        <v/>
      </c>
      <c r="E749" s="339">
        <f>H345</f>
        <v/>
      </c>
      <c r="F749" s="338" t="n">
        <v>0</v>
      </c>
      <c r="G749" s="338" t="n">
        <v>0</v>
      </c>
      <c r="H749" s="1235">
        <f>+F749+G749</f>
        <v/>
      </c>
      <c r="I749" s="340">
        <f>+AM749</f>
        <v/>
      </c>
      <c r="J749" s="341">
        <f>+H749+I749</f>
        <v/>
      </c>
      <c r="K749" s="583">
        <f>+(D749+E749)-(J749)</f>
        <v/>
      </c>
      <c r="L749" s="253" t="n"/>
      <c r="M749" s="254" t="n"/>
      <c r="N749" s="254" t="n"/>
      <c r="O749" s="1183" t="n"/>
      <c r="P749" s="256">
        <f>IF(O749=0," ",IFERROR(IF(DATEDIF(TODAY(),O749,"M")&lt;=5,"ROJO",IF(DATEDIF(TODAY(),O749,"M")&gt;=12,"VERDE",IF(AND(DATEDIF(TODAY(),O749,"M")&gt;=6,DATEDIF(TODAY(),O749,"M")&lt;=11),"AMARILLO"))),Q749))</f>
        <v/>
      </c>
      <c r="Q749" s="256">
        <f>IF(O749=0," ",IF(O749&lt;=$L$6,"VENCIDO","NO VENCIDO"))</f>
        <v/>
      </c>
      <c r="R749" s="257" t="n"/>
      <c r="S749" s="258" t="n"/>
      <c r="T749" s="258" t="n"/>
      <c r="U749" s="1184" t="n"/>
      <c r="V749" s="1184" t="n"/>
      <c r="W749" s="1236">
        <f>+AR749</f>
        <v/>
      </c>
      <c r="X749" s="1237" t="n"/>
      <c r="Y749" s="232" t="n"/>
      <c r="Z749" s="648" t="n">
        <v>0</v>
      </c>
      <c r="AA749" s="648" t="n">
        <v>0</v>
      </c>
      <c r="AB749" s="649">
        <f>+Z749+AA749</f>
        <v/>
      </c>
      <c r="AC749" s="648" t="n">
        <v>0</v>
      </c>
      <c r="AD749" s="648" t="n">
        <v>0</v>
      </c>
      <c r="AE749" s="648" t="n">
        <v>0</v>
      </c>
      <c r="AF749" s="648" t="n">
        <v>0</v>
      </c>
      <c r="AG749" s="648" t="n">
        <v>0</v>
      </c>
      <c r="AH749" s="648" t="n">
        <v>0</v>
      </c>
      <c r="AI749" s="648" t="n">
        <v>0</v>
      </c>
      <c r="AJ749" s="648" t="n">
        <v>0</v>
      </c>
      <c r="AK749" s="648" t="n">
        <v>0</v>
      </c>
      <c r="AL749" s="648" t="n">
        <v>0</v>
      </c>
      <c r="AM749" s="421">
        <f>SUM(AB749:AL754)</f>
        <v/>
      </c>
      <c r="AN749" s="726" t="n"/>
      <c r="AU749" s="1240" t="n"/>
      <c r="AV749" s="1240" t="n"/>
    </row>
    <row r="750" ht="17.1" customHeight="1">
      <c r="A750" s="973" t="n"/>
      <c r="B750" s="971" t="n"/>
      <c r="C750" s="972" t="n"/>
      <c r="D750" s="973"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73"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73"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73"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73"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75" t="n"/>
      <c r="E755" s="975" t="n"/>
      <c r="F755" s="998" t="n"/>
      <c r="G755" s="998" t="n"/>
      <c r="H755" s="975" t="n"/>
      <c r="I755" s="975" t="n"/>
      <c r="J755" s="975" t="n"/>
      <c r="K755" s="1189">
        <f>K749=L755</f>
        <v/>
      </c>
      <c r="L755" s="491">
        <f>SUM(L749:L754)</f>
        <v/>
      </c>
      <c r="M755" s="1190" t="inlineStr">
        <is>
          <t xml:space="preserve">“Verdadero” indica que la cantidad por lote, coincide con el saldo que inicia al mes siguiente. "Falso" no coinicide. </t>
        </is>
      </c>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413">
        <f>ENERO!K756</f>
        <v/>
      </c>
      <c r="E756" s="339">
        <f>H352</f>
        <v/>
      </c>
      <c r="F756" s="338" t="n">
        <v>5060</v>
      </c>
      <c r="G756" s="338" t="n">
        <v>55</v>
      </c>
      <c r="H756" s="1235">
        <f>+F756+G756</f>
        <v/>
      </c>
      <c r="I756" s="340">
        <f>+AM756</f>
        <v/>
      </c>
      <c r="J756" s="341">
        <f>+H756+I756</f>
        <v/>
      </c>
      <c r="K756" s="583">
        <f>+(D756+E756)-(J756)</f>
        <v/>
      </c>
      <c r="L756" s="253" t="n">
        <v>27760</v>
      </c>
      <c r="M756" s="254" t="n"/>
      <c r="N756" s="254" t="n"/>
      <c r="O756" s="1183" t="n"/>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v>5</v>
      </c>
      <c r="AA756" s="648" t="n">
        <v>32</v>
      </c>
      <c r="AB756" s="649">
        <f>+Z756+AA756</f>
        <v/>
      </c>
      <c r="AC756" s="648" t="n">
        <v>37</v>
      </c>
      <c r="AD756" s="648" t="n">
        <v>0</v>
      </c>
      <c r="AE756" s="648" t="n">
        <v>3</v>
      </c>
      <c r="AF756" s="648" t="n">
        <v>1</v>
      </c>
      <c r="AG756" s="648" t="n">
        <v>0</v>
      </c>
      <c r="AH756" s="648" t="n">
        <v>0</v>
      </c>
      <c r="AI756" s="648" t="n">
        <v>0</v>
      </c>
      <c r="AJ756" s="648" t="n">
        <v>0</v>
      </c>
      <c r="AK756" s="648" t="n">
        <v>0</v>
      </c>
      <c r="AL756" s="648" t="n">
        <v>0</v>
      </c>
      <c r="AM756" s="421">
        <f>SUM(AB756:AL761)</f>
        <v/>
      </c>
      <c r="AN756" s="726" t="n"/>
      <c r="AU756" s="1240" t="n"/>
      <c r="AV756" s="1240" t="n"/>
    </row>
    <row r="757" ht="17.1" customHeight="1">
      <c r="A757" s="973" t="n"/>
      <c r="B757" s="971" t="n"/>
      <c r="C757" s="972" t="n"/>
      <c r="D757" s="973" t="n"/>
      <c r="E757" s="973" t="n"/>
      <c r="F757" s="994" t="n"/>
      <c r="G757" s="994" t="n"/>
      <c r="H757" s="973" t="n"/>
      <c r="I757" s="973" t="n"/>
      <c r="J757" s="973" t="n"/>
      <c r="K757" s="973" t="n"/>
      <c r="L757" s="253" t="n"/>
      <c r="M757" s="254" t="n"/>
      <c r="N757" s="254" t="n"/>
      <c r="O757" s="1183" t="n"/>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73" t="n"/>
      <c r="E758" s="973" t="n"/>
      <c r="F758" s="994" t="n"/>
      <c r="G758" s="994" t="n"/>
      <c r="H758" s="973" t="n"/>
      <c r="I758" s="973" t="n"/>
      <c r="J758" s="973" t="n"/>
      <c r="K758" s="973" t="n"/>
      <c r="L758" s="253" t="n"/>
      <c r="M758" s="254" t="n"/>
      <c r="N758" s="254" t="n"/>
      <c r="O758" s="1183" t="n"/>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73" t="n"/>
      <c r="E759" s="973" t="n"/>
      <c r="F759" s="994" t="n"/>
      <c r="G759" s="994" t="n"/>
      <c r="H759" s="973" t="n"/>
      <c r="I759" s="973" t="n"/>
      <c r="J759" s="973" t="n"/>
      <c r="K759" s="973" t="n"/>
      <c r="L759" s="253" t="n"/>
      <c r="M759" s="254" t="n"/>
      <c r="N759" s="254" t="n"/>
      <c r="O759" s="1183" t="n"/>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73" t="n"/>
      <c r="E760" s="973" t="n"/>
      <c r="F760" s="994" t="n"/>
      <c r="G760" s="994" t="n"/>
      <c r="H760" s="973" t="n"/>
      <c r="I760" s="973" t="n"/>
      <c r="J760" s="973" t="n"/>
      <c r="K760" s="973" t="n"/>
      <c r="L760" s="253" t="n"/>
      <c r="M760" s="254" t="n"/>
      <c r="N760" s="254" t="n"/>
      <c r="O760" s="1183" t="n"/>
      <c r="P760" s="256">
        <f>IF(O760=0," ",IFERROR(IF(DATEDIF(TODAY(),O760,"M")&lt;=5,"ROJO",IF(DATEDIF(TODAY(),O760,"M")&gt;=12,"VERDE",IF(AND(DATEDIF(TODAY(),O760,"M")&gt;=6,DATEDIF(TODAY(),O760,"M")&lt;=11),"AMARILLO"))),Q760))</f>
        <v/>
      </c>
      <c r="Q760" s="256">
        <f>IF(O760=0," ",IF(O760&lt;=$L$6,"VENCIDO","NO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73"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75"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413">
        <f>ENERO!K763</f>
        <v/>
      </c>
      <c r="E763" s="339">
        <f>H359</f>
        <v/>
      </c>
      <c r="F763" s="338" t="n">
        <v>620</v>
      </c>
      <c r="G763" s="338" t="n">
        <v>20</v>
      </c>
      <c r="H763" s="1235">
        <f>+F763+G763</f>
        <v/>
      </c>
      <c r="I763" s="340">
        <f>+AM763</f>
        <v/>
      </c>
      <c r="J763" s="341">
        <f>+H763+I763</f>
        <v/>
      </c>
      <c r="K763" s="583">
        <f>+(D763+E763)-(J763)</f>
        <v/>
      </c>
      <c r="L763" s="253" t="n">
        <v>4160</v>
      </c>
      <c r="M763" s="254" t="n"/>
      <c r="N763" s="254" t="n"/>
      <c r="O763" s="1183" t="n"/>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v>9</v>
      </c>
      <c r="AA763" s="648" t="n">
        <v>9</v>
      </c>
      <c r="AB763" s="649">
        <f>+Z763+AA763</f>
        <v/>
      </c>
      <c r="AC763" s="648" t="n">
        <v>18</v>
      </c>
      <c r="AD763" s="648" t="n">
        <v>0</v>
      </c>
      <c r="AE763" s="648" t="n">
        <v>0</v>
      </c>
      <c r="AF763" s="648" t="n">
        <v>16</v>
      </c>
      <c r="AG763" s="648" t="n">
        <v>0</v>
      </c>
      <c r="AH763" s="648" t="n">
        <v>13</v>
      </c>
      <c r="AI763" s="648" t="n">
        <v>0</v>
      </c>
      <c r="AJ763" s="648" t="n">
        <v>0</v>
      </c>
      <c r="AK763" s="648" t="n">
        <v>0</v>
      </c>
      <c r="AL763" s="648" t="n">
        <v>7</v>
      </c>
      <c r="AM763" s="421">
        <f>SUM(AB763:AL768)</f>
        <v/>
      </c>
      <c r="AN763" s="726" t="n"/>
      <c r="AU763" s="1240" t="n"/>
      <c r="AV763" s="1240" t="n"/>
    </row>
    <row r="764" ht="17.1" customHeight="1">
      <c r="A764" s="973" t="n"/>
      <c r="B764" s="971" t="n"/>
      <c r="C764" s="972" t="n"/>
      <c r="D764" s="973" t="n"/>
      <c r="E764" s="973" t="n"/>
      <c r="F764" s="994" t="n"/>
      <c r="G764" s="994" t="n"/>
      <c r="H764" s="973" t="n"/>
      <c r="I764" s="973" t="n"/>
      <c r="J764" s="973" t="n"/>
      <c r="K764" s="973" t="n"/>
      <c r="L764" s="253" t="n"/>
      <c r="M764" s="254" t="n"/>
      <c r="N764" s="254" t="n"/>
      <c r="O764" s="1183" t="n"/>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73" t="n"/>
      <c r="E765" s="973" t="n"/>
      <c r="F765" s="994" t="n"/>
      <c r="G765" s="994" t="n"/>
      <c r="H765" s="973" t="n"/>
      <c r="I765" s="973" t="n"/>
      <c r="J765" s="973" t="n"/>
      <c r="K765" s="973" t="n"/>
      <c r="L765" s="253" t="n"/>
      <c r="M765" s="254" t="n"/>
      <c r="N765" s="254" t="n"/>
      <c r="O765" s="1183" t="n"/>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73" t="n"/>
      <c r="E766" s="973" t="n"/>
      <c r="F766" s="994" t="n"/>
      <c r="G766" s="994" t="n"/>
      <c r="H766" s="973" t="n"/>
      <c r="I766" s="973" t="n"/>
      <c r="J766" s="973" t="n"/>
      <c r="K766" s="973" t="n"/>
      <c r="L766" s="253" t="n"/>
      <c r="M766" s="254" t="n"/>
      <c r="N766" s="254" t="n"/>
      <c r="O766" s="1183" t="n"/>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73" t="n"/>
      <c r="E767" s="973" t="n"/>
      <c r="F767" s="994" t="n"/>
      <c r="G767" s="994" t="n"/>
      <c r="H767" s="973" t="n"/>
      <c r="I767" s="973" t="n"/>
      <c r="J767" s="973" t="n"/>
      <c r="K767" s="973" t="n"/>
      <c r="L767" s="253" t="n"/>
      <c r="M767" s="254" t="n"/>
      <c r="N767" s="254" t="n"/>
      <c r="O767" s="1183" t="n"/>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73"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75" t="n"/>
      <c r="E769" s="975" t="n"/>
      <c r="F769" s="998" t="n"/>
      <c r="G769" s="998" t="n"/>
      <c r="H769" s="975" t="n"/>
      <c r="I769" s="975" t="n"/>
      <c r="J769" s="975" t="n"/>
      <c r="K769" s="1189">
        <f>K763=L769</f>
        <v/>
      </c>
      <c r="L769" s="491">
        <f>SUM(L763:L768)</f>
        <v/>
      </c>
      <c r="M769" s="1190" t="inlineStr">
        <is>
          <t xml:space="preserve">“Verdadero” indica que la cantidad por lote, coincide con el saldo que inicia al mes siguiente. "Falso" no coinicide. </t>
        </is>
      </c>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413">
        <f>ENERO!K770</f>
        <v/>
      </c>
      <c r="E770" s="339">
        <f>H366</f>
        <v/>
      </c>
      <c r="F770" s="338" t="n">
        <v>0</v>
      </c>
      <c r="G770" s="338" t="n">
        <v>0</v>
      </c>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v>0</v>
      </c>
      <c r="AA770" s="648" t="n">
        <v>0</v>
      </c>
      <c r="AB770" s="649">
        <f>+Z770+AA770</f>
        <v/>
      </c>
      <c r="AC770" s="648" t="n">
        <v>0</v>
      </c>
      <c r="AD770" s="648" t="n">
        <v>0</v>
      </c>
      <c r="AE770" s="648" t="n">
        <v>0</v>
      </c>
      <c r="AF770" s="648" t="n">
        <v>0</v>
      </c>
      <c r="AG770" s="648" t="n">
        <v>0</v>
      </c>
      <c r="AH770" s="648" t="n">
        <v>0</v>
      </c>
      <c r="AI770" s="648" t="n">
        <v>0</v>
      </c>
      <c r="AJ770" s="648" t="n">
        <v>0</v>
      </c>
      <c r="AK770" s="648" t="n">
        <v>0</v>
      </c>
      <c r="AL770" s="648" t="n">
        <v>0</v>
      </c>
      <c r="AM770" s="421">
        <f>SUM(AB770:AL775)</f>
        <v/>
      </c>
      <c r="AN770" s="726" t="n"/>
      <c r="AU770" s="1240" t="n"/>
      <c r="AV770" s="1240" t="n"/>
    </row>
    <row r="771" ht="17.1" customHeight="1">
      <c r="A771" s="973" t="n"/>
      <c r="B771" s="971" t="n"/>
      <c r="C771" s="972" t="n"/>
      <c r="D771" s="973"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73"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73"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73"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73"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75" t="n"/>
      <c r="E776" s="975" t="n"/>
      <c r="F776" s="998" t="n"/>
      <c r="G776" s="998" t="n"/>
      <c r="H776" s="975" t="n"/>
      <c r="I776" s="975" t="n"/>
      <c r="J776" s="975" t="n"/>
      <c r="K776" s="1189">
        <f>K770=L776</f>
        <v/>
      </c>
      <c r="L776" s="491">
        <f>SUM(L770:L775)</f>
        <v/>
      </c>
      <c r="M776" s="1190" t="inlineStr">
        <is>
          <t xml:space="preserve">“Verdadero” indica que la cantidad por lote, coincide con el saldo que inicia al mes siguiente. "Falso" no coinicide. </t>
        </is>
      </c>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413">
        <f>ENERO!K777</f>
        <v/>
      </c>
      <c r="E777" s="339">
        <f>H373</f>
        <v/>
      </c>
      <c r="F777" s="338" t="n">
        <v>817</v>
      </c>
      <c r="G777" s="338" t="n">
        <v>19</v>
      </c>
      <c r="H777" s="576">
        <f>+F777+G777</f>
        <v/>
      </c>
      <c r="I777" s="340">
        <f>+AM777</f>
        <v/>
      </c>
      <c r="J777" s="341">
        <f>+H777+I777</f>
        <v/>
      </c>
      <c r="K777" s="584">
        <f>+(D777+E777)-(J777)</f>
        <v/>
      </c>
      <c r="L777" s="253" t="n"/>
      <c r="M777" s="254" t="n"/>
      <c r="N777" s="254" t="n"/>
      <c r="O777" s="1183" t="n"/>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v>1</v>
      </c>
      <c r="AA777" s="648" t="n">
        <v>0</v>
      </c>
      <c r="AB777" s="649">
        <f>+Z777+AA777</f>
        <v/>
      </c>
      <c r="AC777" s="648" t="n">
        <v>0</v>
      </c>
      <c r="AD777" s="648" t="n">
        <v>0</v>
      </c>
      <c r="AE777" s="648" t="n">
        <v>0</v>
      </c>
      <c r="AF777" s="648" t="n">
        <v>0</v>
      </c>
      <c r="AG777" s="648" t="n">
        <v>0</v>
      </c>
      <c r="AH777" s="648" t="n">
        <v>0</v>
      </c>
      <c r="AI777" s="648" t="n">
        <v>0</v>
      </c>
      <c r="AJ777" s="648" t="n">
        <v>0</v>
      </c>
      <c r="AK777" s="648" t="n">
        <v>0</v>
      </c>
      <c r="AL777" s="648" t="n">
        <v>0</v>
      </c>
      <c r="AM777" s="382">
        <f>SUM(AB777:AL777)</f>
        <v/>
      </c>
      <c r="AN777" s="726" t="n"/>
      <c r="AU777" s="1240" t="n"/>
      <c r="AV777" s="1240" t="n"/>
    </row>
    <row r="778" ht="30" customHeight="1">
      <c r="A778" s="585">
        <f>A777+1</f>
        <v/>
      </c>
      <c r="B778" s="629" t="inlineStr">
        <is>
          <t>Carnet de vacunación adultos</t>
        </is>
      </c>
      <c r="C778" s="967" t="n"/>
      <c r="D778" s="413">
        <f>ENERO!K778</f>
        <v/>
      </c>
      <c r="E778" s="339">
        <f>H374</f>
        <v/>
      </c>
      <c r="F778" s="338" t="n">
        <v>3064</v>
      </c>
      <c r="G778" s="338" t="n">
        <v>0</v>
      </c>
      <c r="H778" s="576">
        <f>+F778+G778</f>
        <v/>
      </c>
      <c r="I778" s="340">
        <f>+AM778</f>
        <v/>
      </c>
      <c r="J778" s="341">
        <f>+H778+I778</f>
        <v/>
      </c>
      <c r="K778" s="584">
        <f>+(D778+E778)-(J778)</f>
        <v/>
      </c>
      <c r="L778" s="253" t="n"/>
      <c r="M778" s="254" t="n"/>
      <c r="N778" s="254" t="n"/>
      <c r="O778" s="1183" t="n"/>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v>0</v>
      </c>
      <c r="AA778" s="648" t="n">
        <v>0</v>
      </c>
      <c r="AB778" s="649">
        <f>+Z778+AA778</f>
        <v/>
      </c>
      <c r="AC778" s="648" t="n">
        <v>0</v>
      </c>
      <c r="AD778" s="648" t="n">
        <v>0</v>
      </c>
      <c r="AE778" s="648" t="n">
        <v>0</v>
      </c>
      <c r="AF778" s="648" t="n">
        <v>0</v>
      </c>
      <c r="AG778" s="648" t="n">
        <v>0</v>
      </c>
      <c r="AH778" s="648" t="n">
        <v>0</v>
      </c>
      <c r="AI778" s="648" t="n">
        <v>0</v>
      </c>
      <c r="AJ778" s="648" t="n">
        <v>0</v>
      </c>
      <c r="AK778" s="648" t="n">
        <v>0</v>
      </c>
      <c r="AL778" s="648" t="n">
        <v>0</v>
      </c>
      <c r="AM778" s="382">
        <f>SUM(AB778:AL778)</f>
        <v/>
      </c>
      <c r="AN778" s="726" t="n"/>
      <c r="AU778" s="1240" t="n"/>
      <c r="AV778" s="1240" t="n"/>
    </row>
    <row r="779" ht="30" customHeight="1">
      <c r="A779" s="585">
        <f>A778+1</f>
        <v/>
      </c>
      <c r="B779" s="629" t="inlineStr">
        <is>
          <t>Carnet/Certificado de vacunación (Covid-19)</t>
        </is>
      </c>
      <c r="C779" s="967" t="n"/>
      <c r="D779" s="413">
        <f>ENERO!K779</f>
        <v/>
      </c>
      <c r="E779" s="339">
        <f>H375</f>
        <v/>
      </c>
      <c r="F779" s="338" t="n">
        <v>6</v>
      </c>
      <c r="G779" s="338" t="n">
        <v>0</v>
      </c>
      <c r="H779" s="576">
        <f>+F779+G779</f>
        <v/>
      </c>
      <c r="I779" s="340">
        <f>+AM779</f>
        <v/>
      </c>
      <c r="J779" s="341">
        <f>+H779+I779</f>
        <v/>
      </c>
      <c r="K779" s="584">
        <f>+(D779+E779)-(J779)</f>
        <v/>
      </c>
      <c r="L779" s="253" t="n"/>
      <c r="M779" s="254" t="n"/>
      <c r="N779" s="254" t="n"/>
      <c r="O779" s="1183" t="n"/>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v>0</v>
      </c>
      <c r="AA779" s="648" t="n">
        <v>0</v>
      </c>
      <c r="AB779" s="649">
        <f>+Z779+AA779</f>
        <v/>
      </c>
      <c r="AC779" s="648" t="n">
        <v>0</v>
      </c>
      <c r="AD779" s="648" t="n">
        <v>0</v>
      </c>
      <c r="AE779" s="648" t="n">
        <v>0</v>
      </c>
      <c r="AF779" s="648" t="n">
        <v>0</v>
      </c>
      <c r="AG779" s="648" t="n">
        <v>0</v>
      </c>
      <c r="AH779" s="648" t="n">
        <v>0</v>
      </c>
      <c r="AI779" s="648" t="n">
        <v>0</v>
      </c>
      <c r="AJ779" s="648" t="n">
        <v>0</v>
      </c>
      <c r="AK779" s="648" t="n">
        <v>0</v>
      </c>
      <c r="AL779" s="648" t="n">
        <v>0</v>
      </c>
      <c r="AM779" s="382">
        <f>SUM(AB779:AL779)</f>
        <v/>
      </c>
      <c r="AN779" s="726" t="n"/>
      <c r="AU779" s="1240" t="n"/>
      <c r="AV779" s="1240" t="n"/>
    </row>
    <row r="780" ht="30" customHeight="1">
      <c r="A780" s="585">
        <f>A779+1</f>
        <v/>
      </c>
      <c r="B780" s="629" t="inlineStr">
        <is>
          <t>Carne/certificado internacional de vacunación</t>
        </is>
      </c>
      <c r="C780" s="967" t="n"/>
      <c r="D780" s="413">
        <f>ENERO!K780</f>
        <v/>
      </c>
      <c r="E780" s="339">
        <f>H376</f>
        <v/>
      </c>
      <c r="F780" s="338" t="n">
        <v>411</v>
      </c>
      <c r="G780" s="338" t="n">
        <v>2</v>
      </c>
      <c r="H780" s="576">
        <f>+F780+G780</f>
        <v/>
      </c>
      <c r="I780" s="340">
        <f>+AM780</f>
        <v/>
      </c>
      <c r="J780" s="341">
        <f>+H780+I780</f>
        <v/>
      </c>
      <c r="K780" s="584">
        <f>+(D780+E780)-(J780)</f>
        <v/>
      </c>
      <c r="L780" s="253" t="n"/>
      <c r="M780" s="254" t="n"/>
      <c r="N780" s="254" t="n"/>
      <c r="O780" s="1183" t="n"/>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v>0</v>
      </c>
      <c r="AA780" s="648" t="n">
        <v>0</v>
      </c>
      <c r="AB780" s="649">
        <f>+Z780+AA780</f>
        <v/>
      </c>
      <c r="AC780" s="648" t="n">
        <v>0</v>
      </c>
      <c r="AD780" s="648" t="n">
        <v>0</v>
      </c>
      <c r="AE780" s="648" t="n">
        <v>0</v>
      </c>
      <c r="AF780" s="648" t="n">
        <v>0</v>
      </c>
      <c r="AG780" s="648" t="n">
        <v>0</v>
      </c>
      <c r="AH780" s="648" t="n">
        <v>0</v>
      </c>
      <c r="AI780" s="648" t="n">
        <v>0</v>
      </c>
      <c r="AJ780" s="648" t="n">
        <v>0</v>
      </c>
      <c r="AK780" s="648" t="n">
        <v>0</v>
      </c>
      <c r="AL780" s="648" t="n">
        <v>0</v>
      </c>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413">
        <f>ENERO!K781</f>
        <v/>
      </c>
      <c r="E781" s="339">
        <f>H377</f>
        <v/>
      </c>
      <c r="F781" s="338" t="n">
        <v>1</v>
      </c>
      <c r="G781" s="338" t="n">
        <v>0</v>
      </c>
      <c r="H781" s="576">
        <f>+F781+G781</f>
        <v/>
      </c>
      <c r="I781" s="340">
        <f>+AM781</f>
        <v/>
      </c>
      <c r="J781" s="341">
        <f>+H781+I781</f>
        <v/>
      </c>
      <c r="K781" s="584">
        <f>+(D781+E781)-(J781)</f>
        <v/>
      </c>
      <c r="L781" s="253" t="n"/>
      <c r="M781" s="254" t="n"/>
      <c r="N781" s="254" t="n"/>
      <c r="O781" s="1183" t="n"/>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v>0</v>
      </c>
      <c r="AA781" s="648" t="n">
        <v>0</v>
      </c>
      <c r="AB781" s="649">
        <f>+Z781+AA781</f>
        <v/>
      </c>
      <c r="AC781" s="648" t="n">
        <v>0</v>
      </c>
      <c r="AD781" s="648" t="n">
        <v>0</v>
      </c>
      <c r="AE781" s="648" t="n">
        <v>0</v>
      </c>
      <c r="AF781" s="648" t="n">
        <v>0</v>
      </c>
      <c r="AG781" s="648" t="n">
        <v>0</v>
      </c>
      <c r="AH781" s="648" t="n">
        <v>0</v>
      </c>
      <c r="AI781" s="648" t="n">
        <v>0</v>
      </c>
      <c r="AJ781" s="648" t="n">
        <v>0</v>
      </c>
      <c r="AK781" s="648" t="n">
        <v>0</v>
      </c>
      <c r="AL781" s="648" t="n">
        <v>0</v>
      </c>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413">
        <f>ENERO!K782</f>
        <v/>
      </c>
      <c r="E782" s="339">
        <f>H378</f>
        <v/>
      </c>
      <c r="F782" s="338" t="n">
        <v>1</v>
      </c>
      <c r="G782" s="338" t="n">
        <v>0</v>
      </c>
      <c r="H782" s="576">
        <f>+F782+G782</f>
        <v/>
      </c>
      <c r="I782" s="340">
        <f>+AM782</f>
        <v/>
      </c>
      <c r="J782" s="341">
        <f>+H782+I782</f>
        <v/>
      </c>
      <c r="K782" s="584">
        <f>+(D782+E782)-(J782)</f>
        <v/>
      </c>
      <c r="L782" s="253" t="n"/>
      <c r="M782" s="254" t="n"/>
      <c r="N782" s="254" t="n"/>
      <c r="O782" s="1183" t="n"/>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v>0</v>
      </c>
      <c r="AA782" s="648" t="n">
        <v>0</v>
      </c>
      <c r="AB782" s="649">
        <f>+Z782+AA782</f>
        <v/>
      </c>
      <c r="AC782" s="648" t="n">
        <v>0</v>
      </c>
      <c r="AD782" s="648" t="n">
        <v>0</v>
      </c>
      <c r="AE782" s="648" t="n">
        <v>0</v>
      </c>
      <c r="AF782" s="648" t="n">
        <v>0</v>
      </c>
      <c r="AG782" s="648" t="n">
        <v>0</v>
      </c>
      <c r="AH782" s="648" t="n">
        <v>0</v>
      </c>
      <c r="AI782" s="648" t="n">
        <v>0</v>
      </c>
      <c r="AJ782" s="648" t="n">
        <v>0</v>
      </c>
      <c r="AK782" s="648" t="n">
        <v>0</v>
      </c>
      <c r="AL782" s="648" t="n">
        <v>0</v>
      </c>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413">
        <f>ENERO!K783</f>
        <v/>
      </c>
      <c r="E783" s="339">
        <f>H379</f>
        <v/>
      </c>
      <c r="F783" s="338" t="n">
        <v>0</v>
      </c>
      <c r="G783" s="338" t="n">
        <v>0</v>
      </c>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v>0</v>
      </c>
      <c r="AA783" s="648" t="n">
        <v>0</v>
      </c>
      <c r="AB783" s="649">
        <f>+Z783+AA783</f>
        <v/>
      </c>
      <c r="AC783" s="648" t="n">
        <v>0</v>
      </c>
      <c r="AD783" s="648" t="n">
        <v>0</v>
      </c>
      <c r="AE783" s="648" t="n">
        <v>0</v>
      </c>
      <c r="AF783" s="648" t="n">
        <v>0</v>
      </c>
      <c r="AG783" s="648" t="n">
        <v>0</v>
      </c>
      <c r="AH783" s="648" t="n">
        <v>0</v>
      </c>
      <c r="AI783" s="648" t="n">
        <v>0</v>
      </c>
      <c r="AJ783" s="648" t="n">
        <v>0</v>
      </c>
      <c r="AK783" s="648" t="n">
        <v>0</v>
      </c>
      <c r="AL783" s="648" t="n">
        <v>0</v>
      </c>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569" t="inlineStr">
        <is>
          <t>ÍTEM</t>
        </is>
      </c>
      <c r="B785" s="569" t="inlineStr">
        <is>
          <t>VACUNA COVID-19</t>
        </is>
      </c>
      <c r="C785" s="965" t="n"/>
      <c r="D785" s="1231" t="inlineStr">
        <is>
          <t>SALDO MES ANTERIOR</t>
        </is>
      </c>
      <c r="E785" s="961" t="inlineStr">
        <is>
          <t>BIOLÓGICO RECIBIDO DEL CENTRO DE ACOPIO DEPARTAMENTAL / DISTRITAL</t>
        </is>
      </c>
      <c r="F785" s="1231" t="inlineStr">
        <is>
          <t>DOSIS APLICADAS</t>
        </is>
      </c>
      <c r="G785" s="967" t="n"/>
      <c r="H785" s="1232" t="inlineStr">
        <is>
          <t>TOTAL DOSIS APLICADAS</t>
        </is>
      </c>
      <c r="I785" s="961" t="inlineStr">
        <is>
          <t>DOSIS PERDIDAS</t>
        </is>
      </c>
      <c r="J785" s="1231" t="inlineStr">
        <is>
          <t>TOTAL DOSIS ÚTILIZADAS EN EL MES</t>
        </is>
      </c>
      <c r="K785" s="623" t="inlineStr">
        <is>
          <t>SALDO QUE INICIA EL MES SIGUIENTE (SOLO MUNICIPIOS)</t>
        </is>
      </c>
      <c r="L785" s="623" t="inlineStr">
        <is>
          <t>DOSIS POR LOTES</t>
        </is>
      </c>
      <c r="M785" s="623" t="inlineStr">
        <is>
          <t xml:space="preserve">No. LOTE </t>
        </is>
      </c>
      <c r="N785" s="623" t="inlineStr">
        <is>
          <t>LABORATORIO</t>
        </is>
      </c>
      <c r="O785" s="623" t="inlineStr">
        <is>
          <t>FECHA DE VENCIMIENTO</t>
        </is>
      </c>
      <c r="P785" s="623" t="inlineStr">
        <is>
          <t>SEMAFORIZACION VIDA  ÚTIL DEL BIOLÓGICO</t>
        </is>
      </c>
      <c r="Q785" s="623" t="inlineStr">
        <is>
          <t>CONDICIÓN FINAL DEL BIOLÓGICO, DILUYENTE Y CARNET</t>
        </is>
      </c>
      <c r="R785" s="613" t="inlineStr">
        <is>
          <t>DOSIS EN CUARENTENA</t>
        </is>
      </c>
      <c r="S785" s="613" t="inlineStr">
        <is>
          <t>LABORATORIO</t>
        </is>
      </c>
      <c r="T785" s="613" t="inlineStr">
        <is>
          <t>No. LOTE</t>
        </is>
      </c>
      <c r="U785" s="613" t="inlineStr">
        <is>
          <t>FECHA DE VENCIMEINTO</t>
        </is>
      </c>
      <c r="V785" s="613" t="inlineStr">
        <is>
          <t>FECHA DE INICIO CUARENTENA</t>
        </is>
      </c>
      <c r="W785" s="613" t="inlineStr">
        <is>
          <t>OBSERVACIONES</t>
        </is>
      </c>
      <c r="X785" s="351" t="n"/>
      <c r="Y785" s="232" t="n"/>
      <c r="Z785" s="1221" t="inlineStr">
        <is>
          <t>MOTIVOS DE NO USO DE VACUNAS CONTRA LA COVID-19
RESOLUCIÓN 0118 DEL 27 DE ENERO DE 2026
DISPONIBLE EN EL SIGUIENTE LINK: https://www.minsalud.gov.co/Normatividad_Nuevo/Resolucion%20No%20118%20de%202026.pdf</t>
        </is>
      </c>
      <c r="AA785" s="968" t="n"/>
      <c r="AB785" s="968" t="n"/>
      <c r="AC785" s="968" t="n"/>
      <c r="AD785" s="968" t="n"/>
      <c r="AE785" s="968" t="n"/>
      <c r="AF785" s="968" t="n"/>
      <c r="AG785" s="968" t="n"/>
      <c r="AH785" s="968" t="n"/>
      <c r="AI785" s="968" t="n"/>
      <c r="AJ785" s="968" t="n"/>
      <c r="AK785" s="968" t="n"/>
      <c r="AL785" s="967" t="n"/>
      <c r="AM785" s="532" t="inlineStr">
        <is>
          <t xml:space="preserve">TOTAL DOSIS PERDIDAS        </t>
        </is>
      </c>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inlineStr">
        <is>
          <t>POLÍTICA DE FRASCOS ABIERTO</t>
        </is>
      </c>
      <c r="AA787" s="967" t="n"/>
      <c r="AB787" s="1222" t="inlineStr">
        <is>
          <t>INTERRUPCIÓN DE LA CADENA DE FRÍO</t>
        </is>
      </c>
      <c r="AC787" s="537" t="inlineStr">
        <is>
          <t>CONTAMINACIÓN DEL BIOLÓGICO</t>
        </is>
      </c>
      <c r="AD787" s="1222" t="inlineStr">
        <is>
          <t>ERROR EN LA MANIPULACIÓN</t>
        </is>
      </c>
      <c r="AE787" s="537" t="inlineStr">
        <is>
          <t>ERROR EN LA RECONSTITUCIÓN/DILUCIÓN</t>
        </is>
      </c>
      <c r="AF787" s="1222" t="inlineStr">
        <is>
          <t>ERROR EN LA DOSIFICACIÓN</t>
        </is>
      </c>
      <c r="AG787" s="537" t="inlineStr">
        <is>
          <t>VACUNA QUE EXCEDE EL TIEMPO DE ALMACENAMIENTO EN REFRIGERACIÓN</t>
        </is>
      </c>
      <c r="AH787" s="1222" t="inlineStr">
        <is>
          <t>VENCIMIENTO DEL BIOLÓGICO</t>
        </is>
      </c>
      <c r="AI787" s="537" t="inlineStr">
        <is>
          <t>FRASCO VIAL ROTO</t>
        </is>
      </c>
      <c r="AJ787" s="1222" t="inlineStr">
        <is>
          <t>FALLAS DE FABRICACIÓN/CALIDAD</t>
        </is>
      </c>
      <c r="AK787" s="537" t="inlineStr">
        <is>
          <t>SINIESTRO / ACCIDENTE</t>
        </is>
      </c>
      <c r="AL787" s="1222" t="inlineStr">
        <is>
          <t>ROBO/HURTO BIOLÓGICO</t>
        </is>
      </c>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inlineStr">
        <is>
          <t>INSTITUCIONAL</t>
        </is>
      </c>
      <c r="AA788" s="497" t="inlineStr">
        <is>
          <t>EXTRAMURAL</t>
        </is>
      </c>
      <c r="AB788" s="975" t="n"/>
      <c r="AC788" s="975" t="n"/>
      <c r="AD788" s="975" t="n"/>
      <c r="AE788" s="975" t="n"/>
      <c r="AF788" s="975" t="n"/>
      <c r="AG788" s="975" t="n"/>
      <c r="AH788" s="975" t="n"/>
      <c r="AI788" s="975" t="n"/>
      <c r="AJ788" s="975" t="n"/>
      <c r="AK788" s="975" t="n"/>
      <c r="AL788" s="975" t="n"/>
      <c r="AM788" s="975" t="n"/>
      <c r="AN788" s="368" t="n"/>
      <c r="AO788" s="368" t="n"/>
      <c r="AP788" s="416" t="n"/>
      <c r="AQ788" s="546" t="inlineStr">
        <is>
          <t>PORCENTAJE DE PERDIDA DEL MES
%</t>
        </is>
      </c>
      <c r="AR788" s="546" t="inlineStr">
        <is>
          <t>FACTOR DE PERDIDA DEL MES</t>
        </is>
      </c>
      <c r="AS788" s="420" t="inlineStr">
        <is>
          <t>% DE PERDIDA DEL MSPS</t>
        </is>
      </c>
      <c r="AT788" s="420" t="inlineStr">
        <is>
          <t>DOSIS POR VIAL</t>
        </is>
      </c>
      <c r="AV788" s="1240" t="n"/>
      <c r="AW788" s="1240" t="n"/>
    </row>
    <row r="789" ht="19.5" customHeight="1">
      <c r="A789" s="585" t="n">
        <v>1</v>
      </c>
      <c r="B789" s="1249" t="inlineStr">
        <is>
          <t>MODERNA ADULTO</t>
        </is>
      </c>
      <c r="C789" s="965" t="n"/>
      <c r="D789" s="496">
        <f>ENERO!K789</f>
        <v/>
      </c>
      <c r="E789" s="339">
        <f>H385</f>
        <v/>
      </c>
      <c r="F789" s="731" t="n">
        <v>0</v>
      </c>
      <c r="G789" s="731" t="n">
        <v>0</v>
      </c>
      <c r="H789" s="1235">
        <f>SUM(F789,G789)</f>
        <v/>
      </c>
      <c r="I789" s="340">
        <f>+AM789</f>
        <v/>
      </c>
      <c r="J789" s="341">
        <f>+H789+I789</f>
        <v/>
      </c>
      <c r="K789" s="583">
        <f>+(D789+E789)-(J789)</f>
        <v/>
      </c>
      <c r="L789" s="486" t="n"/>
      <c r="M789" s="487" t="n"/>
      <c r="N789" s="487" t="n"/>
      <c r="O789" s="1223" t="n"/>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v>0</v>
      </c>
      <c r="AA789" s="648" t="n">
        <v>0</v>
      </c>
      <c r="AB789" s="648" t="n">
        <v>0</v>
      </c>
      <c r="AC789" s="648" t="n">
        <v>0</v>
      </c>
      <c r="AD789" s="648" t="n">
        <v>0</v>
      </c>
      <c r="AE789" s="648" t="n">
        <v>0</v>
      </c>
      <c r="AF789" s="648" t="n">
        <v>0</v>
      </c>
      <c r="AG789" s="648" t="n">
        <v>0</v>
      </c>
      <c r="AH789" s="648" t="n">
        <v>0</v>
      </c>
      <c r="AI789" s="648" t="n">
        <v>0</v>
      </c>
      <c r="AJ789" s="648" t="n">
        <v>0</v>
      </c>
      <c r="AK789" s="648" t="n">
        <v>0</v>
      </c>
      <c r="AL789" s="648" t="n">
        <v>0</v>
      </c>
      <c r="AM789" s="573">
        <f>SUM(Z789:AL792)</f>
        <v/>
      </c>
      <c r="AN789" s="693" t="n"/>
      <c r="AO789" s="485" t="n"/>
      <c r="AP789" s="416" t="n"/>
      <c r="AQ789" s="1238">
        <f>IFERROR(I789/J789*100,"0")</f>
        <v/>
      </c>
      <c r="AR789" s="1238">
        <f>IFERROR(1/(1-(AQ789/100)),"0")</f>
        <v/>
      </c>
      <c r="AS789" s="1238" t="n">
        <v>0</v>
      </c>
      <c r="AT789" s="345" t="n">
        <v>5</v>
      </c>
      <c r="AU789" s="1240" t="n"/>
      <c r="AV789" s="1240" t="n"/>
    </row>
    <row r="790" ht="19.5" customHeight="1">
      <c r="A790" s="973" t="n"/>
      <c r="B790" s="971" t="n"/>
      <c r="C790" s="972" t="n"/>
      <c r="D790" s="973"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73"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73"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75" t="n"/>
      <c r="E793" s="975" t="n"/>
      <c r="F793" s="998" t="n"/>
      <c r="G793" s="998" t="n"/>
      <c r="H793" s="975" t="n"/>
      <c r="I793" s="975" t="n"/>
      <c r="J793" s="975" t="n"/>
      <c r="K793" s="1189">
        <f>K789=L793</f>
        <v/>
      </c>
      <c r="L793" s="491">
        <f>SUM(L789:L792)</f>
        <v/>
      </c>
      <c r="M793" s="1190" t="inlineStr">
        <is>
          <t xml:space="preserve">“Verdadero” indica que la cantidad por lote, coincide con el saldo que inicia al mes siguiente. "Falso" no coinicide. </t>
        </is>
      </c>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496">
        <f>ENERO!K794</f>
        <v/>
      </c>
      <c r="E794" s="339">
        <f>H390</f>
        <v/>
      </c>
      <c r="F794" s="731" t="n">
        <v>0</v>
      </c>
      <c r="G794" s="731" t="n">
        <v>0</v>
      </c>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v>0</v>
      </c>
      <c r="AA794" s="648" t="n">
        <v>0</v>
      </c>
      <c r="AB794" s="648" t="n">
        <v>0</v>
      </c>
      <c r="AC794" s="648" t="n">
        <v>0</v>
      </c>
      <c r="AD794" s="648" t="n">
        <v>0</v>
      </c>
      <c r="AE794" s="648" t="n">
        <v>0</v>
      </c>
      <c r="AF794" s="648" t="n">
        <v>0</v>
      </c>
      <c r="AG794" s="648" t="n">
        <v>0</v>
      </c>
      <c r="AH794" s="648" t="n">
        <v>0</v>
      </c>
      <c r="AI794" s="648" t="n">
        <v>0</v>
      </c>
      <c r="AJ794" s="648" t="n">
        <v>0</v>
      </c>
      <c r="AK794" s="648" t="n">
        <v>0</v>
      </c>
      <c r="AL794" s="648" t="n">
        <v>0</v>
      </c>
      <c r="AM794" s="573">
        <f>SUM(Z794:AL797)</f>
        <v/>
      </c>
      <c r="AN794" s="693" t="n"/>
      <c r="AO794" s="485" t="n"/>
      <c r="AP794" s="416" t="n"/>
      <c r="AQ794" s="1238">
        <f>IFERROR(I794/J794*100,"0")</f>
        <v/>
      </c>
      <c r="AR794" s="1238">
        <f>IFERROR(1/(1-(AQ794/100)),"0")</f>
        <v/>
      </c>
      <c r="AS794" s="1238" t="n">
        <v>0</v>
      </c>
      <c r="AT794" s="345" t="n">
        <v>10</v>
      </c>
      <c r="AU794" s="1240" t="n"/>
      <c r="AV794" s="1240" t="n"/>
    </row>
    <row r="795" ht="19.5" customHeight="1">
      <c r="A795" s="973" t="n"/>
      <c r="B795" s="971" t="n"/>
      <c r="C795" s="972" t="n"/>
      <c r="D795" s="973"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73"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73"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75" t="n"/>
      <c r="E798" s="975" t="n"/>
      <c r="F798" s="998" t="n"/>
      <c r="G798" s="998" t="n"/>
      <c r="H798" s="975" t="n"/>
      <c r="I798" s="975" t="n"/>
      <c r="J798" s="975" t="n"/>
      <c r="K798" s="1189">
        <f>K794=L798</f>
        <v/>
      </c>
      <c r="L798" s="491">
        <f>SUM(L794:L797)</f>
        <v/>
      </c>
      <c r="M798" s="1190" t="inlineStr">
        <is>
          <t xml:space="preserve">“Verdadero” indica que la cantidad por lote, coincide con el saldo que inicia al mes siguiente. "Falso" no coinicide. </t>
        </is>
      </c>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496">
        <f>ENERO!K799</f>
        <v/>
      </c>
      <c r="E799" s="339">
        <f>H395</f>
        <v/>
      </c>
      <c r="F799" s="731" t="n">
        <v>91</v>
      </c>
      <c r="G799" s="731" t="n">
        <v>2</v>
      </c>
      <c r="H799" s="1235">
        <f>SUM(F799,G799)</f>
        <v/>
      </c>
      <c r="I799" s="340">
        <f>+AM799</f>
        <v/>
      </c>
      <c r="J799" s="341">
        <f>+H799+I799</f>
        <v/>
      </c>
      <c r="K799" s="583">
        <f>+(D799+E799)-(J799)</f>
        <v/>
      </c>
      <c r="L799" s="486" t="n">
        <v>726</v>
      </c>
      <c r="M799" s="487" t="n"/>
      <c r="N799" s="487" t="n"/>
      <c r="O799" s="1223" t="n"/>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v>71</v>
      </c>
      <c r="AA799" s="648" t="n">
        <v>10</v>
      </c>
      <c r="AB799" s="648" t="n">
        <v>0</v>
      </c>
      <c r="AC799" s="648" t="n">
        <v>0</v>
      </c>
      <c r="AD799" s="648" t="n">
        <v>0</v>
      </c>
      <c r="AE799" s="648" t="n">
        <v>0</v>
      </c>
      <c r="AF799" s="648" t="n">
        <v>0</v>
      </c>
      <c r="AG799" s="648" t="n">
        <v>0</v>
      </c>
      <c r="AH799" s="648" t="n">
        <v>0</v>
      </c>
      <c r="AI799" s="648" t="n">
        <v>0</v>
      </c>
      <c r="AJ799" s="648" t="n">
        <v>0</v>
      </c>
      <c r="AK799" s="648" t="n">
        <v>0</v>
      </c>
      <c r="AL799" s="648" t="n">
        <v>0</v>
      </c>
      <c r="AM799" s="573">
        <f>SUM(Z799:AL802)</f>
        <v/>
      </c>
      <c r="AN799" s="693" t="n"/>
      <c r="AO799" s="485" t="n"/>
      <c r="AP799" s="416" t="n"/>
      <c r="AQ799" s="1238">
        <f>IFERROR(I799/J799*100,"0")</f>
        <v/>
      </c>
      <c r="AR799" s="1238">
        <f>IFERROR(1/(1-(AQ799/100)),"0")</f>
        <v/>
      </c>
      <c r="AS799" s="1238" t="n">
        <v>0</v>
      </c>
      <c r="AT799" s="345" t="n">
        <v>6</v>
      </c>
      <c r="AU799" s="1240" t="n"/>
      <c r="AV799" s="1240" t="n"/>
    </row>
    <row r="800" ht="19.5" customHeight="1">
      <c r="A800" s="973" t="n"/>
      <c r="B800" s="971" t="n"/>
      <c r="C800" s="972" t="n"/>
      <c r="D800" s="973"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73"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73"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75" t="n"/>
      <c r="E803" s="975" t="n"/>
      <c r="F803" s="998" t="n"/>
      <c r="G803" s="998" t="n"/>
      <c r="H803" s="975" t="n"/>
      <c r="I803" s="975" t="n"/>
      <c r="J803" s="975" t="n"/>
      <c r="K803" s="1189">
        <f>K799=L803</f>
        <v/>
      </c>
      <c r="L803" s="491">
        <f>SUM(L799:L802)</f>
        <v/>
      </c>
      <c r="M803" s="1190" t="inlineStr">
        <is>
          <t xml:space="preserve">“Verdadero” indica que la cantidad por lote, coincide con el saldo que inicia al mes siguiente. "Falso" no coinicide. </t>
        </is>
      </c>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496">
        <f>ENERO!K804</f>
        <v/>
      </c>
      <c r="E804" s="339">
        <f>H400</f>
        <v/>
      </c>
      <c r="F804" s="731" t="n">
        <v>0</v>
      </c>
      <c r="G804" s="731" t="n">
        <v>0</v>
      </c>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v>0</v>
      </c>
      <c r="AA804" s="648" t="n">
        <v>0</v>
      </c>
      <c r="AB804" s="648" t="n">
        <v>0</v>
      </c>
      <c r="AC804" s="648" t="n">
        <v>0</v>
      </c>
      <c r="AD804" s="648" t="n">
        <v>0</v>
      </c>
      <c r="AE804" s="648" t="n">
        <v>0</v>
      </c>
      <c r="AF804" s="648" t="n">
        <v>0</v>
      </c>
      <c r="AG804" s="648" t="n">
        <v>0</v>
      </c>
      <c r="AH804" s="648" t="n">
        <v>0</v>
      </c>
      <c r="AI804" s="648" t="n">
        <v>0</v>
      </c>
      <c r="AJ804" s="648" t="n">
        <v>0</v>
      </c>
      <c r="AK804" s="648" t="n">
        <v>0</v>
      </c>
      <c r="AL804" s="648" t="n">
        <v>0</v>
      </c>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73"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73"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73"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75" t="n"/>
      <c r="E808" s="975" t="n"/>
      <c r="F808" s="998" t="n"/>
      <c r="G808" s="998" t="n"/>
      <c r="H808" s="975" t="n"/>
      <c r="I808" s="975" t="n"/>
      <c r="J808" s="975" t="n"/>
      <c r="K808" s="1189">
        <f>K804=L808</f>
        <v/>
      </c>
      <c r="L808" s="491">
        <f>SUM(L804:L807)</f>
        <v/>
      </c>
      <c r="M808" s="1190" t="inlineStr">
        <is>
          <t xml:space="preserve">“Verdadero” indica que la cantidad por lote, coincide con el saldo que inicia al mes siguiente. "Falso" no coinicide. </t>
        </is>
      </c>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496">
        <f>ENERO!K809</f>
        <v/>
      </c>
      <c r="E809" s="339">
        <f>H405</f>
        <v/>
      </c>
      <c r="F809" s="731" t="n"/>
      <c r="G809" s="731" t="n">
        <v>0</v>
      </c>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v>0</v>
      </c>
      <c r="AA809" s="648" t="n">
        <v>0</v>
      </c>
      <c r="AB809" s="648" t="n">
        <v>0</v>
      </c>
      <c r="AC809" s="648" t="n">
        <v>0</v>
      </c>
      <c r="AD809" s="648" t="n">
        <v>0</v>
      </c>
      <c r="AE809" s="648" t="n">
        <v>0</v>
      </c>
      <c r="AF809" s="648" t="n">
        <v>0</v>
      </c>
      <c r="AG809" s="648" t="n">
        <v>0</v>
      </c>
      <c r="AH809" s="648" t="n">
        <v>0</v>
      </c>
      <c r="AI809" s="648" t="n">
        <v>0</v>
      </c>
      <c r="AJ809" s="648" t="n">
        <v>0</v>
      </c>
      <c r="AK809" s="648" t="n">
        <v>0</v>
      </c>
      <c r="AL809" s="648" t="n">
        <v>0</v>
      </c>
      <c r="AM809" s="573">
        <f>SUM(Z809:AL812)</f>
        <v/>
      </c>
      <c r="AN809" s="693" t="n"/>
      <c r="AO809" s="485" t="n"/>
      <c r="AP809" s="416" t="n"/>
      <c r="AQ809" s="1238">
        <f>IFERROR(I809/J809*100,"0")</f>
        <v/>
      </c>
      <c r="AR809" s="1238">
        <f>IFERROR(1/(1-(AQ809/100)),"0")</f>
        <v/>
      </c>
      <c r="AS809" s="1238" t="n">
        <v>0</v>
      </c>
      <c r="AT809" s="345" t="n"/>
      <c r="AU809" s="1240" t="n"/>
      <c r="AV809" s="1240" t="n"/>
    </row>
    <row r="810" ht="19.5" customHeight="1">
      <c r="A810" s="973" t="n"/>
      <c r="B810" s="971" t="n"/>
      <c r="C810" s="972" t="n"/>
      <c r="D810" s="973"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73"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73"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75" t="n"/>
      <c r="E813" s="975" t="n"/>
      <c r="F813" s="998" t="n"/>
      <c r="G813" s="998" t="n"/>
      <c r="H813" s="975" t="n"/>
      <c r="I813" s="975" t="n"/>
      <c r="J813" s="975" t="n"/>
      <c r="K813" s="1189">
        <f>K809=L813</f>
        <v/>
      </c>
      <c r="L813" s="491">
        <f>SUM(L809:L812)</f>
        <v/>
      </c>
      <c r="M813" s="1190" t="inlineStr">
        <is>
          <t xml:space="preserve">“Verdadero” indica que la cantidad por lote, coincide con el saldo que inicia al mes siguiente. "Falso" no coinicide. </t>
        </is>
      </c>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569" t="inlineStr">
        <is>
          <t>ÍTEM</t>
        </is>
      </c>
      <c r="B817" s="569" t="inlineStr">
        <is>
          <t>INSUMOS</t>
        </is>
      </c>
      <c r="C817" s="965" t="n"/>
      <c r="D817" s="552" t="inlineStr">
        <is>
          <t>SALDO MES ANTERIOR</t>
        </is>
      </c>
      <c r="E817" s="961" t="inlineStr">
        <is>
          <t xml:space="preserve">BIOLÓGICO RECIBIDO POR MSPS O ET </t>
        </is>
      </c>
      <c r="F817" s="545" t="inlineStr">
        <is>
          <t>DOSIS APLICADAS</t>
        </is>
      </c>
      <c r="G817" s="967" t="n"/>
      <c r="H817" s="1232" t="inlineStr">
        <is>
          <t>TOTAL DE DOSIS APLICADAS</t>
        </is>
      </c>
      <c r="I817" s="961" t="inlineStr">
        <is>
          <t>DOSIS PERDIDAS</t>
        </is>
      </c>
      <c r="J817" s="1231" t="inlineStr">
        <is>
          <t>TOTAL DE DOSIS UTILIZADAS EN EL MES</t>
        </is>
      </c>
      <c r="K817" s="961" t="inlineStr">
        <is>
          <t>DOSIS TRASLADADAS A OTROS DEPARTAMENTOS, DISTRITOS O RETORNO AL MSPS</t>
        </is>
      </c>
      <c r="L817" s="1253" t="inlineStr">
        <is>
          <t xml:space="preserve">TOTAL SALDO QUE INICIA EL MES </t>
        </is>
      </c>
      <c r="M817" s="1232" t="inlineStr">
        <is>
          <t xml:space="preserve">SALDO CON QUE EL CA DEPARTAMENTAL INICIA </t>
        </is>
      </c>
      <c r="N817" s="1231" t="inlineStr">
        <is>
          <t xml:space="preserve">SALDO CON QUE LOS MUNICIPIOS O IPS INICIAN </t>
        </is>
      </c>
      <c r="O817" s="1232" t="inlineStr">
        <is>
          <t>MESES DISPONIBLES SEGÚN DOSIS UTILIZADAS EN EL MES</t>
        </is>
      </c>
      <c r="P817" s="544" t="inlineStr">
        <is>
          <t>DOSIS EN CUARENTENA</t>
        </is>
      </c>
      <c r="Q817" s="544" t="inlineStr">
        <is>
          <t>LABORATORIO</t>
        </is>
      </c>
      <c r="R817" s="544" t="inlineStr">
        <is>
          <t>No. LOTE</t>
        </is>
      </c>
      <c r="S817" s="544" t="inlineStr">
        <is>
          <t>FECHA DE VENCIMEINTO</t>
        </is>
      </c>
      <c r="T817" s="544" t="inlineStr">
        <is>
          <t>CONDICIÓN FINAL DEL BIOLÓGICO O INSUMO</t>
        </is>
      </c>
      <c r="U817" s="251" t="n"/>
      <c r="V817" s="1267" t="n"/>
      <c r="X817" s="366" t="n"/>
      <c r="Y817" s="232" t="n"/>
      <c r="Z817" s="400" t="inlineStr">
        <is>
          <t>CAUSAS PERDIDA DE BIOLÓGICOS (Remítase a la primera hoja donde se especifica la clasificación de las perdidas)</t>
        </is>
      </c>
      <c r="AA817" s="400" t="n"/>
      <c r="AB817" s="400" t="n"/>
      <c r="AC817" s="400" t="n"/>
      <c r="AD817" s="400" t="n"/>
      <c r="AE817" s="400" t="n"/>
      <c r="AF817" s="400" t="n"/>
      <c r="AG817" s="400" t="n"/>
      <c r="AH817" s="400" t="n"/>
      <c r="AI817" s="400" t="n"/>
      <c r="AJ817" s="400" t="n"/>
      <c r="AK817" s="400" t="n"/>
      <c r="AL817" s="400" t="n"/>
      <c r="AM817" s="1181" t="inlineStr">
        <is>
          <t xml:space="preserve">TOTAL DOSIS PERDIDAS        </t>
        </is>
      </c>
      <c r="AN817" s="367" t="n"/>
      <c r="AO817" s="368" t="n"/>
    </row>
    <row r="818" ht="21.75" customHeight="1">
      <c r="A818" s="973" t="n"/>
      <c r="B818" s="971" t="n"/>
      <c r="C818" s="972" t="n"/>
      <c r="D818" s="973" t="n"/>
      <c r="E818" s="973" t="n"/>
      <c r="F818" s="552" t="inlineStr">
        <is>
          <t>DOSIS APLICADAS
COLOMBIANOS</t>
        </is>
      </c>
      <c r="G818" s="552" t="inlineStr">
        <is>
          <t>DOSIS APLICADAS EXTRANJEROS</t>
        </is>
      </c>
      <c r="H818" s="973" t="n"/>
      <c r="I818" s="973" t="n"/>
      <c r="J818" s="973" t="n"/>
      <c r="K818" s="973" t="n"/>
      <c r="L818" s="973" t="n"/>
      <c r="M818" s="973" t="n"/>
      <c r="N818" s="973" t="n"/>
      <c r="O818" s="973" t="n"/>
      <c r="P818" s="973" t="n"/>
      <c r="Q818" s="973" t="n"/>
      <c r="R818" s="973" t="n"/>
      <c r="S818" s="973" t="n"/>
      <c r="T818" s="973" t="n"/>
      <c r="U818" s="251" t="n"/>
      <c r="V818" s="1267" t="n"/>
      <c r="X818" s="366" t="n"/>
      <c r="Y818" s="232" t="n"/>
      <c r="Z818" s="533" t="n">
        <v>1</v>
      </c>
      <c r="AA818" s="968" t="n"/>
      <c r="AB818" s="967" t="n"/>
      <c r="AC818" s="330" t="n">
        <v>2</v>
      </c>
      <c r="AD818" s="566" t="n">
        <v>3</v>
      </c>
      <c r="AE818" s="533" t="n">
        <v>4</v>
      </c>
      <c r="AF818" s="566" t="n">
        <v>5</v>
      </c>
      <c r="AG818" s="533" t="n">
        <v>6</v>
      </c>
      <c r="AH818" s="566" t="n">
        <v>7</v>
      </c>
      <c r="AI818" s="533" t="n">
        <v>8</v>
      </c>
      <c r="AJ818" s="533" t="n">
        <v>9</v>
      </c>
      <c r="AK818" s="533" t="n">
        <v>10</v>
      </c>
      <c r="AL818" s="566" t="n">
        <v>11</v>
      </c>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U819" s="251" t="n"/>
      <c r="V819" s="1267" t="n"/>
      <c r="X819" s="366" t="n"/>
      <c r="Y819" s="232" t="n"/>
      <c r="Z819" s="533" t="inlineStr">
        <is>
          <t>POLÍTICA DE FRASCOS ABIERTO</t>
        </is>
      </c>
      <c r="AA819" s="968" t="n"/>
      <c r="AB819" s="967" t="n"/>
      <c r="AC819" s="330" t="inlineStr">
        <is>
          <t>INTERRUPCIÓN DE CADENA DE FRÍO</t>
        </is>
      </c>
      <c r="AD819" s="566" t="inlineStr">
        <is>
          <t>CONTAMINACION DEL BIOLÓGICO/DISPOSITIVO MÉDICO</t>
        </is>
      </c>
      <c r="AE819" s="533" t="inlineStr">
        <is>
          <t>VIAL ROTO</t>
        </is>
      </c>
      <c r="AF819" s="566" t="inlineStr">
        <is>
          <t>ERRORES EN LA MANIPULACIÓN</t>
        </is>
      </c>
      <c r="AG819" s="533" t="inlineStr">
        <is>
          <t>VENCIMIENTO DEL BIOLÓGICO O JERINGA</t>
        </is>
      </c>
      <c r="AH819" s="566" t="inlineStr">
        <is>
          <t>FARMACOVIGILANCIA / TECNOVIGILANCIA</t>
        </is>
      </c>
      <c r="AI819" s="533" t="inlineStr">
        <is>
          <t>VOMITO FRANCO</t>
        </is>
      </c>
      <c r="AJ819" s="533" t="inlineStr">
        <is>
          <t>APLICACIÓN FUERA DE LA EDAD</t>
        </is>
      </c>
      <c r="AK819" s="533" t="inlineStr">
        <is>
          <t>POR DECISIÓN FINAL DEL PACIENTE DE NO VACUNACIÓN</t>
        </is>
      </c>
      <c r="AL819" s="566" t="inlineStr">
        <is>
          <t>SINIESTRO O ROBO</t>
        </is>
      </c>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U820" s="251" t="n"/>
      <c r="V820" s="1267" t="n"/>
      <c r="X820" s="366" t="n"/>
      <c r="Y820" s="232" t="n"/>
      <c r="Z820" s="533" t="inlineStr">
        <is>
          <t>INSTITUCIONAL</t>
        </is>
      </c>
      <c r="AA820" s="533" t="inlineStr">
        <is>
          <t>EXTRAMURAL</t>
        </is>
      </c>
      <c r="AB820" s="533" t="inlineStr">
        <is>
          <t>TOTAL</t>
        </is>
      </c>
      <c r="AC820" s="975" t="n"/>
      <c r="AD820" s="975" t="n"/>
      <c r="AE820" s="975" t="n"/>
      <c r="AF820" s="975" t="n"/>
      <c r="AG820" s="975" t="n"/>
      <c r="AH820" s="975" t="n"/>
      <c r="AI820" s="975" t="n"/>
      <c r="AJ820" s="975" t="n"/>
      <c r="AK820" s="975" t="n"/>
      <c r="AL820" s="975" t="n"/>
      <c r="AM820" s="975" t="n"/>
      <c r="AN820" s="333" t="n"/>
      <c r="AO820" s="368" t="n"/>
      <c r="AQ820" s="370" t="inlineStr">
        <is>
          <t>PORCENTAJE DE PERDIDA DEL MES
%</t>
        </is>
      </c>
      <c r="AR820" s="370" t="inlineStr">
        <is>
          <t>FACTOR DE PERDIDA DEL MES</t>
        </is>
      </c>
      <c r="AS820" s="371" t="inlineStr">
        <is>
          <t>% DE PERDIDA DEL MSPS</t>
        </is>
      </c>
      <c r="AT820" s="371" t="inlineStr">
        <is>
          <t>DOSIS POR VIAL</t>
        </is>
      </c>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v>65</v>
      </c>
      <c r="AT821" s="345" t="n">
        <v>10</v>
      </c>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v>0</v>
      </c>
      <c r="AT823" s="345" t="n">
        <v>0</v>
      </c>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v>15</v>
      </c>
      <c r="AT824" s="345" t="n">
        <v>5</v>
      </c>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v>0</v>
      </c>
      <c r="AT825" s="345" t="n">
        <v>0</v>
      </c>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v>0</v>
      </c>
      <c r="AT826" s="345" t="n">
        <v>0</v>
      </c>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v>0</v>
      </c>
      <c r="AT827" s="345" t="n">
        <v>0</v>
      </c>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v>0</v>
      </c>
      <c r="AT829" s="345" t="n">
        <v>1</v>
      </c>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v>0</v>
      </c>
      <c r="AT830" s="345" t="n">
        <v>1</v>
      </c>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v>0</v>
      </c>
      <c r="AT831" s="345" t="n">
        <v>1</v>
      </c>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v>0</v>
      </c>
      <c r="AT832" s="345" t="n">
        <v>1</v>
      </c>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v>0</v>
      </c>
      <c r="AT833" s="345" t="n">
        <v>1</v>
      </c>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v>0</v>
      </c>
      <c r="AT835" s="345" t="n">
        <v>1</v>
      </c>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v>0</v>
      </c>
      <c r="AT836" s="345" t="n">
        <v>1</v>
      </c>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v>0</v>
      </c>
      <c r="AT837" s="345" t="n">
        <v>1</v>
      </c>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v>25</v>
      </c>
      <c r="AT838" s="345" t="n">
        <v>5</v>
      </c>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v>0</v>
      </c>
      <c r="AT839" s="345" t="n">
        <v>1</v>
      </c>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v>70</v>
      </c>
      <c r="AT841" s="345" t="n">
        <v>10</v>
      </c>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v>0</v>
      </c>
      <c r="AT842" s="345" t="n">
        <v>1</v>
      </c>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v>0</v>
      </c>
      <c r="AT843" s="345" t="n">
        <v>1</v>
      </c>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v>0</v>
      </c>
      <c r="AT844" s="345" t="n">
        <v>1</v>
      </c>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v>10</v>
      </c>
      <c r="AT845" s="345" t="n">
        <v>10</v>
      </c>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v>10</v>
      </c>
      <c r="AT847" s="345" t="n">
        <v>20</v>
      </c>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v>10</v>
      </c>
      <c r="AT848" s="345" t="n">
        <v>10</v>
      </c>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v>0</v>
      </c>
      <c r="AT849" s="345" t="n">
        <v>1</v>
      </c>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v>0</v>
      </c>
      <c r="AT850" s="345" t="n">
        <v>1</v>
      </c>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v>0</v>
      </c>
      <c r="AT851" s="345" t="n">
        <v>1</v>
      </c>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v>0</v>
      </c>
      <c r="AT853" s="345" t="n">
        <v>1</v>
      </c>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v>0</v>
      </c>
      <c r="AT854" s="345" t="n">
        <v>1</v>
      </c>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v>0</v>
      </c>
      <c r="AT855" s="345" t="n">
        <v>1</v>
      </c>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v>0</v>
      </c>
      <c r="AT856" s="345" t="n">
        <v>1</v>
      </c>
    </row>
    <row r="857" ht="31.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6.25"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inlineStr">
        <is>
          <t>SALDO MES ANTERIOR</t>
        </is>
      </c>
      <c r="E889" s="961" t="inlineStr">
        <is>
          <t xml:space="preserve">BIOLÓGICO RECIBIDO POR MSPS O ET </t>
        </is>
      </c>
      <c r="F889" s="545" t="inlineStr">
        <is>
          <t>DOSIS APLICADAS</t>
        </is>
      </c>
      <c r="G889" s="967" t="n"/>
      <c r="H889" s="1232" t="inlineStr">
        <is>
          <t>TOTAL DE DOSIS APLICADAS</t>
        </is>
      </c>
      <c r="I889" s="961" t="inlineStr">
        <is>
          <t>DOSIS PERDIDAS</t>
        </is>
      </c>
      <c r="J889" s="1231" t="inlineStr">
        <is>
          <t>TOTAL DE DOSIS UTILIZADAS EN EL MES</t>
        </is>
      </c>
      <c r="K889" s="961" t="inlineStr">
        <is>
          <t>DOSIS TRASLADADAS A OTROS DEPARTAMENTOS, DISTRITOS O RETORNO AL MSPS</t>
        </is>
      </c>
      <c r="L889" s="1253" t="inlineStr">
        <is>
          <t xml:space="preserve">TOTAL SALDO QUE INICIA EL MES </t>
        </is>
      </c>
      <c r="M889" s="1232" t="inlineStr">
        <is>
          <t xml:space="preserve">SALDO CON QUE EL CA DEPARTAMENTAL INICIA </t>
        </is>
      </c>
      <c r="N889" s="1231" t="inlineStr">
        <is>
          <t xml:space="preserve">SALDO CON QUE LOS MUNICIPIOS O IPS INICIAN </t>
        </is>
      </c>
      <c r="O889" s="1232" t="inlineStr">
        <is>
          <t>MESES DISPONIBLES SEGÚN DOSIS UTILIZADAS EN EL MES</t>
        </is>
      </c>
      <c r="P889" s="544" t="inlineStr">
        <is>
          <t>DOSIS EN CUARENTENA</t>
        </is>
      </c>
      <c r="Q889" s="544" t="inlineStr">
        <is>
          <t>LABORATORIO</t>
        </is>
      </c>
      <c r="R889" s="544" t="inlineStr">
        <is>
          <t>No. LOTE</t>
        </is>
      </c>
      <c r="S889" s="544" t="inlineStr">
        <is>
          <t>FECHA DE VENCIMEINTO</t>
        </is>
      </c>
      <c r="T889" s="544" t="inlineStr">
        <is>
          <t>CONDICIÓN FINAL DEL BIOLÓGICO O INSUMO</t>
        </is>
      </c>
      <c r="U889" s="561" t="n"/>
      <c r="V889" s="1254" t="n"/>
      <c r="Y889" s="232" t="n"/>
      <c r="Z889" s="1221" t="inlineStr">
        <is>
          <t>MOTIVOS DE NO USO DE VACUNAS CONTRA LA COVID-19
RESOLUCIÓN 0118 DEL 27 DE ENERO DE 2026
DISPONIBLE EN EL SIGUIENTE LINK: https://www.minsalud.gov.co/Normatividad_Nuevo/Resolucion%20No%20118%20de%202026.pdf</t>
        </is>
      </c>
      <c r="AA889" s="968" t="n"/>
      <c r="AB889" s="968" t="n"/>
      <c r="AC889" s="968" t="n"/>
      <c r="AD889" s="968" t="n"/>
      <c r="AE889" s="968" t="n"/>
      <c r="AF889" s="968" t="n"/>
      <c r="AG889" s="968" t="n"/>
      <c r="AH889" s="968" t="n"/>
      <c r="AI889" s="968" t="n"/>
      <c r="AJ889" s="968" t="n"/>
      <c r="AK889" s="968" t="n"/>
      <c r="AL889" s="967" t="n"/>
      <c r="AM889" s="532" t="inlineStr">
        <is>
          <t xml:space="preserve">TOTAL DOSIS PERDIDAS        </t>
        </is>
      </c>
      <c r="AP889" s="416" t="n"/>
      <c r="AQ889" s="416" t="n"/>
      <c r="AR889" s="416" t="n"/>
      <c r="AS889" s="416" t="n"/>
      <c r="AT889" s="416" t="n"/>
      <c r="AU889" s="1240" t="n"/>
      <c r="AV889" s="1240" t="n"/>
    </row>
    <row r="890" ht="22.5" customHeight="1">
      <c r="A890" s="971" t="n"/>
      <c r="C890" s="972" t="n"/>
      <c r="D890" s="973" t="n"/>
      <c r="E890" s="973" t="n"/>
      <c r="F890" s="552" t="inlineStr">
        <is>
          <t>DOSIS APLICADAS
COLOMBIANOS</t>
        </is>
      </c>
      <c r="G890" s="552" t="inlineStr">
        <is>
          <t>DOSIS APLICADAS EXTRANJEROS</t>
        </is>
      </c>
      <c r="H890" s="973" t="n"/>
      <c r="I890" s="973" t="n"/>
      <c r="J890" s="973" t="n"/>
      <c r="K890" s="973" t="n"/>
      <c r="L890" s="973" t="n"/>
      <c r="M890" s="973" t="n"/>
      <c r="N890" s="973" t="n"/>
      <c r="O890" s="973" t="n"/>
      <c r="P890" s="973" t="n"/>
      <c r="Q890" s="973" t="n"/>
      <c r="R890" s="973" t="n"/>
      <c r="S890" s="973" t="n"/>
      <c r="T890" s="973" t="n"/>
      <c r="Y890" s="232" t="n"/>
      <c r="Z890" s="533" t="n">
        <v>1</v>
      </c>
      <c r="AA890" s="967" t="n"/>
      <c r="AB890" s="533" t="n">
        <v>2</v>
      </c>
      <c r="AC890" s="533" t="n">
        <v>3</v>
      </c>
      <c r="AD890" s="533" t="n">
        <v>4</v>
      </c>
      <c r="AE890" s="533" t="n">
        <v>5</v>
      </c>
      <c r="AF890" s="533" t="n">
        <v>6</v>
      </c>
      <c r="AG890" s="533" t="n">
        <v>7</v>
      </c>
      <c r="AH890" s="533" t="n">
        <v>8</v>
      </c>
      <c r="AI890" s="533" t="n">
        <v>9</v>
      </c>
      <c r="AJ890" s="533" t="n">
        <v>10</v>
      </c>
      <c r="AK890" s="533" t="n">
        <v>11</v>
      </c>
      <c r="AL890" s="533" t="n">
        <v>12</v>
      </c>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inlineStr">
        <is>
          <t>POLÍTICA DE FRASCOS ABIERTO</t>
        </is>
      </c>
      <c r="AA891" s="967" t="n"/>
      <c r="AB891" s="1222" t="inlineStr">
        <is>
          <t>INTERRUPCIÓN DE LA CADENA DE FRÍO</t>
        </is>
      </c>
      <c r="AC891" s="537" t="inlineStr">
        <is>
          <t>CONTAMINACIÓN DEL BIOLÓGICO</t>
        </is>
      </c>
      <c r="AD891" s="1222" t="inlineStr">
        <is>
          <t>ERROR EN LA MANIPULACIÓN</t>
        </is>
      </c>
      <c r="AE891" s="537" t="inlineStr">
        <is>
          <t>ERROR EN LA RECONSTITUCIÓN/DILUCIÓN</t>
        </is>
      </c>
      <c r="AF891" s="1222" t="inlineStr">
        <is>
          <t>ERROR EN LA DOSIFICACIÓN</t>
        </is>
      </c>
      <c r="AG891" s="537" t="inlineStr">
        <is>
          <t>VACUNA QUE EXCEDE EL TIEMPO DE ALMACENAMIENTO EN REFRIGERACIÓN</t>
        </is>
      </c>
      <c r="AH891" s="1222" t="inlineStr">
        <is>
          <t>VENCIMIENTO DEL BIOLÓGICO</t>
        </is>
      </c>
      <c r="AI891" s="537" t="inlineStr">
        <is>
          <t>FRASCO VIAL ROTO</t>
        </is>
      </c>
      <c r="AJ891" s="1222" t="inlineStr">
        <is>
          <t>FALLAS DE FABRICACIÓN/CALIDAD</t>
        </is>
      </c>
      <c r="AK891" s="537" t="inlineStr">
        <is>
          <t>SINIESTRO / ACCIDENTE</t>
        </is>
      </c>
      <c r="AL891" s="1222" t="inlineStr">
        <is>
          <t>ROBO/HURTO BIOLÓGICO</t>
        </is>
      </c>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inlineStr">
        <is>
          <t>INSTITUCIONAL</t>
        </is>
      </c>
      <c r="AA892" s="497" t="inlineStr">
        <is>
          <t>EXTRAMURAL</t>
        </is>
      </c>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inlineStr">
        <is>
          <t>Observación</t>
        </is>
      </c>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7b20Lez1HdWlVPFCkij6ww==" formatRows="1" sort="1" spinCount="100000" hashValue="jaqYlabtMk57wJ+murfq2uXNKyM8omp5kbeCkzcTtpkfVca1cAtawVRI4PFRtaMMq9j2rNzNFgB5gPL2rm8o+w=="/>
  <mergeCells count="3718">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AC25:AC29"/>
    <mergeCell ref="I133:I138"/>
    <mergeCell ref="B181:C186"/>
    <mergeCell ref="AI352:AI357"/>
    <mergeCell ref="D413:D416"/>
    <mergeCell ref="AL787:AL788"/>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AH11:AH12"/>
    <mergeCell ref="E31:E36"/>
    <mergeCell ref="I435:I440"/>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Z11:AB11"/>
    <mergeCell ref="AG211:AG215"/>
    <mergeCell ref="W742:W748"/>
    <mergeCell ref="AN163:AN167"/>
    <mergeCell ref="D236:D241"/>
    <mergeCell ref="J465:J470"/>
    <mergeCell ref="AV465:AV469"/>
    <mergeCell ref="B507:C512"/>
    <mergeCell ref="Z223:Z227"/>
    <mergeCell ref="D359:D365"/>
    <mergeCell ref="A525:A530"/>
    <mergeCell ref="B778:C778"/>
    <mergeCell ref="I609:I614"/>
    <mergeCell ref="AF230:AF234"/>
    <mergeCell ref="K115:K119"/>
    <mergeCell ref="AF537:AF541"/>
    <mergeCell ref="AC79:AC83"/>
    <mergeCell ref="U9:U12"/>
    <mergeCell ref="AC73:AC77"/>
    <mergeCell ref="J272:J277"/>
    <mergeCell ref="K543:K547"/>
    <mergeCell ref="F652:F657"/>
    <mergeCell ref="K579:K583"/>
    <mergeCell ref="B37:C42"/>
    <mergeCell ref="AA615:AA619"/>
    <mergeCell ref="AK664:AK668"/>
    <mergeCell ref="AH296:AH300"/>
    <mergeCell ref="AH303:AH308"/>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E61:AE65"/>
    <mergeCell ref="AJ441:AJ445"/>
    <mergeCell ref="AF714:AF719"/>
    <mergeCell ref="B121:C126"/>
    <mergeCell ref="E272:E277"/>
    <mergeCell ref="AH676:AH680"/>
    <mergeCell ref="AD543:AD547"/>
    <mergeCell ref="G459:G464"/>
    <mergeCell ref="E735:E741"/>
    <mergeCell ref="D634:D639"/>
    <mergeCell ref="AE519:AE523"/>
    <mergeCell ref="H441:H446"/>
    <mergeCell ref="J199:J204"/>
    <mergeCell ref="B579:C584"/>
    <mergeCell ref="AG11:AG12"/>
    <mergeCell ref="AE891:AE892"/>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I193:I198"/>
    <mergeCell ref="AG296:AG300"/>
    <mergeCell ref="AG303:AG308"/>
    <mergeCell ref="AD804:AD807"/>
    <mergeCell ref="AI489:AI493"/>
    <mergeCell ref="K513:K517"/>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H85:H90"/>
    <mergeCell ref="AC187:AC191"/>
    <mergeCell ref="I175:I180"/>
    <mergeCell ref="AM809:AM812"/>
    <mergeCell ref="AI405:AI408"/>
    <mergeCell ref="AR441:AR445"/>
    <mergeCell ref="AB555:AB559"/>
    <mergeCell ref="H303:H309"/>
    <mergeCell ref="AB549:AB553"/>
    <mergeCell ref="AM97:AM101"/>
    <mergeCell ref="AE721:AE726"/>
    <mergeCell ref="AD749:AD754"/>
    <mergeCell ref="AL423:AL427"/>
    <mergeCell ref="AE591:AE595"/>
    <mergeCell ref="AV447:AV451"/>
    <mergeCell ref="D103:D108"/>
    <mergeCell ref="H507:H512"/>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AA55:AA59"/>
    <mergeCell ref="AT525:AT529"/>
    <mergeCell ref="B782:C782"/>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J284:J289"/>
    <mergeCell ref="K585:K5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K103:AK107"/>
    <mergeCell ref="AA37:AA41"/>
    <mergeCell ref="AL139:AL143"/>
    <mergeCell ref="J749:J755"/>
    <mergeCell ref="AA73:AA77"/>
    <mergeCell ref="AH338:AH343"/>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AI25:AI29"/>
    <mergeCell ref="K211:K215"/>
    <mergeCell ref="B290:C295"/>
    <mergeCell ref="AI181:AI185"/>
    <mergeCell ref="B826:C826"/>
    <mergeCell ref="AW609:AW613"/>
    <mergeCell ref="I278:I283"/>
    <mergeCell ref="AQ441:AQ445"/>
    <mergeCell ref="F531:F536"/>
    <mergeCell ref="AF756:AF761"/>
    <mergeCell ref="B785:C788"/>
    <mergeCell ref="K763:K768"/>
    <mergeCell ref="A187:A192"/>
    <mergeCell ref="AN290:AN294"/>
    <mergeCell ref="AT477:AT481"/>
    <mergeCell ref="AD591:AD595"/>
    <mergeCell ref="AC794:AC797"/>
    <mergeCell ref="B828:C828"/>
    <mergeCell ref="B853:C853"/>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E352:AE357"/>
    <mergeCell ref="E169:E174"/>
    <mergeCell ref="K331:K336"/>
    <mergeCell ref="D501:D506"/>
    <mergeCell ref="I573:I578"/>
    <mergeCell ref="AM603:AM607"/>
    <mergeCell ref="AL664:AL668"/>
    <mergeCell ref="AB390:AB393"/>
    <mergeCell ref="AH787:AH78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Z139:Z143"/>
    <mergeCell ref="G345:G351"/>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565:C565"/>
    <mergeCell ref="Z799:Z802"/>
    <mergeCell ref="B894:C894"/>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AR447:AR451"/>
    <mergeCell ref="D507:D512"/>
    <mergeCell ref="H205:H210"/>
    <mergeCell ref="AK609:AK613"/>
    <mergeCell ref="A682:A687"/>
    <mergeCell ref="R889:R892"/>
    <mergeCell ref="F413:G413"/>
    <mergeCell ref="AA714:AA719"/>
    <mergeCell ref="K278:K282"/>
    <mergeCell ref="H634:H639"/>
    <mergeCell ref="I735:I741"/>
    <mergeCell ref="AF694:AF698"/>
    <mergeCell ref="H31:H36"/>
    <mergeCell ref="AL272:AL27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AN345:AN350"/>
    <mergeCell ref="Z381:AL381"/>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AC248:AC252"/>
    <mergeCell ref="AA175:AA179"/>
    <mergeCell ref="J447:J452"/>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T561:AT565"/>
    <mergeCell ref="AD700:AD704"/>
    <mergeCell ref="AD891:AD892"/>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A109:A114"/>
    <mergeCell ref="H382:H38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Z609:Z613"/>
    <mergeCell ref="B862:C862"/>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W429:AW433"/>
    <mergeCell ref="AL435:AL439"/>
    <mergeCell ref="AG543:AG547"/>
    <mergeCell ref="AG537:AG541"/>
    <mergeCell ref="AA646:AA650"/>
    <mergeCell ref="J459:J464"/>
    <mergeCell ref="A567:A572"/>
    <mergeCell ref="N817:N820"/>
    <mergeCell ref="A561:A566"/>
    <mergeCell ref="K157:K161"/>
    <mergeCell ref="I91:I96"/>
    <mergeCell ref="Z549:Z553"/>
    <mergeCell ref="AF728:AF733"/>
    <mergeCell ref="AK67:AK71"/>
    <mergeCell ref="AN395:AN398"/>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I417:I422"/>
    <mergeCell ref="B781:C781"/>
    <mergeCell ref="I531:I536"/>
    <mergeCell ref="D317:D323"/>
    <mergeCell ref="D187:D192"/>
    <mergeCell ref="AF794:AF797"/>
    <mergeCell ref="D912:G912"/>
    <mergeCell ref="F103:F108"/>
    <mergeCell ref="B571:C571"/>
    <mergeCell ref="AI199:AI203"/>
    <mergeCell ref="J230:J235"/>
    <mergeCell ref="AE395:AE398"/>
    <mergeCell ref="AH561:AH565"/>
    <mergeCell ref="K501:K505"/>
    <mergeCell ref="Z417:Z421"/>
    <mergeCell ref="B871:C871"/>
    <mergeCell ref="Z199:Z203"/>
    <mergeCell ref="J652:J657"/>
    <mergeCell ref="AL85:AL89"/>
    <mergeCell ref="J400:J404"/>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AK133:AK137"/>
    <mergeCell ref="I799:I803"/>
    <mergeCell ref="B804:C808"/>
    <mergeCell ref="A199:A204"/>
    <mergeCell ref="AV429:AV433"/>
    <mergeCell ref="Z652:Z656"/>
    <mergeCell ref="Z646:Z650"/>
    <mergeCell ref="B145:C150"/>
    <mergeCell ref="AW555:AW559"/>
    <mergeCell ref="AF211:AF215"/>
    <mergeCell ref="AR423:AR427"/>
    <mergeCell ref="Z43:Z47"/>
    <mergeCell ref="A331:A337"/>
    <mergeCell ref="H91:H96"/>
    <mergeCell ref="G513:G518"/>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AK459:AK463"/>
    <mergeCell ref="I519:I524"/>
    <mergeCell ref="AD621:AD625"/>
    <mergeCell ref="B163:C168"/>
    <mergeCell ref="B794:C798"/>
    <mergeCell ref="K242:K246"/>
    <mergeCell ref="Z61:Z65"/>
    <mergeCell ref="K236:K240"/>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D615:D620"/>
    <mergeCell ref="B413:C416"/>
    <mergeCell ref="B395:C399"/>
    <mergeCell ref="Z889:AL889"/>
    <mergeCell ref="B779:C779"/>
    <mergeCell ref="AL181:AL185"/>
    <mergeCell ref="D272:D277"/>
    <mergeCell ref="B543:C548"/>
    <mergeCell ref="AM447:AM451"/>
    <mergeCell ref="Z818:AB818"/>
    <mergeCell ref="AA483:AA487"/>
    <mergeCell ref="AF609:AF613"/>
    <mergeCell ref="K799:K802"/>
    <mergeCell ref="AA694:AA698"/>
    <mergeCell ref="AJ133:AJ137"/>
    <mergeCell ref="AH646:AH650"/>
    <mergeCell ref="H567:H572"/>
    <mergeCell ref="H561:H566"/>
    <mergeCell ref="B839:C839"/>
    <mergeCell ref="AM573:AM577"/>
    <mergeCell ref="AB471:AB475"/>
    <mergeCell ref="A573:A578"/>
    <mergeCell ref="AB507:AB511"/>
    <mergeCell ref="E429:E434"/>
    <mergeCell ref="J317:J323"/>
    <mergeCell ref="AL163:AL167"/>
    <mergeCell ref="Q381:Q384"/>
    <mergeCell ref="H465:H470"/>
    <mergeCell ref="E97:E102"/>
    <mergeCell ref="AI345:AI350"/>
    <mergeCell ref="B707:C713"/>
    <mergeCell ref="AT465:AT469"/>
    <mergeCell ref="AL199:AL203"/>
    <mergeCell ref="AK531:AK535"/>
    <mergeCell ref="B378:C378"/>
    <mergeCell ref="AD579:AD583"/>
    <mergeCell ref="AK525:AK529"/>
    <mergeCell ref="B115:C120"/>
    <mergeCell ref="AE809:AE812"/>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Z441:Z445"/>
    <mergeCell ref="H489:H494"/>
    <mergeCell ref="AH61:AH65"/>
    <mergeCell ref="AM284:AM288"/>
    <mergeCell ref="A284:A289"/>
    <mergeCell ref="AF331:AF336"/>
    <mergeCell ref="U413:U416"/>
    <mergeCell ref="AJ459:AJ463"/>
    <mergeCell ref="E151:E156"/>
    <mergeCell ref="H193:H198"/>
    <mergeCell ref="AF296:AF300"/>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AK157:AK161"/>
    <mergeCell ref="G385:G389"/>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C67:AC71"/>
    <mergeCell ref="AL278:AL282"/>
    <mergeCell ref="D682:D687"/>
    <mergeCell ref="AH441:AH445"/>
    <mergeCell ref="U889:U892"/>
    <mergeCell ref="AD317:AD322"/>
    <mergeCell ref="AC97:AC101"/>
    <mergeCell ref="AE290:AE294"/>
    <mergeCell ref="K567:K571"/>
    <mergeCell ref="K561:K565"/>
    <mergeCell ref="E459:E464"/>
    <mergeCell ref="AL115:AL119"/>
    <mergeCell ref="J181:J186"/>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E317:E323"/>
    <mergeCell ref="D97:D102"/>
    <mergeCell ref="G465:G470"/>
    <mergeCell ref="AB447:AB451"/>
    <mergeCell ref="AJ531:AJ535"/>
    <mergeCell ref="K714:K719"/>
    <mergeCell ref="K139:K143"/>
    <mergeCell ref="AF248:AF252"/>
    <mergeCell ref="AL477:AL481"/>
    <mergeCell ref="AM567:AM571"/>
    <mergeCell ref="AT435:AT439"/>
    <mergeCell ref="AC537:AC541"/>
    <mergeCell ref="AN331:AN336"/>
    <mergeCell ref="AW585:AW589"/>
    <mergeCell ref="H217:H222"/>
    <mergeCell ref="A707:A713"/>
    <mergeCell ref="J817:J820"/>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AK395:AK398"/>
    <mergeCell ref="B832:C832"/>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Z127:Z131"/>
    <mergeCell ref="AM763:AM768"/>
    <mergeCell ref="H175:H180"/>
    <mergeCell ref="B845:C845"/>
    <mergeCell ref="AJ447:AJ451"/>
    <mergeCell ref="AL205:AL209"/>
    <mergeCell ref="AE682:AE686"/>
    <mergeCell ref="AH405:AH408"/>
    <mergeCell ref="AC609:AC613"/>
    <mergeCell ref="AR531:AR535"/>
    <mergeCell ref="AR525:AR529"/>
    <mergeCell ref="F525:F530"/>
    <mergeCell ref="W423:W428"/>
    <mergeCell ref="AG19:AG23"/>
    <mergeCell ref="Z181:Z185"/>
    <mergeCell ref="AD272:AD276"/>
    <mergeCell ref="AK537:AK541"/>
    <mergeCell ref="AG133:AG137"/>
    <mergeCell ref="AA447:AA451"/>
    <mergeCell ref="R817:R820"/>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K591:K595"/>
    <mergeCell ref="AF891:AF892"/>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AJ97:AJ101"/>
    <mergeCell ref="I465:I470"/>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M477:AM481"/>
    <mergeCell ref="P9:P12"/>
    <mergeCell ref="A477:A482"/>
    <mergeCell ref="K670:K674"/>
    <mergeCell ref="D809:D813"/>
    <mergeCell ref="AM652:AM656"/>
    <mergeCell ref="AL67:AL71"/>
    <mergeCell ref="A79:A84"/>
    <mergeCell ref="E483:E488"/>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AH447:AH451"/>
    <mergeCell ref="B477:C482"/>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L97:AL101"/>
    <mergeCell ref="A317:A323"/>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W465:AW469"/>
    <mergeCell ref="AL345:AL350"/>
    <mergeCell ref="AG579:AG583"/>
    <mergeCell ref="AD405:AD408"/>
    <mergeCell ref="F91:F96"/>
    <mergeCell ref="AN254:AN258"/>
    <mergeCell ref="B375:C375"/>
    <mergeCell ref="AG423:AG427"/>
    <mergeCell ref="K483:K487"/>
    <mergeCell ref="A290:A295"/>
    <mergeCell ref="AI385:AI388"/>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AN157:AN161"/>
    <mergeCell ref="AA272:AA276"/>
    <mergeCell ref="J385:J389"/>
    <mergeCell ref="D555:D560"/>
    <mergeCell ref="AV417:AV421"/>
    <mergeCell ref="AA735:AA740"/>
    <mergeCell ref="AI688:AI692"/>
    <mergeCell ref="AB248:AB252"/>
    <mergeCell ref="Z31:Z35"/>
    <mergeCell ref="H79:H84"/>
    <mergeCell ref="K400:K403"/>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J109:J114"/>
    <mergeCell ref="AH290:AH29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D181:AD185"/>
    <mergeCell ref="AC366:AC371"/>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AB133:AB137"/>
    <mergeCell ref="M817:M820"/>
    <mergeCell ref="AL799:AL802"/>
    <mergeCell ref="J585:J590"/>
    <mergeCell ref="W646:W651"/>
    <mergeCell ref="J382:J384"/>
    <mergeCell ref="F31:F36"/>
    <mergeCell ref="AH310:AH315"/>
    <mergeCell ref="AB477:AB481"/>
    <mergeCell ref="AG236:AG240"/>
    <mergeCell ref="J789:J793"/>
    <mergeCell ref="AI423:AI427"/>
    <mergeCell ref="AD331:AD336"/>
    <mergeCell ref="AN400:AN403"/>
    <mergeCell ref="J193:J198"/>
    <mergeCell ref="S413:S416"/>
    <mergeCell ref="Z352:Z357"/>
    <mergeCell ref="I390:I394"/>
    <mergeCell ref="AI640:AI644"/>
    <mergeCell ref="B531:C536"/>
    <mergeCell ref="AG664:AG668"/>
    <mergeCell ref="AV483:AV487"/>
    <mergeCell ref="AG707:AG712"/>
    <mergeCell ref="T381:T384"/>
    <mergeCell ref="AD507:AD511"/>
    <mergeCell ref="AH205:AH209"/>
    <mergeCell ref="AM714:AM719"/>
    <mergeCell ref="A714:A720"/>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V435:AV439"/>
    <mergeCell ref="AJ477:AJ481"/>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M400:AM403"/>
    <mergeCell ref="A400:A404"/>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D13:D18"/>
    <mergeCell ref="AM115:AM119"/>
    <mergeCell ref="J175:J180"/>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K794:K797"/>
    <mergeCell ref="P413:P416"/>
    <mergeCell ref="T817:T820"/>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AB310:AB315"/>
    <mergeCell ref="J331:J337"/>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AN49:AN53"/>
    <mergeCell ref="I248:I253"/>
    <mergeCell ref="F809:F813"/>
    <mergeCell ref="B835:C835"/>
    <mergeCell ref="B829:C829"/>
    <mergeCell ref="E85:E90"/>
    <mergeCell ref="AA199:AA203"/>
    <mergeCell ref="AN260:AN264"/>
    <mergeCell ref="AK345:AK350"/>
    <mergeCell ref="AV615:AV619"/>
    <mergeCell ref="J615:J620"/>
    <mergeCell ref="F211:F216"/>
    <mergeCell ref="I676:I681"/>
    <mergeCell ref="AG513:AG517"/>
    <mergeCell ref="AH91:AH95"/>
    <mergeCell ref="AM749:AM754"/>
    <mergeCell ref="AK223:AK227"/>
    <mergeCell ref="AA395:AA398"/>
    <mergeCell ref="AS447:AS451"/>
    <mergeCell ref="A621:A626"/>
    <mergeCell ref="AH385:AH388"/>
    <mergeCell ref="F763:F769"/>
    <mergeCell ref="Z254:Z258"/>
    <mergeCell ref="S889:S892"/>
    <mergeCell ref="AA103:AA107"/>
    <mergeCell ref="Z248:Z252"/>
    <mergeCell ref="AB317:AB322"/>
    <mergeCell ref="AM742:AM747"/>
    <mergeCell ref="B830:C830"/>
    <mergeCell ref="D19:D24"/>
    <mergeCell ref="AB441:AB445"/>
    <mergeCell ref="E109:E114"/>
    <mergeCell ref="AC290:AC294"/>
    <mergeCell ref="J43:J48"/>
    <mergeCell ref="Z465:Z469"/>
    <mergeCell ref="AB223:AB227"/>
    <mergeCell ref="J489:J494"/>
    <mergeCell ref="E145:E150"/>
    <mergeCell ref="W413:W416"/>
    <mergeCell ref="K640:K644"/>
    <mergeCell ref="E139:E144"/>
    <mergeCell ref="O785:O788"/>
    <mergeCell ref="J700:J705"/>
    <mergeCell ref="AM615:AM619"/>
    <mergeCell ref="AJ157:AJ161"/>
    <mergeCell ref="AJ151:AJ155"/>
    <mergeCell ref="AM193:AM197"/>
    <mergeCell ref="AA217:AA221"/>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Z151:Z155"/>
    <mergeCell ref="K366:K371"/>
    <mergeCell ref="AA543:AA547"/>
    <mergeCell ref="AR435:AR439"/>
    <mergeCell ref="B193:C198"/>
    <mergeCell ref="AK236:AK240"/>
    <mergeCell ref="AF477:AF481"/>
    <mergeCell ref="A809:A813"/>
    <mergeCell ref="H817:H820"/>
    <mergeCell ref="AR555:AR559"/>
    <mergeCell ref="E585:E590"/>
    <mergeCell ref="AE67:AE71"/>
    <mergeCell ref="AB242:AB246"/>
    <mergeCell ref="AQ789:AQ792"/>
    <mergeCell ref="AJ597:AJ601"/>
    <mergeCell ref="E789:E793"/>
    <mergeCell ref="AD429:AD433"/>
    <mergeCell ref="I109:I114"/>
    <mergeCell ref="W573:W578"/>
    <mergeCell ref="G352:G358"/>
    <mergeCell ref="AI400:AI403"/>
    <mergeCell ref="E193:E198"/>
    <mergeCell ref="N413:N416"/>
    <mergeCell ref="B570:C570"/>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E400:E404"/>
    <mergeCell ref="D585:D590"/>
    <mergeCell ref="AD67:AD71"/>
    <mergeCell ref="AL640:AL644"/>
    <mergeCell ref="G818:G820"/>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M9:AM12"/>
    <mergeCell ref="AD97:AD101"/>
    <mergeCell ref="AI223:AI227"/>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AJ260:AJ264"/>
    <mergeCell ref="B390:C394"/>
    <mergeCell ref="E676:E681"/>
    <mergeCell ref="J804:J808"/>
    <mergeCell ref="AV471:AV475"/>
    <mergeCell ref="J471:J476"/>
    <mergeCell ref="AD91:AD95"/>
    <mergeCell ref="G13:G18"/>
    <mergeCell ref="AK37:AK41"/>
    <mergeCell ref="I324:I330"/>
    <mergeCell ref="AD385:AD388"/>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G151:G156"/>
    <mergeCell ref="AE230:AE234"/>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AN151:AN155"/>
    <mergeCell ref="E489:E494"/>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AM230:AM234"/>
    <mergeCell ref="E61:E66"/>
    <mergeCell ref="H429:H4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D109:D114"/>
    <mergeCell ref="S381:S38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B841:C841"/>
    <mergeCell ref="AK91:AK95"/>
    <mergeCell ref="H573:H578"/>
    <mergeCell ref="B373:C373"/>
    <mergeCell ref="K804:K807"/>
    <mergeCell ref="AM278:AM282"/>
    <mergeCell ref="A278:A283"/>
    <mergeCell ref="G49:G54"/>
    <mergeCell ref="AK385:AK388"/>
    <mergeCell ref="AC254:AC258"/>
    <mergeCell ref="AJ453:AJ457"/>
    <mergeCell ref="K471:K475"/>
    <mergeCell ref="AE317:AE322"/>
    <mergeCell ref="AL809:AL812"/>
    <mergeCell ref="AW603:AW607"/>
    <mergeCell ref="AC465:AC469"/>
    <mergeCell ref="G303:G309"/>
    <mergeCell ref="Z97:Z101"/>
    <mergeCell ref="AE223:AE227"/>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AD242:AD246"/>
    <mergeCell ref="AD217:AD221"/>
    <mergeCell ref="AL519:AL523"/>
    <mergeCell ref="AG585:AG589"/>
    <mergeCell ref="B846:C846"/>
    <mergeCell ref="AH682:AH686"/>
    <mergeCell ref="A609:A614"/>
    <mergeCell ref="AL891:AL892"/>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F223:F228"/>
    <mergeCell ref="K324:K329"/>
    <mergeCell ref="AE345:AE350"/>
    <mergeCell ref="AK567:AK571"/>
    <mergeCell ref="I591:I596"/>
    <mergeCell ref="Z19:Z23"/>
    <mergeCell ref="A640:A645"/>
    <mergeCell ref="AE670:AE674"/>
    <mergeCell ref="AT794:AT797"/>
    <mergeCell ref="AL405:AL408"/>
    <mergeCell ref="H794:H798"/>
    <mergeCell ref="B849:C849"/>
    <mergeCell ref="AB627:AB631"/>
    <mergeCell ref="G395:G399"/>
    <mergeCell ref="AJ799:AJ802"/>
    <mergeCell ref="AL230:AL234"/>
    <mergeCell ref="AM79:AM83"/>
    <mergeCell ref="AV561:AV565"/>
    <mergeCell ref="H585:H590"/>
    <mergeCell ref="G890:G892"/>
    <mergeCell ref="AI73:AI77"/>
    <mergeCell ref="AE242:AE246"/>
    <mergeCell ref="Z477:Z481"/>
    <mergeCell ref="AE236:AE240"/>
    <mergeCell ref="A633:C633"/>
    <mergeCell ref="H789:H793"/>
    <mergeCell ref="K217:K221"/>
    <mergeCell ref="B303:C309"/>
    <mergeCell ref="D25:D30"/>
    <mergeCell ref="AI187:AI191"/>
    <mergeCell ref="B296:C301"/>
    <mergeCell ref="AG429:AG433"/>
    <mergeCell ref="AB331:AB336"/>
    <mergeCell ref="AB85:AB89"/>
    <mergeCell ref="I284:I289"/>
    <mergeCell ref="J133:J138"/>
    <mergeCell ref="J352:J358"/>
    <mergeCell ref="AG770:AG775"/>
    <mergeCell ref="I785:I788"/>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AA133:AA137"/>
    <mergeCell ref="H413:H416"/>
    <mergeCell ref="B860:C860"/>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K175:AK179"/>
    <mergeCell ref="A248:A253"/>
    <mergeCell ref="AQ501:AQ505"/>
    <mergeCell ref="W489:W494"/>
    <mergeCell ref="AL157:AL161"/>
    <mergeCell ref="AC345:AC350"/>
    <mergeCell ref="AF260:AF264"/>
    <mergeCell ref="H700:H705"/>
    <mergeCell ref="F181:F186"/>
    <mergeCell ref="AA459:AA463"/>
    <mergeCell ref="H115:H120"/>
    <mergeCell ref="AC217:AC221"/>
    <mergeCell ref="B317:C323"/>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AS794:AS797"/>
    <mergeCell ref="Z205:Z209"/>
    <mergeCell ref="G794:G798"/>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AT459:AT463"/>
    <mergeCell ref="F519:F524"/>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AS809:AS812"/>
    <mergeCell ref="AJ465:AJ469"/>
    <mergeCell ref="AL223:AL227"/>
    <mergeCell ref="G809:G813"/>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AE266:AE270"/>
    <mergeCell ref="L785:L788"/>
    <mergeCell ref="AB345:AB350"/>
    <mergeCell ref="AE260:AE264"/>
    <mergeCell ref="AM770:AM775"/>
    <mergeCell ref="E181:E186"/>
    <mergeCell ref="B858:C85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G405:G409"/>
    <mergeCell ref="AK603:AK607"/>
    <mergeCell ref="B817:C820"/>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Z310:Z315"/>
    <mergeCell ref="H331:H337"/>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AK324:AK329"/>
    <mergeCell ref="AF11:AF12"/>
    <mergeCell ref="D513:D518"/>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AL13:AL17"/>
    <mergeCell ref="AM49:AM53"/>
    <mergeCell ref="H248:H253"/>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AK676:AK680"/>
    <mergeCell ref="W555:W560"/>
    <mergeCell ref="AK670:AK674"/>
    <mergeCell ref="B260:C265"/>
    <mergeCell ref="B827:C827"/>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M55:AM59"/>
    <mergeCell ref="AB205:AB20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AK13:AK17"/>
    <mergeCell ref="AL49:AL53"/>
    <mergeCell ref="G248:G253"/>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AG809:AG812"/>
    <mergeCell ref="AR603:AR607"/>
    <mergeCell ref="B895:C895"/>
    <mergeCell ref="AB721:AB726"/>
    <mergeCell ref="AM501:AM505"/>
    <mergeCell ref="G272:G277"/>
    <mergeCell ref="AL400:AL403"/>
    <mergeCell ref="B471:C476"/>
    <mergeCell ref="AK615:AK619"/>
    <mergeCell ref="AH157:AH161"/>
    <mergeCell ref="I459:I464"/>
    <mergeCell ref="D115:D120"/>
    <mergeCell ref="AG519:AG523"/>
    <mergeCell ref="A405:A409"/>
    <mergeCell ref="AC682:AC686"/>
    <mergeCell ref="AJ390:AJ393"/>
    <mergeCell ref="AI11:AI12"/>
    <mergeCell ref="J435:J440"/>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G109:G114"/>
    <mergeCell ref="F324:F330"/>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AH223:AH227"/>
    <mergeCell ref="J303:J309"/>
    <mergeCell ref="AC640:AC644"/>
    <mergeCell ref="I525:I530"/>
    <mergeCell ref="AG591:AG595"/>
    <mergeCell ref="J507:J512"/>
    <mergeCell ref="G489:G494"/>
    <mergeCell ref="B109:C114"/>
    <mergeCell ref="AG217:AG221"/>
    <mergeCell ref="D905:G905"/>
    <mergeCell ref="AD417:AD421"/>
    <mergeCell ref="AA49:AA53"/>
    <mergeCell ref="W567:W572"/>
    <mergeCell ref="AL501:AL505"/>
    <mergeCell ref="B564:C564"/>
    <mergeCell ref="AK400:AK403"/>
    <mergeCell ref="AI383:AI384"/>
    <mergeCell ref="AA266:AA270"/>
    <mergeCell ref="AA260:AA264"/>
    <mergeCell ref="H459:H464"/>
    <mergeCell ref="AN109:AN113"/>
    <mergeCell ref="A181:A186"/>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AG603:AG607"/>
    <mergeCell ref="W721:W727"/>
    <mergeCell ref="F817:G817"/>
    <mergeCell ref="AD145:AD149"/>
    <mergeCell ref="G67:G72"/>
    <mergeCell ref="J395:J399"/>
    <mergeCell ref="J429:J434"/>
    <mergeCell ref="G61:G66"/>
    <mergeCell ref="E756:E762"/>
    <mergeCell ref="AM799:AM802"/>
    <mergeCell ref="A799:A803"/>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K405:K408"/>
    <mergeCell ref="F597:F602"/>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B67:C72"/>
    <mergeCell ref="AG324:AG329"/>
    <mergeCell ref="J573:J578"/>
    <mergeCell ref="W640:W645"/>
    <mergeCell ref="E9:G9"/>
    <mergeCell ref="AJ55:AJ59"/>
    <mergeCell ref="I49:I54"/>
    <mergeCell ref="AM385:AM388"/>
    <mergeCell ref="AE254:AE258"/>
    <mergeCell ref="AN61:AN65"/>
    <mergeCell ref="AB97:AB101"/>
    <mergeCell ref="I303:I309"/>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AH199:AH203"/>
    <mergeCell ref="I181:I186"/>
    <mergeCell ref="H381:J381"/>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G352:AG357"/>
    <mergeCell ref="AL471:AL475"/>
    <mergeCell ref="AJ787:AJ788"/>
    <mergeCell ref="AL145:AL149"/>
    <mergeCell ref="A359:A365"/>
    <mergeCell ref="AE483:AE487"/>
    <mergeCell ref="AB115:AB119"/>
    <mergeCell ref="J163:J168"/>
    <mergeCell ref="J794:J798"/>
    <mergeCell ref="AK507:AK511"/>
    <mergeCell ref="AG676:AG680"/>
    <mergeCell ref="B537:C542"/>
    <mergeCell ref="AG670:AG674"/>
    <mergeCell ref="AN405:AN408"/>
    <mergeCell ref="AW441:AW445"/>
    <mergeCell ref="D735:D741"/>
    <mergeCell ref="F67:F72"/>
    <mergeCell ref="I395:I399"/>
    <mergeCell ref="AN230:AN234"/>
    <mergeCell ref="AD519:AD523"/>
    <mergeCell ref="G435:G440"/>
    <mergeCell ref="AA501:AA505"/>
    <mergeCell ref="AK79:AK83"/>
    <mergeCell ref="AK73:AK77"/>
    <mergeCell ref="AG242:AG246"/>
    <mergeCell ref="AQ573:AQ577"/>
    <mergeCell ref="K459:K463"/>
    <mergeCell ref="A266:A271"/>
    <mergeCell ref="F25:F30"/>
    <mergeCell ref="AI429:AI433"/>
    <mergeCell ref="A260:A265"/>
    <mergeCell ref="D603:D608"/>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Z121:Z125"/>
    <mergeCell ref="J242:J247"/>
    <mergeCell ref="B374:C374"/>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AA242:AA246"/>
    <mergeCell ref="H471:H476"/>
    <mergeCell ref="B609:C614"/>
    <mergeCell ref="B847:C847"/>
    <mergeCell ref="E13:E18"/>
    <mergeCell ref="AB385:AB388"/>
    <mergeCell ref="AF352:AF357"/>
    <mergeCell ref="AI787:AI788"/>
    <mergeCell ref="AC809:AC812"/>
    <mergeCell ref="A664:A669"/>
    <mergeCell ref="AK145:AK149"/>
    <mergeCell ref="I728:I734"/>
    <mergeCell ref="K531:K535"/>
    <mergeCell ref="AA115:AA119"/>
    <mergeCell ref="AI501:AI505"/>
    <mergeCell ref="Z447:Z451"/>
    <mergeCell ref="K525:K529"/>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AC405:AC408"/>
    <mergeCell ref="AN199:AN203"/>
    <mergeCell ref="J728:J734"/>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A187:AA191"/>
    <mergeCell ref="AD555:AD559"/>
    <mergeCell ref="AN248:AN252"/>
    <mergeCell ref="AN352:AN357"/>
    <mergeCell ref="AD400:AD403"/>
    <mergeCell ref="AJ579:AJ583"/>
    <mergeCell ref="AK770:AK775"/>
    <mergeCell ref="AV603:AV607"/>
    <mergeCell ref="AS804:AS807"/>
    <mergeCell ref="AB465:AB469"/>
    <mergeCell ref="AD223:AD227"/>
    <mergeCell ref="F303:F309"/>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AG400:AG403"/>
    <mergeCell ref="L413:L416"/>
    <mergeCell ref="AF615:AF619"/>
    <mergeCell ref="AC157:AC161"/>
    <mergeCell ref="AV627:AV631"/>
    <mergeCell ref="J627:J632"/>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AD278:AD282"/>
    <mergeCell ref="B844:C844"/>
    <mergeCell ref="Z145:Z149"/>
    <mergeCell ref="AM756:AM761"/>
    <mergeCell ref="B838:C838"/>
    <mergeCell ref="AK230:AK234"/>
    <mergeCell ref="F429:F434"/>
    <mergeCell ref="D338:D344"/>
    <mergeCell ref="I290:I295"/>
    <mergeCell ref="AJ163:AJ167"/>
    <mergeCell ref="AK441:AK445"/>
    <mergeCell ref="AH73:AH77"/>
    <mergeCell ref="Q413:Q416"/>
    <mergeCell ref="F890:F892"/>
    <mergeCell ref="AC175:AC179"/>
    <mergeCell ref="D157:D162"/>
    <mergeCell ref="AH400:AH403"/>
    <mergeCell ref="A603:A608"/>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G115:G120"/>
    <mergeCell ref="AB217:AB221"/>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C352:AC357"/>
    <mergeCell ref="AH471:AH475"/>
    <mergeCell ref="AA193:AA197"/>
    <mergeCell ref="AF787:AF788"/>
    <mergeCell ref="AJ664:AJ668"/>
    <mergeCell ref="I756:I762"/>
    <mergeCell ref="K597:K601"/>
    <mergeCell ref="H236:H241"/>
    <mergeCell ref="F163:F168"/>
    <mergeCell ref="AI567:AI571"/>
    <mergeCell ref="F794:F798"/>
    <mergeCell ref="AR794:AR797"/>
    <mergeCell ref="AJ405:AJ408"/>
    <mergeCell ref="AS441:AS445"/>
    <mergeCell ref="AQ525:AQ529"/>
    <mergeCell ref="E525:E530"/>
    <mergeCell ref="AM248:AM252"/>
    <mergeCell ref="AL735:AL740"/>
    <mergeCell ref="E395:E399"/>
    <mergeCell ref="AJ230:AJ234"/>
    <mergeCell ref="AT567:AT571"/>
    <mergeCell ref="B874:C874"/>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B700:C705"/>
    <mergeCell ref="AL296:AL300"/>
    <mergeCell ref="D127:D132"/>
    <mergeCell ref="AL303:AL308"/>
    <mergeCell ref="G495:G500"/>
    <mergeCell ref="AN359:AN364"/>
    <mergeCell ref="I688:I693"/>
    <mergeCell ref="Z786:AA786"/>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7:F713"/>
    <mergeCell ref="F700:F705"/>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B352:AB357"/>
    <mergeCell ref="F573:F578"/>
    <mergeCell ref="AE787:AE78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K303:AK308"/>
    <mergeCell ref="AM338:AM343"/>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I169:I174"/>
    <mergeCell ref="AH284:AH288"/>
    <mergeCell ref="AI133:AI137"/>
    <mergeCell ref="Z414:AB414"/>
    <mergeCell ref="H9:J9"/>
    <mergeCell ref="W597:W602"/>
    <mergeCell ref="AD819:AD820"/>
    <mergeCell ref="AN25:AN29"/>
    <mergeCell ref="B338:C344"/>
    <mergeCell ref="AA296:AA300"/>
    <mergeCell ref="AA303:AA308"/>
    <mergeCell ref="D579:D584"/>
    <mergeCell ref="AQ809:AQ812"/>
    <mergeCell ref="AM405:AM408"/>
    <mergeCell ref="AV441:AV445"/>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AC266:AC270"/>
    <mergeCell ref="AB417:AB421"/>
    <mergeCell ref="H714:H720"/>
    <mergeCell ref="J785:J788"/>
    <mergeCell ref="G382:G384"/>
    <mergeCell ref="AJ352:AJ357"/>
    <mergeCell ref="Z400:Z403"/>
    <mergeCell ref="E413:E416"/>
    <mergeCell ref="AJ127:AJ131"/>
    <mergeCell ref="AG390:AG393"/>
    <mergeCell ref="I495:I500"/>
    <mergeCell ref="E664:E669"/>
    <mergeCell ref="D597:D602"/>
    <mergeCell ref="AH483:AH487"/>
    <mergeCell ref="AL415:AL416"/>
    <mergeCell ref="AD359:AD364"/>
    <mergeCell ref="AI609:AI613"/>
    <mergeCell ref="B79:C84"/>
    <mergeCell ref="I67:I72"/>
    <mergeCell ref="G804:G808"/>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767" operator="containsText" dxfId="325" text="VERDE">
      <formula>NOT(ISERROR(SEARCH("VERDE",D229)))</formula>
    </cfRule>
    <cfRule type="containsText" priority="768" operator="containsText" dxfId="324" text="AMARILLO">
      <formula>NOT(ISERROR(SEARCH("AMARILLO",D229)))</formula>
    </cfRule>
    <cfRule type="containsText" priority="769" operator="containsText" dxfId="323" text="ROJO">
      <formula>NOT(ISERROR(SEARCH("ROJO",D229)))</formula>
    </cfRule>
  </conditionalFormatting>
  <conditionalFormatting sqref="D821:D856">
    <cfRule type="cellIs" priority="765" operator="lessThan" dxfId="0" stopIfTrue="1">
      <formula>0</formula>
    </cfRule>
  </conditionalFormatting>
  <conditionalFormatting sqref="D858:D869">
    <cfRule type="cellIs" priority="764" operator="lessThan" dxfId="0" stopIfTrue="1">
      <formula>0</formula>
    </cfRule>
  </conditionalFormatting>
  <conditionalFormatting sqref="D871:D888">
    <cfRule type="cellIs" priority="763" operator="lessThan" dxfId="0" stopIfTrue="1">
      <formula>0</formula>
    </cfRule>
  </conditionalFormatting>
  <conditionalFormatting sqref="D893:D894">
    <cfRule type="cellIs" priority="766" operator="lessThan" dxfId="0" stopIfTrue="1">
      <formula>0</formula>
    </cfRule>
  </conditionalFormatting>
  <conditionalFormatting sqref="D566">
    <cfRule type="cellIs" priority="623" operator="lessThan" dxfId="384" stopIfTrue="1">
      <formula>0</formula>
    </cfRule>
  </conditionalFormatting>
  <conditionalFormatting sqref="D572">
    <cfRule type="cellIs" priority="568" operator="lessThan" dxfId="384" stopIfTrue="1">
      <formula>0</formula>
    </cfRule>
  </conditionalFormatting>
  <conditionalFormatting sqref="D895:D897">
    <cfRule type="cellIs" priority="498" operator="lessThan" dxfId="0" stopIfTrue="1">
      <formula>0</formula>
    </cfRule>
  </conditionalFormatting>
  <conditionalFormatting sqref="E229 P410">
    <cfRule type="containsText" priority="377" operator="containsText" dxfId="325" text="VERDE">
      <formula>NOT(ISERROR(SEARCH("VERDE",E229)))</formula>
    </cfRule>
    <cfRule type="containsText" priority="378" operator="containsText" dxfId="324" text="AMARILLO">
      <formula>NOT(ISERROR(SEARCH("AMARILLO",E229)))</formula>
    </cfRule>
    <cfRule type="containsText" priority="379" operator="containsText" dxfId="323" text="ROJO">
      <formula>NOT(ISERROR(SEARCH("ROJO",E229)))</formula>
    </cfRule>
  </conditionalFormatting>
  <conditionalFormatting sqref="E821:I856">
    <cfRule type="cellIs" priority="254" operator="lessThan" dxfId="0" stopIfTrue="1">
      <formula>0</formula>
    </cfRule>
  </conditionalFormatting>
  <conditionalFormatting sqref="E858:I869">
    <cfRule type="cellIs" priority="253" operator="lessThan" dxfId="0" stopIfTrue="1">
      <formula>0</formula>
    </cfRule>
  </conditionalFormatting>
  <conditionalFormatting sqref="E871:I888">
    <cfRule type="cellIs" priority="252" operator="lessThan" dxfId="0" stopIfTrue="1">
      <formula>0</formula>
    </cfRule>
  </conditionalFormatting>
  <conditionalFormatting sqref="E893:I893 E894:G894 H894:I897">
    <cfRule type="cellIs" priority="370" operator="lessThan" dxfId="0" stopIfTrue="1">
      <formula>0</formula>
    </cfRule>
  </conditionalFormatting>
  <conditionalFormatting sqref="K13:K17">
    <cfRule type="cellIs" priority="380" operator="lessThan" dxfId="0" stopIfTrue="1">
      <formula>0</formula>
    </cfRule>
  </conditionalFormatting>
  <conditionalFormatting sqref="K303:K308 K777:K783">
    <cfRule type="cellIs" priority="366" operator="lessThan" dxfId="0" stopIfTrue="1">
      <formula>0</formula>
    </cfRule>
  </conditionalFormatting>
  <conditionalFormatting sqref="K309">
    <cfRule type="containsText" priority="376" operator="containsText" dxfId="8" text="Falso">
      <formula>NOT(ISERROR(SEARCH("Falso",K309)))</formula>
    </cfRule>
  </conditionalFormatting>
  <conditionalFormatting sqref="K373:K380">
    <cfRule type="cellIs" priority="373" operator="lessThan" dxfId="0" stopIfTrue="1">
      <formula>0</formula>
    </cfRule>
  </conditionalFormatting>
  <conditionalFormatting sqref="K385:K388">
    <cfRule type="cellIs" priority="381" operator="lessThan" dxfId="0" stopIfTrue="1">
      <formula>0</formula>
    </cfRule>
  </conditionalFormatting>
  <conditionalFormatting sqref="K389">
    <cfRule type="containsText" priority="382" operator="containsText" dxfId="8" text="Falso">
      <formula>NOT(ISERROR(SEARCH("Falso",K389)))</formula>
    </cfRule>
  </conditionalFormatting>
  <conditionalFormatting sqref="K394">
    <cfRule type="containsText" priority="372" operator="containsText" dxfId="8" text="Falso">
      <formula>NOT(ISERROR(SEARCH("Falso",K394)))</formula>
    </cfRule>
  </conditionalFormatting>
  <conditionalFormatting sqref="K399 K404 K409">
    <cfRule type="containsText" priority="371" operator="containsText" dxfId="8" text="Falso">
      <formula>NOT(ISERROR(SEARCH("Falso",K399)))</formula>
    </cfRule>
  </conditionalFormatting>
  <conditionalFormatting sqref="K714:K719 K721:K726">
    <cfRule type="cellIs" priority="274" operator="lessThan" dxfId="0" stopIfTrue="1">
      <formula>0</formula>
    </cfRule>
  </conditionalFormatting>
  <conditionalFormatting sqref="K634:K638">
    <cfRule type="cellIs" priority="280" operator="lessThan" dxfId="0" stopIfTrue="1">
      <formula>0</formula>
    </cfRule>
  </conditionalFormatting>
  <conditionalFormatting sqref="K749:K754 K756:K761">
    <cfRule type="cellIs" priority="272" operator="lessThan" dxfId="0" stopIfTrue="1">
      <formula>0</formula>
    </cfRule>
  </conditionalFormatting>
  <conditionalFormatting sqref="K763:K768">
    <cfRule type="cellIs" priority="271" operator="lessThan" dxfId="0" stopIfTrue="1">
      <formula>0</formula>
    </cfRule>
  </conditionalFormatting>
  <conditionalFormatting sqref="K770:K775">
    <cfRule type="cellIs" priority="270" operator="lessThan" dxfId="0" stopIfTrue="1">
      <formula>0</formula>
    </cfRule>
  </conditionalFormatting>
  <conditionalFormatting sqref="K707:K712">
    <cfRule type="cellIs" priority="279" operator="lessThan" dxfId="0" stopIfTrue="1">
      <formula>0</formula>
    </cfRule>
  </conditionalFormatting>
  <conditionalFormatting sqref="K728:K733 K735:K740 K742:K747">
    <cfRule type="cellIs" priority="273" operator="lessThan" dxfId="0" stopIfTrue="1">
      <formula>0</formula>
    </cfRule>
  </conditionalFormatting>
  <conditionalFormatting sqref="K821:K856 M821:O856">
    <cfRule type="cellIs" priority="251" operator="lessThan" dxfId="0" stopIfTrue="1">
      <formula>0</formula>
    </cfRule>
  </conditionalFormatting>
  <conditionalFormatting sqref="K858:K869 M858:N869">
    <cfRule type="cellIs" priority="250" operator="lessThan" dxfId="0" stopIfTrue="1">
      <formula>0</formula>
    </cfRule>
  </conditionalFormatting>
  <conditionalFormatting sqref="K871:K887 K888:O888 M871:N887">
    <cfRule type="cellIs" priority="249" operator="lessThan" dxfId="0" stopIfTrue="1">
      <formula>0</formula>
    </cfRule>
  </conditionalFormatting>
  <conditionalFormatting sqref="K893:K894 M893:N894">
    <cfRule type="cellIs" priority="248" operator="lessThan" dxfId="0" stopIfTrue="1">
      <formula>0</formula>
    </cfRule>
  </conditionalFormatting>
  <conditionalFormatting sqref="P13:P17 P303:P308">
    <cfRule type="containsText" priority="362" operator="containsText" dxfId="131" text="VENCIDO">
      <formula>NOT(ISERROR(SEARCH("VENCIDO",P13)))</formula>
    </cfRule>
    <cfRule type="containsText" priority="363" operator="containsText" dxfId="130" text="VERDE">
      <formula>NOT(ISERROR(SEARCH("VERDE",P13)))</formula>
    </cfRule>
    <cfRule type="containsText" priority="364" operator="containsText" dxfId="129" stopIfTrue="1" text="AMARILLO">
      <formula>NOT(ISERROR(SEARCH("AMARILLO",P13)))</formula>
    </cfRule>
    <cfRule type="containsText" priority="365" operator="containsText" dxfId="128" text="ROJO">
      <formula>NOT(ISERROR(SEARCH("ROJO",P13)))</formula>
    </cfRule>
  </conditionalFormatting>
  <conditionalFormatting sqref="P373:P379">
    <cfRule type="containsText" priority="358" operator="containsText" dxfId="131" text="VENCIDO">
      <formula>NOT(ISERROR(SEARCH("VENCIDO",P373)))</formula>
    </cfRule>
    <cfRule type="containsText" priority="359" operator="containsText" dxfId="130" text="VERDE">
      <formula>NOT(ISERROR(SEARCH("VERDE",P373)))</formula>
    </cfRule>
    <cfRule type="containsText" priority="360" operator="containsText" dxfId="129" stopIfTrue="1" text="AMARILLO">
      <formula>NOT(ISERROR(SEARCH("AMARILLO",P373)))</formula>
    </cfRule>
    <cfRule type="containsText" priority="361" operator="containsText" dxfId="128" text="ROJO">
      <formula>NOT(ISERROR(SEARCH("ROJO",P373)))</formula>
    </cfRule>
  </conditionalFormatting>
  <conditionalFormatting sqref="P385:P388">
    <cfRule type="containsText" priority="354" operator="containsText" dxfId="131" text="VENCIDO">
      <formula>NOT(ISERROR(SEARCH("VENCIDO",P385)))</formula>
    </cfRule>
    <cfRule type="containsText" priority="355" operator="containsText" dxfId="130" text="VERDE">
      <formula>NOT(ISERROR(SEARCH("VERDE",P385)))</formula>
    </cfRule>
    <cfRule type="containsText" priority="356" operator="containsText" dxfId="129" stopIfTrue="1" text="AMARILLO">
      <formula>NOT(ISERROR(SEARCH("AMARILLO",P385)))</formula>
    </cfRule>
    <cfRule type="containsText" priority="357" operator="containsText" dxfId="128" text="ROJO">
      <formula>NOT(ISERROR(SEARCH("ROJO",P385)))</formula>
    </cfRule>
  </conditionalFormatting>
  <conditionalFormatting sqref="P417:P421">
    <cfRule type="containsText" priority="347" operator="containsText" dxfId="131" text="VENCIDO">
      <formula>NOT(ISERROR(SEARCH("VENCIDO",P417)))</formula>
    </cfRule>
    <cfRule type="containsText" priority="348" operator="containsText" dxfId="130" text="VERDE">
      <formula>NOT(ISERROR(SEARCH("VERDE",P417)))</formula>
    </cfRule>
    <cfRule type="containsText" priority="349" operator="containsText" dxfId="129" stopIfTrue="1" text="AMARILLO">
      <formula>NOT(ISERROR(SEARCH("AMARILLO",P417)))</formula>
    </cfRule>
    <cfRule type="containsText" priority="350" operator="containsText" dxfId="128" text="ROJO">
      <formula>NOT(ISERROR(SEARCH("ROJO",P417)))</formula>
    </cfRule>
  </conditionalFormatting>
  <conditionalFormatting sqref="P561:P565">
    <cfRule type="containsText" priority="343" operator="containsText" dxfId="131" text="VENCIDO">
      <formula>NOT(ISERROR(SEARCH("VENCIDO",P561)))</formula>
    </cfRule>
    <cfRule type="containsText" priority="344" operator="containsText" dxfId="130" text="VERDE">
      <formula>NOT(ISERROR(SEARCH("VERDE",P561)))</formula>
    </cfRule>
    <cfRule type="containsText" priority="345" operator="containsText" dxfId="129" stopIfTrue="1" text="AMARILLO">
      <formula>NOT(ISERROR(SEARCH("AMARILLO",P561)))</formula>
    </cfRule>
    <cfRule type="containsText" priority="346" operator="containsText" dxfId="128" text="ROJO">
      <formula>NOT(ISERROR(SEARCH("ROJO",P561)))</formula>
    </cfRule>
  </conditionalFormatting>
  <conditionalFormatting sqref="P707:P712">
    <cfRule type="containsText" priority="275" operator="containsText" dxfId="131" text="VENCIDO">
      <formula>NOT(ISERROR(SEARCH("VENCIDO",P707)))</formula>
    </cfRule>
    <cfRule type="containsText" priority="276" operator="containsText" dxfId="130" text="VERDE">
      <formula>NOT(ISERROR(SEARCH("VERDE",P707)))</formula>
    </cfRule>
    <cfRule type="containsText" priority="277" operator="containsText" dxfId="129" stopIfTrue="1" text="AMARILLO">
      <formula>NOT(ISERROR(SEARCH("AMARILLO",P707)))</formula>
    </cfRule>
    <cfRule type="containsText" priority="278" operator="containsText" dxfId="128" text="ROJO">
      <formula>NOT(ISERROR(SEARCH("ROJO",P707)))</formula>
    </cfRule>
  </conditionalFormatting>
  <conditionalFormatting sqref="P777:P783">
    <cfRule type="containsText" priority="266" operator="containsText" dxfId="131" text="VENCIDO">
      <formula>NOT(ISERROR(SEARCH("VENCIDO",P777)))</formula>
    </cfRule>
    <cfRule type="containsText" priority="267" operator="containsText" dxfId="130" text="VERDE">
      <formula>NOT(ISERROR(SEARCH("VERDE",P777)))</formula>
    </cfRule>
    <cfRule type="containsText" priority="268" operator="containsText" dxfId="129" stopIfTrue="1" text="AMARILLO">
      <formula>NOT(ISERROR(SEARCH("AMARILLO",P777)))</formula>
    </cfRule>
    <cfRule type="containsText" priority="269" operator="containsText" dxfId="128" text="ROJO">
      <formula>NOT(ISERROR(SEARCH("ROJO",P777)))</formula>
    </cfRule>
  </conditionalFormatting>
  <conditionalFormatting sqref="Q833:Q848">
    <cfRule type="containsText" priority="260" operator="containsText" dxfId="325" text="VERDE">
      <formula>NOT(ISERROR(SEARCH("VERDE",Q833)))</formula>
    </cfRule>
    <cfRule type="containsText" priority="261" operator="containsText" dxfId="324" text="AMARILLO">
      <formula>NOT(ISERROR(SEARCH("AMARILLO",Q833)))</formula>
    </cfRule>
    <cfRule type="containsText" priority="262" operator="containsText" dxfId="323" text="ROJO">
      <formula>NOT(ISERROR(SEARCH("ROJO",Q833)))</formula>
    </cfRule>
  </conditionalFormatting>
  <conditionalFormatting sqref="Q821:R832">
    <cfRule type="containsText" priority="351" operator="containsText" dxfId="325" text="VERDE">
      <formula>NOT(ISERROR(SEARCH("VERDE",Q821)))</formula>
    </cfRule>
    <cfRule type="containsText" priority="352" operator="containsText" dxfId="324" text="AMARILLO">
      <formula>NOT(ISERROR(SEARCH("AMARILLO",Q821)))</formula>
    </cfRule>
    <cfRule type="containsText" priority="353" operator="containsText" dxfId="323" text="ROJO">
      <formula>NOT(ISERROR(SEARCH("ROJO",Q821)))</formula>
    </cfRule>
  </conditionalFormatting>
  <conditionalFormatting sqref="AO821:AO827 AO838:AO860 AO868:AO871 AO873 AO875:AO887">
    <cfRule type="expression" priority="367" dxfId="314">
      <formula>$AO821&lt;&gt;#REF!</formula>
    </cfRule>
  </conditionalFormatting>
  <conditionalFormatting sqref="AO828:AO835">
    <cfRule type="expression" priority="383" dxfId="314">
      <formula>$AO828&lt;&gt;#REF!</formula>
    </cfRule>
  </conditionalFormatting>
  <conditionalFormatting sqref="AO836:AO837">
    <cfRule type="expression" priority="265" dxfId="314">
      <formula>$AO836&lt;&gt;#REF!</formula>
    </cfRule>
  </conditionalFormatting>
  <conditionalFormatting sqref="AO861">
    <cfRule type="expression" priority="259" dxfId="314">
      <formula>$AO861&lt;&gt;#REF!</formula>
    </cfRule>
  </conditionalFormatting>
  <conditionalFormatting sqref="AO862:AO866">
    <cfRule type="expression" priority="258" dxfId="314">
      <formula>$AO862&lt;&gt;#REF!</formula>
    </cfRule>
  </conditionalFormatting>
  <conditionalFormatting sqref="AO867">
    <cfRule type="expression" priority="257" dxfId="314">
      <formula>$AO867&lt;&gt;#REF!</formula>
    </cfRule>
  </conditionalFormatting>
  <conditionalFormatting sqref="AO872">
    <cfRule type="expression" priority="256" dxfId="314">
      <formula>$AO872&lt;&gt;#REF!</formula>
    </cfRule>
  </conditionalFormatting>
  <conditionalFormatting sqref="AO874">
    <cfRule type="expression" priority="255" dxfId="314">
      <formula>$AO874&lt;&gt;#REF!</formula>
    </cfRule>
  </conditionalFormatting>
  <conditionalFormatting sqref="AO888">
    <cfRule type="expression" priority="384" dxfId="314">
      <formula>$AO888&lt;&gt;$L888</formula>
    </cfRule>
  </conditionalFormatting>
  <conditionalFormatting sqref="AS417">
    <cfRule type="cellIs" priority="369" operator="greaterThan" dxfId="8">
      <formula>1</formula>
    </cfRule>
  </conditionalFormatting>
  <conditionalFormatting sqref="AS423">
    <cfRule type="cellIs" priority="342" operator="greaterThan" dxfId="8">
      <formula>1</formula>
    </cfRule>
  </conditionalFormatting>
  <conditionalFormatting sqref="AS429">
    <cfRule type="cellIs" priority="340" operator="greaterThan" dxfId="8">
      <formula>1</formula>
    </cfRule>
  </conditionalFormatting>
  <conditionalFormatting sqref="AS435">
    <cfRule type="cellIs" priority="338" operator="greaterThan" dxfId="8">
      <formula>1</formula>
    </cfRule>
  </conditionalFormatting>
  <conditionalFormatting sqref="AS441">
    <cfRule type="cellIs" priority="336" operator="greaterThan" dxfId="8">
      <formula>1</formula>
    </cfRule>
  </conditionalFormatting>
  <conditionalFormatting sqref="AS447">
    <cfRule type="cellIs" priority="334" operator="greaterThan" dxfId="8">
      <formula>1</formula>
    </cfRule>
  </conditionalFormatting>
  <conditionalFormatting sqref="AS453">
    <cfRule type="cellIs" priority="332" operator="greaterThan" dxfId="8">
      <formula>1</formula>
    </cfRule>
  </conditionalFormatting>
  <conditionalFormatting sqref="AS459">
    <cfRule type="cellIs" priority="330" operator="greaterThan" dxfId="8">
      <formula>1</formula>
    </cfRule>
  </conditionalFormatting>
  <conditionalFormatting sqref="AS465">
    <cfRule type="cellIs" priority="328" operator="greaterThan" dxfId="8">
      <formula>1</formula>
    </cfRule>
  </conditionalFormatting>
  <conditionalFormatting sqref="AS471">
    <cfRule type="cellIs" priority="326" operator="greaterThan" dxfId="8">
      <formula>1</formula>
    </cfRule>
  </conditionalFormatting>
  <conditionalFormatting sqref="AS477">
    <cfRule type="cellIs" priority="324" operator="greaterThan" dxfId="8">
      <formula>1</formula>
    </cfRule>
  </conditionalFormatting>
  <conditionalFormatting sqref="AS483">
    <cfRule type="cellIs" priority="322" operator="greaterThan" dxfId="8">
      <formula>1</formula>
    </cfRule>
  </conditionalFormatting>
  <conditionalFormatting sqref="AS489">
    <cfRule type="cellIs" priority="320" operator="greaterThan" dxfId="8">
      <formula>1</formula>
    </cfRule>
  </conditionalFormatting>
  <conditionalFormatting sqref="AS495">
    <cfRule type="cellIs" priority="318" operator="greaterThan" dxfId="8">
      <formula>1</formula>
    </cfRule>
  </conditionalFormatting>
  <conditionalFormatting sqref="AS501">
    <cfRule type="cellIs" priority="316" operator="greaterThan" dxfId="8">
      <formula>1</formula>
    </cfRule>
  </conditionalFormatting>
  <conditionalFormatting sqref="AS507">
    <cfRule type="cellIs" priority="314" operator="greaterThan" dxfId="8">
      <formula>1</formula>
    </cfRule>
  </conditionalFormatting>
  <conditionalFormatting sqref="AS513">
    <cfRule type="cellIs" priority="312" operator="greaterThan" dxfId="8">
      <formula>1</formula>
    </cfRule>
  </conditionalFormatting>
  <conditionalFormatting sqref="AS519">
    <cfRule type="cellIs" priority="310" operator="greaterThan" dxfId="8">
      <formula>1</formula>
    </cfRule>
  </conditionalFormatting>
  <conditionalFormatting sqref="AS525">
    <cfRule type="cellIs" priority="308" operator="greaterThan" dxfId="8">
      <formula>1</formula>
    </cfRule>
  </conditionalFormatting>
  <conditionalFormatting sqref="AS531">
    <cfRule type="cellIs" priority="306" operator="greaterThan" dxfId="8">
      <formula>1</formula>
    </cfRule>
  </conditionalFormatting>
  <conditionalFormatting sqref="AS537">
    <cfRule type="cellIs" priority="304" operator="greaterThan" dxfId="8">
      <formula>1</formula>
    </cfRule>
  </conditionalFormatting>
  <conditionalFormatting sqref="AS543">
    <cfRule type="cellIs" priority="302" operator="greaterThan" dxfId="8">
      <formula>1</formula>
    </cfRule>
  </conditionalFormatting>
  <conditionalFormatting sqref="AS549">
    <cfRule type="cellIs" priority="300" operator="greaterThan" dxfId="8">
      <formula>1</formula>
    </cfRule>
  </conditionalFormatting>
  <conditionalFormatting sqref="AS555">
    <cfRule type="cellIs" priority="298" operator="greaterThan" dxfId="8">
      <formula>1</formula>
    </cfRule>
  </conditionalFormatting>
  <conditionalFormatting sqref="AS561">
    <cfRule type="cellIs" priority="296" operator="greaterThan" dxfId="8">
      <formula>1</formula>
    </cfRule>
  </conditionalFormatting>
  <conditionalFormatting sqref="AS567">
    <cfRule type="cellIs" priority="294" operator="greaterThan" dxfId="8">
      <formula>1</formula>
    </cfRule>
  </conditionalFormatting>
  <conditionalFormatting sqref="AS573">
    <cfRule type="cellIs" priority="289" operator="greaterThan" dxfId="8">
      <formula>1</formula>
    </cfRule>
  </conditionalFormatting>
  <conditionalFormatting sqref="AS579">
    <cfRule type="cellIs" priority="291" operator="greaterThan" dxfId="8">
      <formula>1</formula>
    </cfRule>
  </conditionalFormatting>
  <conditionalFormatting sqref="AS585">
    <cfRule type="cellIs" priority="288" operator="greaterThan" dxfId="8">
      <formula>1</formula>
    </cfRule>
  </conditionalFormatting>
  <conditionalFormatting sqref="AS591">
    <cfRule type="cellIs" priority="286" operator="greaterThan" dxfId="8">
      <formula>1</formula>
    </cfRule>
  </conditionalFormatting>
  <conditionalFormatting sqref="AS597 AS603">
    <cfRule type="cellIs" priority="284" operator="greaterThan" dxfId="8">
      <formula>1</formula>
    </cfRule>
  </conditionalFormatting>
  <conditionalFormatting sqref="AS609 AS615 AS621 AS627">
    <cfRule type="cellIs" priority="282" operator="greaterThan" dxfId="8">
      <formula>1</formula>
    </cfRule>
  </conditionalFormatting>
  <conditionalFormatting sqref="AS780:AS787">
    <cfRule type="cellIs" priority="375" operator="greaterThan" dxfId="8">
      <formula>1</formula>
    </cfRule>
  </conditionalFormatting>
  <conditionalFormatting sqref="AS821:AS856">
    <cfRule type="cellIs" priority="264" operator="greaterThan" dxfId="8">
      <formula>1</formula>
    </cfRule>
  </conditionalFormatting>
  <conditionalFormatting sqref="AT417">
    <cfRule type="cellIs" priority="368" operator="greaterThan" dxfId="121">
      <formula>1</formula>
    </cfRule>
  </conditionalFormatting>
  <conditionalFormatting sqref="AT423">
    <cfRule type="cellIs" priority="341" operator="greaterThan" dxfId="121">
      <formula>1</formula>
    </cfRule>
  </conditionalFormatting>
  <conditionalFormatting sqref="AT429">
    <cfRule type="cellIs" priority="339" operator="greaterThan" dxfId="121">
      <formula>1</formula>
    </cfRule>
  </conditionalFormatting>
  <conditionalFormatting sqref="AT435">
    <cfRule type="cellIs" priority="337" operator="greaterThan" dxfId="121">
      <formula>1</formula>
    </cfRule>
  </conditionalFormatting>
  <conditionalFormatting sqref="AT441">
    <cfRule type="cellIs" priority="335" operator="greaterThan" dxfId="121">
      <formula>1</formula>
    </cfRule>
  </conditionalFormatting>
  <conditionalFormatting sqref="AT447">
    <cfRule type="cellIs" priority="333" operator="greaterThan" dxfId="121">
      <formula>1</formula>
    </cfRule>
  </conditionalFormatting>
  <conditionalFormatting sqref="AT453">
    <cfRule type="cellIs" priority="331" operator="greaterThan" dxfId="121">
      <formula>1</formula>
    </cfRule>
  </conditionalFormatting>
  <conditionalFormatting sqref="AT459">
    <cfRule type="cellIs" priority="329" operator="greaterThan" dxfId="121">
      <formula>1</formula>
    </cfRule>
  </conditionalFormatting>
  <conditionalFormatting sqref="AT465">
    <cfRule type="cellIs" priority="327" operator="greaterThan" dxfId="121">
      <formula>1</formula>
    </cfRule>
  </conditionalFormatting>
  <conditionalFormatting sqref="AT471">
    <cfRule type="cellIs" priority="325" operator="greaterThan" dxfId="121">
      <formula>1</formula>
    </cfRule>
  </conditionalFormatting>
  <conditionalFormatting sqref="AT477">
    <cfRule type="cellIs" priority="323" operator="greaterThan" dxfId="121">
      <formula>1</formula>
    </cfRule>
  </conditionalFormatting>
  <conditionalFormatting sqref="AT483">
    <cfRule type="cellIs" priority="321" operator="greaterThan" dxfId="121">
      <formula>1</formula>
    </cfRule>
  </conditionalFormatting>
  <conditionalFormatting sqref="AT489">
    <cfRule type="cellIs" priority="319" operator="greaterThan" dxfId="121">
      <formula>1</formula>
    </cfRule>
  </conditionalFormatting>
  <conditionalFormatting sqref="AT495">
    <cfRule type="cellIs" priority="317" operator="greaterThan" dxfId="121">
      <formula>1</formula>
    </cfRule>
  </conditionalFormatting>
  <conditionalFormatting sqref="AT501">
    <cfRule type="cellIs" priority="315" operator="greaterThan" dxfId="121">
      <formula>1</formula>
    </cfRule>
  </conditionalFormatting>
  <conditionalFormatting sqref="AT507">
    <cfRule type="cellIs" priority="313" operator="greaterThan" dxfId="121">
      <formula>1</formula>
    </cfRule>
  </conditionalFormatting>
  <conditionalFormatting sqref="AT513">
    <cfRule type="cellIs" priority="311" operator="greaterThan" dxfId="121">
      <formula>1</formula>
    </cfRule>
  </conditionalFormatting>
  <conditionalFormatting sqref="AT519">
    <cfRule type="cellIs" priority="309" operator="greaterThan" dxfId="121">
      <formula>1</formula>
    </cfRule>
  </conditionalFormatting>
  <conditionalFormatting sqref="AT525">
    <cfRule type="cellIs" priority="307" operator="greaterThan" dxfId="121">
      <formula>1</formula>
    </cfRule>
  </conditionalFormatting>
  <conditionalFormatting sqref="AT531">
    <cfRule type="cellIs" priority="305" operator="greaterThan" dxfId="121">
      <formula>1</formula>
    </cfRule>
  </conditionalFormatting>
  <conditionalFormatting sqref="AT537">
    <cfRule type="cellIs" priority="303" operator="greaterThan" dxfId="121">
      <formula>1</formula>
    </cfRule>
  </conditionalFormatting>
  <conditionalFormatting sqref="AT543">
    <cfRule type="cellIs" priority="301" operator="greaterThan" dxfId="121">
      <formula>1</formula>
    </cfRule>
  </conditionalFormatting>
  <conditionalFormatting sqref="AT549">
    <cfRule type="cellIs" priority="299" operator="greaterThan" dxfId="121">
      <formula>1</formula>
    </cfRule>
  </conditionalFormatting>
  <conditionalFormatting sqref="AT555">
    <cfRule type="cellIs" priority="297" operator="greaterThan" dxfId="121">
      <formula>1</formula>
    </cfRule>
  </conditionalFormatting>
  <conditionalFormatting sqref="AT561">
    <cfRule type="cellIs" priority="295" operator="greaterThan" dxfId="121">
      <formula>1</formula>
    </cfRule>
  </conditionalFormatting>
  <conditionalFormatting sqref="AT567">
    <cfRule type="cellIs" priority="293" operator="greaterThan" dxfId="121">
      <formula>1</formula>
    </cfRule>
  </conditionalFormatting>
  <conditionalFormatting sqref="AT573">
    <cfRule type="cellIs" priority="292" operator="greaterThan" dxfId="121">
      <formula>1</formula>
    </cfRule>
  </conditionalFormatting>
  <conditionalFormatting sqref="AT579">
    <cfRule type="cellIs" priority="290" operator="greaterThan" dxfId="121">
      <formula>1</formula>
    </cfRule>
  </conditionalFormatting>
  <conditionalFormatting sqref="AT585">
    <cfRule type="cellIs" priority="287" operator="greaterThan" dxfId="121">
      <formula>1</formula>
    </cfRule>
  </conditionalFormatting>
  <conditionalFormatting sqref="AT591">
    <cfRule type="cellIs" priority="285" operator="greaterThan" dxfId="121">
      <formula>1</formula>
    </cfRule>
  </conditionalFormatting>
  <conditionalFormatting sqref="AT597 AT603">
    <cfRule type="cellIs" priority="283" operator="greaterThan" dxfId="121">
      <formula>1</formula>
    </cfRule>
  </conditionalFormatting>
  <conditionalFormatting sqref="AT609 AT615 AT621 AT627">
    <cfRule type="cellIs" priority="281" operator="greaterThan" dxfId="121">
      <formula>1</formula>
    </cfRule>
  </conditionalFormatting>
  <conditionalFormatting sqref="AT780:AT787">
    <cfRule type="cellIs" priority="374" operator="greaterThan" dxfId="121">
      <formula>1</formula>
    </cfRule>
  </conditionalFormatting>
  <conditionalFormatting sqref="AT821:AT856">
    <cfRule type="cellIs" priority="263" operator="greaterThan" dxfId="121">
      <formula>1</formula>
    </cfRule>
  </conditionalFormatting>
  <conditionalFormatting sqref="K561:K565">
    <cfRule type="cellIs" priority="247" operator="lessThan" dxfId="0" stopIfTrue="1">
      <formula>0</formula>
    </cfRule>
  </conditionalFormatting>
  <conditionalFormatting sqref="K417:K421">
    <cfRule type="cellIs" priority="246" operator="lessThan" dxfId="0" stopIfTrue="1">
      <formula>0</formula>
    </cfRule>
  </conditionalFormatting>
  <conditionalFormatting sqref="K405:K408">
    <cfRule type="cellIs" priority="245" operator="lessThan" dxfId="0" stopIfTrue="1">
      <formula>0</formula>
    </cfRule>
  </conditionalFormatting>
  <conditionalFormatting sqref="K395:K398">
    <cfRule type="cellIs" priority="244" operator="lessThan" dxfId="0" stopIfTrue="1">
      <formula>0</formula>
    </cfRule>
  </conditionalFormatting>
  <conditionalFormatting sqref="K400:K403">
    <cfRule type="cellIs" priority="243" operator="lessThan" dxfId="0" stopIfTrue="1">
      <formula>0</formula>
    </cfRule>
  </conditionalFormatting>
  <conditionalFormatting sqref="K390:K393">
    <cfRule type="cellIs" priority="242" operator="lessThan" dxfId="0" stopIfTrue="1">
      <formula>0</formula>
    </cfRule>
  </conditionalFormatting>
  <conditionalFormatting sqref="P390:P393">
    <cfRule type="containsText" priority="238" operator="containsText" dxfId="131" text="VENCIDO">
      <formula>NOT(ISERROR(SEARCH("VENCIDO",P390)))</formula>
    </cfRule>
    <cfRule type="containsText" priority="239" operator="containsText" dxfId="130" text="VERDE">
      <formula>NOT(ISERROR(SEARCH("VERDE",P390)))</formula>
    </cfRule>
    <cfRule type="containsText" priority="240" operator="containsText" dxfId="129" stopIfTrue="1" text="AMARILLO">
      <formula>NOT(ISERROR(SEARCH("AMARILLO",P390)))</formula>
    </cfRule>
    <cfRule type="containsText" priority="241" operator="containsText" dxfId="128" text="ROJO">
      <formula>NOT(ISERROR(SEARCH("ROJO",P390)))</formula>
    </cfRule>
  </conditionalFormatting>
  <conditionalFormatting sqref="P395:P398">
    <cfRule type="containsText" priority="234" operator="containsText" dxfId="131" text="VENCIDO">
      <formula>NOT(ISERROR(SEARCH("VENCIDO",P395)))</formula>
    </cfRule>
    <cfRule type="containsText" priority="235" operator="containsText" dxfId="130" text="VERDE">
      <formula>NOT(ISERROR(SEARCH("VERDE",P395)))</formula>
    </cfRule>
    <cfRule type="containsText" priority="236" operator="containsText" dxfId="129" stopIfTrue="1" text="AMARILLO">
      <formula>NOT(ISERROR(SEARCH("AMARILLO",P395)))</formula>
    </cfRule>
    <cfRule type="containsText" priority="237" operator="containsText" dxfId="128" text="ROJO">
      <formula>NOT(ISERROR(SEARCH("ROJO",P395)))</formula>
    </cfRule>
  </conditionalFormatting>
  <conditionalFormatting sqref="P400:P403">
    <cfRule type="containsText" priority="230" operator="containsText" dxfId="131" text="VENCIDO">
      <formula>NOT(ISERROR(SEARCH("VENCIDO",P400)))</formula>
    </cfRule>
    <cfRule type="containsText" priority="231" operator="containsText" dxfId="130" text="VERDE">
      <formula>NOT(ISERROR(SEARCH("VERDE",P400)))</formula>
    </cfRule>
    <cfRule type="containsText" priority="232" operator="containsText" dxfId="129" stopIfTrue="1" text="AMARILLO">
      <formula>NOT(ISERROR(SEARCH("AMARILLO",P400)))</formula>
    </cfRule>
    <cfRule type="containsText" priority="233" operator="containsText" dxfId="128" text="ROJO">
      <formula>NOT(ISERROR(SEARCH("ROJO",P400)))</formula>
    </cfRule>
  </conditionalFormatting>
  <conditionalFormatting sqref="P405:P408">
    <cfRule type="containsText" priority="226" operator="containsText" dxfId="131" text="VENCIDO">
      <formula>NOT(ISERROR(SEARCH("VENCIDO",P405)))</formula>
    </cfRule>
    <cfRule type="containsText" priority="227" operator="containsText" dxfId="130" text="VERDE">
      <formula>NOT(ISERROR(SEARCH("VERDE",P405)))</formula>
    </cfRule>
    <cfRule type="containsText" priority="228" operator="containsText" dxfId="129" stopIfTrue="1" text="AMARILLO">
      <formula>NOT(ISERROR(SEARCH("AMARILLO",P405)))</formula>
    </cfRule>
    <cfRule type="containsText" priority="229" operator="containsText" dxfId="128" text="ROJO">
      <formula>NOT(ISERROR(SEARCH("ROJO",P405)))</formula>
    </cfRule>
  </conditionalFormatting>
  <conditionalFormatting sqref="K640:K644 K646:K650 K652:K656 K658:K662 K664:K668 K670:K674 K676:K680 K682:K686 K688:K692 K694:K698 K700:K704">
    <cfRule type="cellIs" priority="182"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25"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21" operator="containsText" dxfId="131" text="VENCIDO">
      <formula>NOT(ISERROR(SEARCH("VENCIDO",P19)))</formula>
    </cfRule>
    <cfRule type="containsText" priority="222" operator="containsText" dxfId="130" text="VERDE">
      <formula>NOT(ISERROR(SEARCH("VERDE",P19)))</formula>
    </cfRule>
    <cfRule type="containsText" priority="223" operator="containsText" dxfId="129" stopIfTrue="1" text="AMARILLO">
      <formula>NOT(ISERROR(SEARCH("AMARILLO",P19)))</formula>
    </cfRule>
    <cfRule type="containsText" priority="224" operator="containsText" dxfId="128" text="ROJO">
      <formula>NOT(ISERROR(SEARCH("ROJO",P19)))</formula>
    </cfRule>
  </conditionalFormatting>
  <conditionalFormatting sqref="K230:K234 K236:K240 K242:K246 K248:K252 K254:K258 K260:K264 K266:K270 K272:K276 K278:K282 K284:K288 K290:K294 K296:K300">
    <cfRule type="cellIs" priority="220" operator="lessThan" dxfId="0" stopIfTrue="1">
      <formula>0</formula>
    </cfRule>
  </conditionalFormatting>
  <conditionalFormatting sqref="P230:P234 P236:P240 P242:P246 P248:P252 P254:P258 P260:P264 P266:P270 P272:P276 P278:P282 P284:P288 P290:P294 P296:P300">
    <cfRule type="containsText" priority="216" operator="containsText" dxfId="131" text="VENCIDO">
      <formula>NOT(ISERROR(SEARCH("VENCIDO",P230)))</formula>
    </cfRule>
    <cfRule type="containsText" priority="217" operator="containsText" dxfId="130" text="VERDE">
      <formula>NOT(ISERROR(SEARCH("VERDE",P230)))</formula>
    </cfRule>
    <cfRule type="containsText" priority="218" operator="containsText" dxfId="129" stopIfTrue="1" text="AMARILLO">
      <formula>NOT(ISERROR(SEARCH("AMARILLO",P230)))</formula>
    </cfRule>
    <cfRule type="containsText" priority="219" operator="containsText" dxfId="128" text="ROJO">
      <formula>NOT(ISERROR(SEARCH("ROJO",P230)))</formula>
    </cfRule>
  </conditionalFormatting>
  <conditionalFormatting sqref="K316 K323 K330 K337 K344 K351 K358 K365 K372">
    <cfRule type="containsText" priority="215" operator="containsText" dxfId="8" text="Falso">
      <formula>NOT(ISERROR(SEARCH("Falso",K316)))</formula>
    </cfRule>
  </conditionalFormatting>
  <conditionalFormatting sqref="P310:P315 P317:P322 P324:P329 P331:P336 P338:P343 P345:P350 P352:P357 P359:P364 P366:P371">
    <cfRule type="containsText" priority="211" operator="containsText" dxfId="131" text="VENCIDO">
      <formula>NOT(ISERROR(SEARCH("VENCIDO",P310)))</formula>
    </cfRule>
    <cfRule type="containsText" priority="212" operator="containsText" dxfId="130" text="VERDE">
      <formula>NOT(ISERROR(SEARCH("VERDE",P310)))</formula>
    </cfRule>
    <cfRule type="containsText" priority="213" operator="containsText" dxfId="129" stopIfTrue="1" text="AMARILLO">
      <formula>NOT(ISERROR(SEARCH("AMARILLO",P310)))</formula>
    </cfRule>
    <cfRule type="containsText" priority="214" operator="containsText" dxfId="128" text="ROJO">
      <formula>NOT(ISERROR(SEARCH("ROJO",P310)))</formula>
    </cfRule>
  </conditionalFormatting>
  <conditionalFormatting sqref="K310:K315">
    <cfRule type="cellIs" priority="210" operator="lessThan" dxfId="0" stopIfTrue="1">
      <formula>0</formula>
    </cfRule>
  </conditionalFormatting>
  <conditionalFormatting sqref="K317:K322">
    <cfRule type="cellIs" priority="209" operator="lessThan" dxfId="0" stopIfTrue="1">
      <formula>0</formula>
    </cfRule>
  </conditionalFormatting>
  <conditionalFormatting sqref="K324:K329">
    <cfRule type="cellIs" priority="208" operator="lessThan" dxfId="0" stopIfTrue="1">
      <formula>0</formula>
    </cfRule>
  </conditionalFormatting>
  <conditionalFormatting sqref="K331:K336">
    <cfRule type="cellIs" priority="207" operator="lessThan" dxfId="0" stopIfTrue="1">
      <formula>0</formula>
    </cfRule>
  </conditionalFormatting>
  <conditionalFormatting sqref="K338:K343">
    <cfRule type="cellIs" priority="206" operator="lessThan" dxfId="0" stopIfTrue="1">
      <formula>0</formula>
    </cfRule>
  </conditionalFormatting>
  <conditionalFormatting sqref="K345:K350">
    <cfRule type="cellIs" priority="205" operator="lessThan" dxfId="0" stopIfTrue="1">
      <formula>0</formula>
    </cfRule>
  </conditionalFormatting>
  <conditionalFormatting sqref="K352:K357">
    <cfRule type="cellIs" priority="204" operator="lessThan" dxfId="0" stopIfTrue="1">
      <formula>0</formula>
    </cfRule>
  </conditionalFormatting>
  <conditionalFormatting sqref="K359:K364">
    <cfRule type="cellIs" priority="203" operator="lessThan" dxfId="0" stopIfTrue="1">
      <formula>0</formula>
    </cfRule>
  </conditionalFormatting>
  <conditionalFormatting sqref="K366:K371">
    <cfRule type="cellIs" priority="202"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198" operator="containsText" dxfId="131" text="VENCIDO">
      <formula>NOT(ISERROR(SEARCH("VENCIDO",P423)))</formula>
    </cfRule>
    <cfRule type="containsText" priority="199" operator="containsText" dxfId="130" text="VERDE">
      <formula>NOT(ISERROR(SEARCH("VERDE",P423)))</formula>
    </cfRule>
    <cfRule type="containsText" priority="200" operator="containsText" dxfId="129" stopIfTrue="1" text="AMARILLO">
      <formula>NOT(ISERROR(SEARCH("AMARILLO",P423)))</formula>
    </cfRule>
    <cfRule type="containsText" priority="201"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197" operator="lessThan" dxfId="0" stopIfTrue="1">
      <formula>0</formula>
    </cfRule>
  </conditionalFormatting>
  <conditionalFormatting sqref="P567:P571">
    <cfRule type="containsText" priority="193" operator="containsText" dxfId="131" text="VENCIDO">
      <formula>NOT(ISERROR(SEARCH("VENCIDO",P567)))</formula>
    </cfRule>
    <cfRule type="containsText" priority="194" operator="containsText" dxfId="130" text="VERDE">
      <formula>NOT(ISERROR(SEARCH("VERDE",P567)))</formula>
    </cfRule>
    <cfRule type="containsText" priority="195" operator="containsText" dxfId="129" stopIfTrue="1" text="AMARILLO">
      <formula>NOT(ISERROR(SEARCH("AMARILLO",P567)))</formula>
    </cfRule>
    <cfRule type="containsText" priority="196" operator="containsText" dxfId="128" text="ROJO">
      <formula>NOT(ISERROR(SEARCH("ROJO",P567)))</formula>
    </cfRule>
  </conditionalFormatting>
  <conditionalFormatting sqref="K567:K571">
    <cfRule type="cellIs" priority="192" operator="lessThan" dxfId="0" stopIfTrue="1">
      <formula>0</formula>
    </cfRule>
  </conditionalFormatting>
  <conditionalFormatting sqref="P573:P577 P579:P583 P585:P589 P591:P595 P597:P601 P603:P607 P609:P613 P615:P619 P621:P625 P627:P631">
    <cfRule type="containsText" priority="188" operator="containsText" dxfId="131" text="VENCIDO">
      <formula>NOT(ISERROR(SEARCH("VENCIDO",P573)))</formula>
    </cfRule>
    <cfRule type="containsText" priority="189" operator="containsText" dxfId="130" text="VERDE">
      <formula>NOT(ISERROR(SEARCH("VERDE",P573)))</formula>
    </cfRule>
    <cfRule type="containsText" priority="190" operator="containsText" dxfId="129" stopIfTrue="1" text="AMARILLO">
      <formula>NOT(ISERROR(SEARCH("AMARILLO",P573)))</formula>
    </cfRule>
    <cfRule type="containsText" priority="191" operator="containsText" dxfId="128" text="ROJO">
      <formula>NOT(ISERROR(SEARCH("ROJO",P573)))</formula>
    </cfRule>
  </conditionalFormatting>
  <conditionalFormatting sqref="K573:K577 K579:K583 K585:K589 K591:K595 K597:K601 K603:K607 K609:K613 K615:K619 K621:K625 K627:K631">
    <cfRule type="cellIs" priority="187" operator="lessThan" dxfId="0" stopIfTrue="1">
      <formula>0</formula>
    </cfRule>
  </conditionalFormatting>
  <conditionalFormatting sqref="P634:P638">
    <cfRule type="containsText" priority="183" operator="containsText" dxfId="131" text="VENCIDO">
      <formula>NOT(ISERROR(SEARCH("VENCIDO",P634)))</formula>
    </cfRule>
    <cfRule type="containsText" priority="184" operator="containsText" dxfId="130" text="VERDE">
      <formula>NOT(ISERROR(SEARCH("VERDE",P634)))</formula>
    </cfRule>
    <cfRule type="containsText" priority="185" operator="containsText" dxfId="129" stopIfTrue="1" text="AMARILLO">
      <formula>NOT(ISERROR(SEARCH("AMARILLO",P634)))</formula>
    </cfRule>
    <cfRule type="containsText" priority="186" operator="containsText" dxfId="128" text="ROJO">
      <formula>NOT(ISERROR(SEARCH("ROJO",P634)))</formula>
    </cfRule>
  </conditionalFormatting>
  <conditionalFormatting sqref="P640:P644 P646:P650 P652:P656 P658:P662 P664:P668 P670:P674 P676:P680 P682:P686 P688:P692 P694:P698 P700:P704">
    <cfRule type="containsText" priority="178" operator="containsText" dxfId="131" text="VENCIDO">
      <formula>NOT(ISERROR(SEARCH("VENCIDO",P640)))</formula>
    </cfRule>
    <cfRule type="containsText" priority="179" operator="containsText" dxfId="130" text="VERDE">
      <formula>NOT(ISERROR(SEARCH("VERDE",P640)))</formula>
    </cfRule>
    <cfRule type="containsText" priority="180" operator="containsText" dxfId="129" stopIfTrue="1" text="AMARILLO">
      <formula>NOT(ISERROR(SEARCH("AMARILLO",P640)))</formula>
    </cfRule>
    <cfRule type="containsText" priority="181" operator="containsText" dxfId="128" text="ROJO">
      <formula>NOT(ISERROR(SEARCH("ROJO",P640)))</formula>
    </cfRule>
  </conditionalFormatting>
  <conditionalFormatting sqref="P714:P719">
    <cfRule type="containsText" priority="174" operator="containsText" dxfId="131" text="VENCIDO">
      <formula>NOT(ISERROR(SEARCH("VENCIDO",P714)))</formula>
    </cfRule>
    <cfRule type="containsText" priority="175" operator="containsText" dxfId="130" text="VERDE">
      <formula>NOT(ISERROR(SEARCH("VERDE",P714)))</formula>
    </cfRule>
    <cfRule type="containsText" priority="176" operator="containsText" dxfId="129" stopIfTrue="1" text="AMARILLO">
      <formula>NOT(ISERROR(SEARCH("AMARILLO",P714)))</formula>
    </cfRule>
    <cfRule type="containsText" priority="177" operator="containsText" dxfId="128" text="ROJO">
      <formula>NOT(ISERROR(SEARCH("ROJO",P714)))</formula>
    </cfRule>
  </conditionalFormatting>
  <conditionalFormatting sqref="P721:P726">
    <cfRule type="containsText" priority="170" operator="containsText" dxfId="131" text="VENCIDO">
      <formula>NOT(ISERROR(SEARCH("VENCIDO",P721)))</formula>
    </cfRule>
    <cfRule type="containsText" priority="171" operator="containsText" dxfId="130" text="VERDE">
      <formula>NOT(ISERROR(SEARCH("VERDE",P721)))</formula>
    </cfRule>
    <cfRule type="containsText" priority="172" operator="containsText" dxfId="129" stopIfTrue="1" text="AMARILLO">
      <formula>NOT(ISERROR(SEARCH("AMARILLO",P721)))</formula>
    </cfRule>
    <cfRule type="containsText" priority="173" operator="containsText" dxfId="128" text="ROJO">
      <formula>NOT(ISERROR(SEARCH("ROJO",P721)))</formula>
    </cfRule>
  </conditionalFormatting>
  <conditionalFormatting sqref="P728:P733">
    <cfRule type="containsText" priority="166" operator="containsText" dxfId="131" text="VENCIDO">
      <formula>NOT(ISERROR(SEARCH("VENCIDO",P728)))</formula>
    </cfRule>
    <cfRule type="containsText" priority="167" operator="containsText" dxfId="130" text="VERDE">
      <formula>NOT(ISERROR(SEARCH("VERDE",P728)))</formula>
    </cfRule>
    <cfRule type="containsText" priority="168" operator="containsText" dxfId="129" stopIfTrue="1" text="AMARILLO">
      <formula>NOT(ISERROR(SEARCH("AMARILLO",P728)))</formula>
    </cfRule>
    <cfRule type="containsText" priority="169" operator="containsText" dxfId="128" text="ROJO">
      <formula>NOT(ISERROR(SEARCH("ROJO",P728)))</formula>
    </cfRule>
  </conditionalFormatting>
  <conditionalFormatting sqref="P735:P740">
    <cfRule type="containsText" priority="162" operator="containsText" dxfId="131" text="VENCIDO">
      <formula>NOT(ISERROR(SEARCH("VENCIDO",P735)))</formula>
    </cfRule>
    <cfRule type="containsText" priority="163" operator="containsText" dxfId="130" text="VERDE">
      <formula>NOT(ISERROR(SEARCH("VERDE",P735)))</formula>
    </cfRule>
    <cfRule type="containsText" priority="164" operator="containsText" dxfId="129" stopIfTrue="1" text="AMARILLO">
      <formula>NOT(ISERROR(SEARCH("AMARILLO",P735)))</formula>
    </cfRule>
    <cfRule type="containsText" priority="165" operator="containsText" dxfId="128" text="ROJO">
      <formula>NOT(ISERROR(SEARCH("ROJO",P735)))</formula>
    </cfRule>
  </conditionalFormatting>
  <conditionalFormatting sqref="P742:P747">
    <cfRule type="containsText" priority="158" operator="containsText" dxfId="131" text="VENCIDO">
      <formula>NOT(ISERROR(SEARCH("VENCIDO",P742)))</formula>
    </cfRule>
    <cfRule type="containsText" priority="159" operator="containsText" dxfId="130" text="VERDE">
      <formula>NOT(ISERROR(SEARCH("VERDE",P742)))</formula>
    </cfRule>
    <cfRule type="containsText" priority="160" operator="containsText" dxfId="129" stopIfTrue="1" text="AMARILLO">
      <formula>NOT(ISERROR(SEARCH("AMARILLO",P742)))</formula>
    </cfRule>
    <cfRule type="containsText" priority="161" operator="containsText" dxfId="128" text="ROJO">
      <formula>NOT(ISERROR(SEARCH("ROJO",P742)))</formula>
    </cfRule>
  </conditionalFormatting>
  <conditionalFormatting sqref="P749:P754">
    <cfRule type="containsText" priority="154" operator="containsText" dxfId="131" text="VENCIDO">
      <formula>NOT(ISERROR(SEARCH("VENCIDO",P749)))</formula>
    </cfRule>
    <cfRule type="containsText" priority="155" operator="containsText" dxfId="130" text="VERDE">
      <formula>NOT(ISERROR(SEARCH("VERDE",P749)))</formula>
    </cfRule>
    <cfRule type="containsText" priority="156" operator="containsText" dxfId="129" stopIfTrue="1" text="AMARILLO">
      <formula>NOT(ISERROR(SEARCH("AMARILLO",P749)))</formula>
    </cfRule>
    <cfRule type="containsText" priority="157" operator="containsText" dxfId="128" text="ROJO">
      <formula>NOT(ISERROR(SEARCH("ROJO",P749)))</formula>
    </cfRule>
  </conditionalFormatting>
  <conditionalFormatting sqref="P756:P761">
    <cfRule type="containsText" priority="150" operator="containsText" dxfId="131" text="VENCIDO">
      <formula>NOT(ISERROR(SEARCH("VENCIDO",P756)))</formula>
    </cfRule>
    <cfRule type="containsText" priority="151" operator="containsText" dxfId="130" text="VERDE">
      <formula>NOT(ISERROR(SEARCH("VERDE",P756)))</formula>
    </cfRule>
    <cfRule type="containsText" priority="152" operator="containsText" dxfId="129" stopIfTrue="1" text="AMARILLO">
      <formula>NOT(ISERROR(SEARCH("AMARILLO",P756)))</formula>
    </cfRule>
    <cfRule type="containsText" priority="153" operator="containsText" dxfId="128" text="ROJO">
      <formula>NOT(ISERROR(SEARCH("ROJO",P756)))</formula>
    </cfRule>
  </conditionalFormatting>
  <conditionalFormatting sqref="P763:P768">
    <cfRule type="containsText" priority="146" operator="containsText" dxfId="131" text="VENCIDO">
      <formula>NOT(ISERROR(SEARCH("VENCIDO",P763)))</formula>
    </cfRule>
    <cfRule type="containsText" priority="147" operator="containsText" dxfId="130" text="VERDE">
      <formula>NOT(ISERROR(SEARCH("VERDE",P763)))</formula>
    </cfRule>
    <cfRule type="containsText" priority="148" operator="containsText" dxfId="129" stopIfTrue="1" text="AMARILLO">
      <formula>NOT(ISERROR(SEARCH("AMARILLO",P763)))</formula>
    </cfRule>
    <cfRule type="containsText" priority="149" operator="containsText" dxfId="128" text="ROJO">
      <formula>NOT(ISERROR(SEARCH("ROJO",P763)))</formula>
    </cfRule>
  </conditionalFormatting>
  <conditionalFormatting sqref="P770:P775">
    <cfRule type="containsText" priority="142" operator="containsText" dxfId="131" text="VENCIDO">
      <formula>NOT(ISERROR(SEARCH("VENCIDO",P770)))</formula>
    </cfRule>
    <cfRule type="containsText" priority="143" operator="containsText" dxfId="130" text="VERDE">
      <formula>NOT(ISERROR(SEARCH("VERDE",P770)))</formula>
    </cfRule>
    <cfRule type="containsText" priority="144" operator="containsText" dxfId="129" stopIfTrue="1" text="AMARILLO">
      <formula>NOT(ISERROR(SEARCH("AMARILLO",P770)))</formula>
    </cfRule>
    <cfRule type="containsText" priority="145" operator="containsText" dxfId="128" text="ROJO">
      <formula>NOT(ISERROR(SEARCH("ROJO",P770)))</formula>
    </cfRule>
  </conditionalFormatting>
  <conditionalFormatting sqref="P789:P792">
    <cfRule type="containsText" priority="138" operator="containsText" dxfId="131" text="VENCIDO">
      <formula>NOT(ISERROR(SEARCH("VENCIDO",P789)))</formula>
    </cfRule>
    <cfRule type="containsText" priority="139" operator="containsText" dxfId="130" text="VERDE">
      <formula>NOT(ISERROR(SEARCH("VERDE",P789)))</formula>
    </cfRule>
    <cfRule type="containsText" priority="140" operator="containsText" dxfId="129" stopIfTrue="1" text="AMARILLO">
      <formula>NOT(ISERROR(SEARCH("AMARILLO",P789)))</formula>
    </cfRule>
    <cfRule type="containsText" priority="141" operator="containsText" dxfId="128" text="ROJO">
      <formula>NOT(ISERROR(SEARCH("ROJO",P789)))</formula>
    </cfRule>
  </conditionalFormatting>
  <conditionalFormatting sqref="P794:P797">
    <cfRule type="containsText" priority="134" operator="containsText" dxfId="131" text="VENCIDO">
      <formula>NOT(ISERROR(SEARCH("VENCIDO",P794)))</formula>
    </cfRule>
    <cfRule type="containsText" priority="135" operator="containsText" dxfId="130" text="VERDE">
      <formula>NOT(ISERROR(SEARCH("VERDE",P794)))</formula>
    </cfRule>
    <cfRule type="containsText" priority="136" operator="containsText" dxfId="129" stopIfTrue="1" text="AMARILLO">
      <formula>NOT(ISERROR(SEARCH("AMARILLO",P794)))</formula>
    </cfRule>
    <cfRule type="containsText" priority="137" operator="containsText" dxfId="128" text="ROJO">
      <formula>NOT(ISERROR(SEARCH("ROJO",P794)))</formula>
    </cfRule>
  </conditionalFormatting>
  <conditionalFormatting sqref="P799:P802 P804:P807 P809:P812">
    <cfRule type="containsText" priority="130" operator="containsText" dxfId="131" text="VENCIDO">
      <formula>NOT(ISERROR(SEARCH("VENCIDO",P799)))</formula>
    </cfRule>
    <cfRule type="containsText" priority="131" operator="containsText" dxfId="130" text="VERDE">
      <formula>NOT(ISERROR(SEARCH("VERDE",P799)))</formula>
    </cfRule>
    <cfRule type="containsText" priority="132" operator="containsText" dxfId="129" stopIfTrue="1" text="AMARILLO">
      <formula>NOT(ISERROR(SEARCH("AMARILLO",P799)))</formula>
    </cfRule>
    <cfRule type="containsText" priority="133" operator="containsText" dxfId="128" text="ROJO">
      <formula>NOT(ISERROR(SEARCH("ROJO",P799)))</formula>
    </cfRule>
  </conditionalFormatting>
  <conditionalFormatting sqref="K789:K792">
    <cfRule type="cellIs" priority="129" operator="lessThan" dxfId="0" stopIfTrue="1">
      <formula>0</formula>
    </cfRule>
  </conditionalFormatting>
  <conditionalFormatting sqref="K794:K797">
    <cfRule type="cellIs" priority="128" operator="lessThan" dxfId="0" stopIfTrue="1">
      <formula>0</formula>
    </cfRule>
  </conditionalFormatting>
  <conditionalFormatting sqref="K799:K802">
    <cfRule type="cellIs" priority="127" operator="lessThan" dxfId="0" stopIfTrue="1">
      <formula>0</formula>
    </cfRule>
  </conditionalFormatting>
  <conditionalFormatting sqref="K804:K807">
    <cfRule type="cellIs" priority="126" operator="lessThan" dxfId="0" stopIfTrue="1">
      <formula>0</formula>
    </cfRule>
  </conditionalFormatting>
  <conditionalFormatting sqref="K809:K812">
    <cfRule type="cellIs" priority="125" operator="lessThan" dxfId="0" stopIfTrue="1">
      <formula>0</formula>
    </cfRule>
  </conditionalFormatting>
  <conditionalFormatting sqref="AT789">
    <cfRule type="cellIs" priority="124" operator="greaterThan" dxfId="121">
      <formula>1</formula>
    </cfRule>
  </conditionalFormatting>
  <conditionalFormatting sqref="AT794 AT799 AT804 AT809">
    <cfRule type="cellIs" priority="123" operator="greaterThan" dxfId="121">
      <formula>1</formula>
    </cfRule>
  </conditionalFormatting>
  <conditionalFormatting sqref="E895:G897">
    <cfRule type="cellIs" priority="122" operator="lessThan" dxfId="0" stopIfTrue="1">
      <formula>0</formula>
    </cfRule>
  </conditionalFormatting>
  <conditionalFormatting sqref="K895:K897 M895:N897">
    <cfRule type="cellIs" priority="121" operator="lessThan" dxfId="0" stopIfTrue="1">
      <formula>0</formula>
    </cfRule>
  </conditionalFormatting>
  <conditionalFormatting sqref="K301">
    <cfRule type="containsText" priority="120" operator="containsText" dxfId="8" text="Falso">
      <formula>NOT(ISERROR(SEARCH("Falso",K301)))</formula>
    </cfRule>
  </conditionalFormatting>
  <conditionalFormatting sqref="K295">
    <cfRule type="containsText" priority="119" operator="containsText" dxfId="8" text="Falso">
      <formula>NOT(ISERROR(SEARCH("Falso",K295)))</formula>
    </cfRule>
  </conditionalFormatting>
  <conditionalFormatting sqref="K289">
    <cfRule type="containsText" priority="118" operator="containsText" dxfId="8" text="Falso">
      <formula>NOT(ISERROR(SEARCH("Falso",K289)))</formula>
    </cfRule>
  </conditionalFormatting>
  <conditionalFormatting sqref="K283">
    <cfRule type="containsText" priority="117" operator="containsText" dxfId="8" text="Falso">
      <formula>NOT(ISERROR(SEARCH("Falso",K283)))</formula>
    </cfRule>
  </conditionalFormatting>
  <conditionalFormatting sqref="K277">
    <cfRule type="containsText" priority="116" operator="containsText" dxfId="8" text="Falso">
      <formula>NOT(ISERROR(SEARCH("Falso",K277)))</formula>
    </cfRule>
  </conditionalFormatting>
  <conditionalFormatting sqref="K271">
    <cfRule type="containsText" priority="115" operator="containsText" dxfId="8" text="Falso">
      <formula>NOT(ISERROR(SEARCH("Falso",K271)))</formula>
    </cfRule>
  </conditionalFormatting>
  <conditionalFormatting sqref="K265">
    <cfRule type="containsText" priority="114" operator="containsText" dxfId="8" text="Falso">
      <formula>NOT(ISERROR(SEARCH("Falso",K265)))</formula>
    </cfRule>
  </conditionalFormatting>
  <conditionalFormatting sqref="K259">
    <cfRule type="containsText" priority="113" operator="containsText" dxfId="8" text="Falso">
      <formula>NOT(ISERROR(SEARCH("Falso",K259)))</formula>
    </cfRule>
  </conditionalFormatting>
  <conditionalFormatting sqref="K253">
    <cfRule type="containsText" priority="112" operator="containsText" dxfId="8" text="Falso">
      <formula>NOT(ISERROR(SEARCH("Falso",K253)))</formula>
    </cfRule>
  </conditionalFormatting>
  <conditionalFormatting sqref="K247">
    <cfRule type="containsText" priority="111" operator="containsText" dxfId="8" text="Falso">
      <formula>NOT(ISERROR(SEARCH("Falso",K247)))</formula>
    </cfRule>
  </conditionalFormatting>
  <conditionalFormatting sqref="K235">
    <cfRule type="containsText" priority="110" operator="containsText" dxfId="8" text="Falso">
      <formula>NOT(ISERROR(SEARCH("Falso",K235)))</formula>
    </cfRule>
  </conditionalFormatting>
  <conditionalFormatting sqref="K241">
    <cfRule type="containsText" priority="109" operator="containsText" dxfId="8" text="Falso">
      <formula>NOT(ISERROR(SEARCH("Falso",K241)))</formula>
    </cfRule>
  </conditionalFormatting>
  <conditionalFormatting sqref="K228">
    <cfRule type="containsText" priority="108" operator="containsText" dxfId="8" text="Falso">
      <formula>NOT(ISERROR(SEARCH("Falso",K228)))</formula>
    </cfRule>
  </conditionalFormatting>
  <conditionalFormatting sqref="K222">
    <cfRule type="containsText" priority="107" operator="containsText" dxfId="8" text="Falso">
      <formula>NOT(ISERROR(SEARCH("Falso",K222)))</formula>
    </cfRule>
  </conditionalFormatting>
  <conditionalFormatting sqref="K216">
    <cfRule type="containsText" priority="106" operator="containsText" dxfId="8" text="Falso">
      <formula>NOT(ISERROR(SEARCH("Falso",K216)))</formula>
    </cfRule>
  </conditionalFormatting>
  <conditionalFormatting sqref="K210">
    <cfRule type="containsText" priority="105" operator="containsText" dxfId="8" text="Falso">
      <formula>NOT(ISERROR(SEARCH("Falso",K210)))</formula>
    </cfRule>
  </conditionalFormatting>
  <conditionalFormatting sqref="K204">
    <cfRule type="containsText" priority="104" operator="containsText" dxfId="8" text="Falso">
      <formula>NOT(ISERROR(SEARCH("Falso",K204)))</formula>
    </cfRule>
  </conditionalFormatting>
  <conditionalFormatting sqref="K198">
    <cfRule type="containsText" priority="103" operator="containsText" dxfId="8" text="Falso">
      <formula>NOT(ISERROR(SEARCH("Falso",K198)))</formula>
    </cfRule>
  </conditionalFormatting>
  <conditionalFormatting sqref="K192">
    <cfRule type="containsText" priority="102" operator="containsText" dxfId="8" text="Falso">
      <formula>NOT(ISERROR(SEARCH("Falso",K192)))</formula>
    </cfRule>
  </conditionalFormatting>
  <conditionalFormatting sqref="K186">
    <cfRule type="containsText" priority="101" operator="containsText" dxfId="8" text="Falso">
      <formula>NOT(ISERROR(SEARCH("Falso",K186)))</formula>
    </cfRule>
  </conditionalFormatting>
  <conditionalFormatting sqref="K180">
    <cfRule type="containsText" priority="100" operator="containsText" dxfId="8" text="Falso">
      <formula>NOT(ISERROR(SEARCH("Falso",K180)))</formula>
    </cfRule>
  </conditionalFormatting>
  <conditionalFormatting sqref="K174">
    <cfRule type="containsText" priority="99" operator="containsText" dxfId="8" text="Falso">
      <formula>NOT(ISERROR(SEARCH("Falso",K174)))</formula>
    </cfRule>
  </conditionalFormatting>
  <conditionalFormatting sqref="K168">
    <cfRule type="containsText" priority="98" operator="containsText" dxfId="8" text="Falso">
      <formula>NOT(ISERROR(SEARCH("Falso",K168)))</formula>
    </cfRule>
  </conditionalFormatting>
  <conditionalFormatting sqref="K162">
    <cfRule type="containsText" priority="97" operator="containsText" dxfId="8" text="Falso">
      <formula>NOT(ISERROR(SEARCH("Falso",K162)))</formula>
    </cfRule>
  </conditionalFormatting>
  <conditionalFormatting sqref="K156">
    <cfRule type="containsText" priority="96" operator="containsText" dxfId="8" text="Falso">
      <formula>NOT(ISERROR(SEARCH("Falso",K156)))</formula>
    </cfRule>
  </conditionalFormatting>
  <conditionalFormatting sqref="K150">
    <cfRule type="containsText" priority="95" operator="containsText" dxfId="8" text="Falso">
      <formula>NOT(ISERROR(SEARCH("Falso",K150)))</formula>
    </cfRule>
  </conditionalFormatting>
  <conditionalFormatting sqref="K144">
    <cfRule type="containsText" priority="94" operator="containsText" dxfId="8" text="Falso">
      <formula>NOT(ISERROR(SEARCH("Falso",K144)))</formula>
    </cfRule>
  </conditionalFormatting>
  <conditionalFormatting sqref="K138">
    <cfRule type="containsText" priority="93" operator="containsText" dxfId="8" text="Falso">
      <formula>NOT(ISERROR(SEARCH("Falso",K138)))</formula>
    </cfRule>
  </conditionalFormatting>
  <conditionalFormatting sqref="K132">
    <cfRule type="containsText" priority="92" operator="containsText" dxfId="8" text="Falso">
      <formula>NOT(ISERROR(SEARCH("Falso",K132)))</formula>
    </cfRule>
  </conditionalFormatting>
  <conditionalFormatting sqref="K126">
    <cfRule type="containsText" priority="91" operator="containsText" dxfId="8" text="Falso">
      <formula>NOT(ISERROR(SEARCH("Falso",K126)))</formula>
    </cfRule>
  </conditionalFormatting>
  <conditionalFormatting sqref="K120">
    <cfRule type="containsText" priority="90" operator="containsText" dxfId="8" text="Falso">
      <formula>NOT(ISERROR(SEARCH("Falso",K120)))</formula>
    </cfRule>
  </conditionalFormatting>
  <conditionalFormatting sqref="K114">
    <cfRule type="containsText" priority="89" operator="containsText" dxfId="8" text="Falso">
      <formula>NOT(ISERROR(SEARCH("Falso",K114)))</formula>
    </cfRule>
  </conditionalFormatting>
  <conditionalFormatting sqref="K108">
    <cfRule type="containsText" priority="88" operator="containsText" dxfId="8" text="Falso">
      <formula>NOT(ISERROR(SEARCH("Falso",K108)))</formula>
    </cfRule>
  </conditionalFormatting>
  <conditionalFormatting sqref="K102">
    <cfRule type="containsText" priority="87" operator="containsText" dxfId="8" text="Falso">
      <formula>NOT(ISERROR(SEARCH("Falso",K102)))</formula>
    </cfRule>
  </conditionalFormatting>
  <conditionalFormatting sqref="K96">
    <cfRule type="containsText" priority="86" operator="containsText" dxfId="8" text="Falso">
      <formula>NOT(ISERROR(SEARCH("Falso",K96)))</formula>
    </cfRule>
  </conditionalFormatting>
  <conditionalFormatting sqref="K90">
    <cfRule type="containsText" priority="85" operator="containsText" dxfId="8" text="Falso">
      <formula>NOT(ISERROR(SEARCH("Falso",K90)))</formula>
    </cfRule>
  </conditionalFormatting>
  <conditionalFormatting sqref="K84">
    <cfRule type="containsText" priority="84" operator="containsText" dxfId="8" text="Falso">
      <formula>NOT(ISERROR(SEARCH("Falso",K84)))</formula>
    </cfRule>
  </conditionalFormatting>
  <conditionalFormatting sqref="K78">
    <cfRule type="containsText" priority="83" operator="containsText" dxfId="8" text="Falso">
      <formula>NOT(ISERROR(SEARCH("Falso",K78)))</formula>
    </cfRule>
  </conditionalFormatting>
  <conditionalFormatting sqref="K72">
    <cfRule type="containsText" priority="82" operator="containsText" dxfId="8" text="Falso">
      <formula>NOT(ISERROR(SEARCH("Falso",K72)))</formula>
    </cfRule>
  </conditionalFormatting>
  <conditionalFormatting sqref="K66">
    <cfRule type="containsText" priority="81" operator="containsText" dxfId="8" text="Falso">
      <formula>NOT(ISERROR(SEARCH("Falso",K66)))</formula>
    </cfRule>
  </conditionalFormatting>
  <conditionalFormatting sqref="K60">
    <cfRule type="containsText" priority="80" operator="containsText" dxfId="8" text="Falso">
      <formula>NOT(ISERROR(SEARCH("Falso",K60)))</formula>
    </cfRule>
  </conditionalFormatting>
  <conditionalFormatting sqref="K54">
    <cfRule type="containsText" priority="79" operator="containsText" dxfId="8" text="Falso">
      <formula>NOT(ISERROR(SEARCH("Falso",K54)))</formula>
    </cfRule>
  </conditionalFormatting>
  <conditionalFormatting sqref="K48">
    <cfRule type="containsText" priority="78" operator="containsText" dxfId="8" text="Falso">
      <formula>NOT(ISERROR(SEARCH("Falso",K48)))</formula>
    </cfRule>
  </conditionalFormatting>
  <conditionalFormatting sqref="K42">
    <cfRule type="containsText" priority="77" operator="containsText" dxfId="8" text="Falso">
      <formula>NOT(ISERROR(SEARCH("Falso",K42)))</formula>
    </cfRule>
  </conditionalFormatting>
  <conditionalFormatting sqref="K36">
    <cfRule type="containsText" priority="76" operator="containsText" dxfId="8" text="Falso">
      <formula>NOT(ISERROR(SEARCH("Falso",K36)))</formula>
    </cfRule>
  </conditionalFormatting>
  <conditionalFormatting sqref="K30">
    <cfRule type="containsText" priority="75" operator="containsText" dxfId="8" text="Falso">
      <formula>NOT(ISERROR(SEARCH("Falso",K30)))</formula>
    </cfRule>
  </conditionalFormatting>
  <conditionalFormatting sqref="K24">
    <cfRule type="containsText" priority="74" operator="containsText" dxfId="8" text="Falso">
      <formula>NOT(ISERROR(SEARCH("Falso",K24)))</formula>
    </cfRule>
  </conditionalFormatting>
  <conditionalFormatting sqref="K18">
    <cfRule type="containsText" priority="73" operator="containsText" dxfId="8" text="Falso">
      <formula>NOT(ISERROR(SEARCH("Falso",K18)))</formula>
    </cfRule>
  </conditionalFormatting>
  <conditionalFormatting sqref="K422">
    <cfRule type="containsText" priority="72" operator="containsText" dxfId="8" text="Falso">
      <formula>NOT(ISERROR(SEARCH("Falso",K422)))</formula>
    </cfRule>
  </conditionalFormatting>
  <conditionalFormatting sqref="K428">
    <cfRule type="containsText" priority="71" operator="containsText" dxfId="8" text="Falso">
      <formula>NOT(ISERROR(SEARCH("Falso",K428)))</formula>
    </cfRule>
  </conditionalFormatting>
  <conditionalFormatting sqref="K434">
    <cfRule type="containsText" priority="70" operator="containsText" dxfId="8" text="Falso">
      <formula>NOT(ISERROR(SEARCH("Falso",K434)))</formula>
    </cfRule>
  </conditionalFormatting>
  <conditionalFormatting sqref="K440">
    <cfRule type="containsText" priority="69" operator="containsText" dxfId="8" text="Falso">
      <formula>NOT(ISERROR(SEARCH("Falso",K440)))</formula>
    </cfRule>
  </conditionalFormatting>
  <conditionalFormatting sqref="K446">
    <cfRule type="containsText" priority="68" operator="containsText" dxfId="8" text="Falso">
      <formula>NOT(ISERROR(SEARCH("Falso",K446)))</formula>
    </cfRule>
  </conditionalFormatting>
  <conditionalFormatting sqref="K452">
    <cfRule type="containsText" priority="67" operator="containsText" dxfId="8" text="Falso">
      <formula>NOT(ISERROR(SEARCH("Falso",K452)))</formula>
    </cfRule>
  </conditionalFormatting>
  <conditionalFormatting sqref="K458">
    <cfRule type="containsText" priority="66" operator="containsText" dxfId="8" text="Falso">
      <formula>NOT(ISERROR(SEARCH("Falso",K458)))</formula>
    </cfRule>
  </conditionalFormatting>
  <conditionalFormatting sqref="K464">
    <cfRule type="containsText" priority="65" operator="containsText" dxfId="8" text="Falso">
      <formula>NOT(ISERROR(SEARCH("Falso",K464)))</formula>
    </cfRule>
  </conditionalFormatting>
  <conditionalFormatting sqref="K470">
    <cfRule type="containsText" priority="64" operator="containsText" dxfId="8" text="Falso">
      <formula>NOT(ISERROR(SEARCH("Falso",K470)))</formula>
    </cfRule>
  </conditionalFormatting>
  <conditionalFormatting sqref="K476">
    <cfRule type="containsText" priority="63" operator="containsText" dxfId="8" text="Falso">
      <formula>NOT(ISERROR(SEARCH("Falso",K476)))</formula>
    </cfRule>
  </conditionalFormatting>
  <conditionalFormatting sqref="K482">
    <cfRule type="containsText" priority="62" operator="containsText" dxfId="8" text="Falso">
      <formula>NOT(ISERROR(SEARCH("Falso",K482)))</formula>
    </cfRule>
  </conditionalFormatting>
  <conditionalFormatting sqref="K488">
    <cfRule type="containsText" priority="61" operator="containsText" dxfId="8" text="Falso">
      <formula>NOT(ISERROR(SEARCH("Falso",K488)))</formula>
    </cfRule>
  </conditionalFormatting>
  <conditionalFormatting sqref="K494">
    <cfRule type="containsText" priority="60" operator="containsText" dxfId="8" text="Falso">
      <formula>NOT(ISERROR(SEARCH("Falso",K494)))</formula>
    </cfRule>
  </conditionalFormatting>
  <conditionalFormatting sqref="K500">
    <cfRule type="containsText" priority="59" operator="containsText" dxfId="8" text="Falso">
      <formula>NOT(ISERROR(SEARCH("Falso",K500)))</formula>
    </cfRule>
  </conditionalFormatting>
  <conditionalFormatting sqref="K506">
    <cfRule type="containsText" priority="58" operator="containsText" dxfId="8" text="Falso">
      <formula>NOT(ISERROR(SEARCH("Falso",K506)))</formula>
    </cfRule>
  </conditionalFormatting>
  <conditionalFormatting sqref="K512">
    <cfRule type="containsText" priority="57" operator="containsText" dxfId="8" text="Falso">
      <formula>NOT(ISERROR(SEARCH("Falso",K512)))</formula>
    </cfRule>
  </conditionalFormatting>
  <conditionalFormatting sqref="K518">
    <cfRule type="containsText" priority="56" operator="containsText" dxfId="8" text="Falso">
      <formula>NOT(ISERROR(SEARCH("Falso",K518)))</formula>
    </cfRule>
  </conditionalFormatting>
  <conditionalFormatting sqref="K524">
    <cfRule type="containsText" priority="55" operator="containsText" dxfId="8" text="Falso">
      <formula>NOT(ISERROR(SEARCH("Falso",K524)))</formula>
    </cfRule>
  </conditionalFormatting>
  <conditionalFormatting sqref="K530">
    <cfRule type="containsText" priority="54" operator="containsText" dxfId="8" text="Falso">
      <formula>NOT(ISERROR(SEARCH("Falso",K530)))</formula>
    </cfRule>
  </conditionalFormatting>
  <conditionalFormatting sqref="K536">
    <cfRule type="containsText" priority="53" operator="containsText" dxfId="8" text="Falso">
      <formula>NOT(ISERROR(SEARCH("Falso",K536)))</formula>
    </cfRule>
  </conditionalFormatting>
  <conditionalFormatting sqref="K542">
    <cfRule type="containsText" priority="52" operator="containsText" dxfId="8" text="Falso">
      <formula>NOT(ISERROR(SEARCH("Falso",K542)))</formula>
    </cfRule>
  </conditionalFormatting>
  <conditionalFormatting sqref="K548">
    <cfRule type="containsText" priority="51" operator="containsText" dxfId="8" text="Falso">
      <formula>NOT(ISERROR(SEARCH("Falso",K548)))</formula>
    </cfRule>
  </conditionalFormatting>
  <conditionalFormatting sqref="K554">
    <cfRule type="containsText" priority="50" operator="containsText" dxfId="8" text="Falso">
      <formula>NOT(ISERROR(SEARCH("Falso",K554)))</formula>
    </cfRule>
  </conditionalFormatting>
  <conditionalFormatting sqref="K560">
    <cfRule type="containsText" priority="49" operator="containsText" dxfId="8" text="Falso">
      <formula>NOT(ISERROR(SEARCH("Falso",K560)))</formula>
    </cfRule>
  </conditionalFormatting>
  <conditionalFormatting sqref="K566">
    <cfRule type="containsText" priority="48" operator="containsText" dxfId="8" text="Falso">
      <formula>NOT(ISERROR(SEARCH("Falso",K566)))</formula>
    </cfRule>
  </conditionalFormatting>
  <conditionalFormatting sqref="K572">
    <cfRule type="containsText" priority="47" operator="containsText" dxfId="8" text="Falso">
      <formula>NOT(ISERROR(SEARCH("Falso",K572)))</formula>
    </cfRule>
  </conditionalFormatting>
  <conditionalFormatting sqref="K578">
    <cfRule type="containsText" priority="46" operator="containsText" dxfId="8" text="Falso">
      <formula>NOT(ISERROR(SEARCH("Falso",K578)))</formula>
    </cfRule>
  </conditionalFormatting>
  <conditionalFormatting sqref="K584">
    <cfRule type="containsText" priority="45" operator="containsText" dxfId="8" text="Falso">
      <formula>NOT(ISERROR(SEARCH("Falso",K584)))</formula>
    </cfRule>
  </conditionalFormatting>
  <conditionalFormatting sqref="K590">
    <cfRule type="containsText" priority="44" operator="containsText" dxfId="8" text="Falso">
      <formula>NOT(ISERROR(SEARCH("Falso",K590)))</formula>
    </cfRule>
  </conditionalFormatting>
  <conditionalFormatting sqref="K596">
    <cfRule type="containsText" priority="43" operator="containsText" dxfId="8" text="Falso">
      <formula>NOT(ISERROR(SEARCH("Falso",K596)))</formula>
    </cfRule>
  </conditionalFormatting>
  <conditionalFormatting sqref="K602">
    <cfRule type="containsText" priority="42" operator="containsText" dxfId="8" text="Falso">
      <formula>NOT(ISERROR(SEARCH("Falso",K602)))</formula>
    </cfRule>
  </conditionalFormatting>
  <conditionalFormatting sqref="K608">
    <cfRule type="containsText" priority="41" operator="containsText" dxfId="8" text="Falso">
      <formula>NOT(ISERROR(SEARCH("Falso",K608)))</formula>
    </cfRule>
  </conditionalFormatting>
  <conditionalFormatting sqref="K614">
    <cfRule type="containsText" priority="40" operator="containsText" dxfId="8" text="Falso">
      <formula>NOT(ISERROR(SEARCH("Falso",K614)))</formula>
    </cfRule>
  </conditionalFormatting>
  <conditionalFormatting sqref="K620">
    <cfRule type="containsText" priority="39" operator="containsText" dxfId="8" text="Falso">
      <formula>NOT(ISERROR(SEARCH("Falso",K620)))</formula>
    </cfRule>
  </conditionalFormatting>
  <conditionalFormatting sqref="K626">
    <cfRule type="containsText" priority="38" operator="containsText" dxfId="8" text="Falso">
      <formula>NOT(ISERROR(SEARCH("Falso",K626)))</formula>
    </cfRule>
  </conditionalFormatting>
  <conditionalFormatting sqref="K632">
    <cfRule type="containsText" priority="37" operator="containsText" dxfId="8" text="Falso">
      <formula>NOT(ISERROR(SEARCH("Falso",K632)))</formula>
    </cfRule>
  </conditionalFormatting>
  <conditionalFormatting sqref="K639">
    <cfRule type="containsText" priority="36" operator="containsText" dxfId="8" text="Falso">
      <formula>NOT(ISERROR(SEARCH("Falso",K639)))</formula>
    </cfRule>
  </conditionalFormatting>
  <conditionalFormatting sqref="K645">
    <cfRule type="containsText" priority="35" operator="containsText" dxfId="8" text="Falso">
      <formula>NOT(ISERROR(SEARCH("Falso",K645)))</formula>
    </cfRule>
  </conditionalFormatting>
  <conditionalFormatting sqref="K651">
    <cfRule type="containsText" priority="34" operator="containsText" dxfId="8" text="Falso">
      <formula>NOT(ISERROR(SEARCH("Falso",K651)))</formula>
    </cfRule>
  </conditionalFormatting>
  <conditionalFormatting sqref="K657">
    <cfRule type="containsText" priority="33" operator="containsText" dxfId="8" text="Falso">
      <formula>NOT(ISERROR(SEARCH("Falso",K657)))</formula>
    </cfRule>
  </conditionalFormatting>
  <conditionalFormatting sqref="K663">
    <cfRule type="containsText" priority="32" operator="containsText" dxfId="8" text="Falso">
      <formula>NOT(ISERROR(SEARCH("Falso",K663)))</formula>
    </cfRule>
  </conditionalFormatting>
  <conditionalFormatting sqref="K669">
    <cfRule type="containsText" priority="31" operator="containsText" dxfId="8" text="Falso">
      <formula>NOT(ISERROR(SEARCH("Falso",K669)))</formula>
    </cfRule>
  </conditionalFormatting>
  <conditionalFormatting sqref="K675">
    <cfRule type="containsText" priority="30" operator="containsText" dxfId="8" text="Falso">
      <formula>NOT(ISERROR(SEARCH("Falso",K675)))</formula>
    </cfRule>
  </conditionalFormatting>
  <conditionalFormatting sqref="K681">
    <cfRule type="containsText" priority="29" operator="containsText" dxfId="8" text="Falso">
      <formula>NOT(ISERROR(SEARCH("Falso",K681)))</formula>
    </cfRule>
  </conditionalFormatting>
  <conditionalFormatting sqref="K687">
    <cfRule type="containsText" priority="28" operator="containsText" dxfId="8" text="Falso">
      <formula>NOT(ISERROR(SEARCH("Falso",K687)))</formula>
    </cfRule>
  </conditionalFormatting>
  <conditionalFormatting sqref="K693">
    <cfRule type="containsText" priority="27" operator="containsText" dxfId="8" text="Falso">
      <formula>NOT(ISERROR(SEARCH("Falso",K693)))</formula>
    </cfRule>
  </conditionalFormatting>
  <conditionalFormatting sqref="K699">
    <cfRule type="containsText" priority="26" operator="containsText" dxfId="8" text="Falso">
      <formula>NOT(ISERROR(SEARCH("Falso",K699)))</formula>
    </cfRule>
  </conditionalFormatting>
  <conditionalFormatting sqref="K705">
    <cfRule type="containsText" priority="25" operator="containsText" dxfId="8" text="Falso">
      <formula>NOT(ISERROR(SEARCH("Falso",K705)))</formula>
    </cfRule>
  </conditionalFormatting>
  <conditionalFormatting sqref="K713">
    <cfRule type="containsText" priority="24" operator="containsText" dxfId="8" text="Falso">
      <formula>NOT(ISERROR(SEARCH("Falso",K713)))</formula>
    </cfRule>
  </conditionalFormatting>
  <conditionalFormatting sqref="K720">
    <cfRule type="containsText" priority="23" operator="containsText" dxfId="8" text="Falso">
      <formula>NOT(ISERROR(SEARCH("Falso",K720)))</formula>
    </cfRule>
  </conditionalFormatting>
  <conditionalFormatting sqref="K727">
    <cfRule type="containsText" priority="22" operator="containsText" dxfId="8" text="Falso">
      <formula>NOT(ISERROR(SEARCH("Falso",K727)))</formula>
    </cfRule>
  </conditionalFormatting>
  <conditionalFormatting sqref="K734">
    <cfRule type="containsText" priority="21" operator="containsText" dxfId="8" text="Falso">
      <formula>NOT(ISERROR(SEARCH("Falso",K734)))</formula>
    </cfRule>
  </conditionalFormatting>
  <conditionalFormatting sqref="K741">
    <cfRule type="containsText" priority="20" operator="containsText" dxfId="8" text="Falso">
      <formula>NOT(ISERROR(SEARCH("Falso",K741)))</formula>
    </cfRule>
  </conditionalFormatting>
  <conditionalFormatting sqref="K748">
    <cfRule type="containsText" priority="19" operator="containsText" dxfId="8" text="Falso">
      <formula>NOT(ISERROR(SEARCH("Falso",K748)))</formula>
    </cfRule>
  </conditionalFormatting>
  <conditionalFormatting sqref="K755">
    <cfRule type="containsText" priority="18" operator="containsText" dxfId="8" text="Falso">
      <formula>NOT(ISERROR(SEARCH("Falso",K755)))</formula>
    </cfRule>
  </conditionalFormatting>
  <conditionalFormatting sqref="K762">
    <cfRule type="containsText" priority="17" operator="containsText" dxfId="8" text="Falso">
      <formula>NOT(ISERROR(SEARCH("Falso",K762)))</formula>
    </cfRule>
  </conditionalFormatting>
  <conditionalFormatting sqref="K769">
    <cfRule type="containsText" priority="16" operator="containsText" dxfId="8" text="Falso">
      <formula>NOT(ISERROR(SEARCH("Falso",K769)))</formula>
    </cfRule>
  </conditionalFormatting>
  <conditionalFormatting sqref="K776">
    <cfRule type="containsText" priority="15" operator="containsText" dxfId="8" text="Falso">
      <formula>NOT(ISERROR(SEARCH("Falso",K776)))</formula>
    </cfRule>
  </conditionalFormatting>
  <conditionalFormatting sqref="K793">
    <cfRule type="containsText" priority="14" operator="containsText" dxfId="8" text="Falso">
      <formula>NOT(ISERROR(SEARCH("Falso",K793)))</formula>
    </cfRule>
  </conditionalFormatting>
  <conditionalFormatting sqref="K798">
    <cfRule type="containsText" priority="13" operator="containsText" dxfId="8" text="Falso">
      <formula>NOT(ISERROR(SEARCH("Falso",K798)))</formula>
    </cfRule>
  </conditionalFormatting>
  <conditionalFormatting sqref="K803">
    <cfRule type="containsText" priority="12" operator="containsText" dxfId="8" text="Falso">
      <formula>NOT(ISERROR(SEARCH("Falso",K803)))</formula>
    </cfRule>
  </conditionalFormatting>
  <conditionalFormatting sqref="K808">
    <cfRule type="containsText" priority="11" operator="containsText" dxfId="8" text="Falso">
      <formula>NOT(ISERROR(SEARCH("Falso",K808)))</formula>
    </cfRule>
  </conditionalFormatting>
  <conditionalFormatting sqref="K813">
    <cfRule type="containsText" priority="10" operator="containsText" dxfId="8" text="Falso">
      <formula>NOT(ISERROR(SEARCH("Falso",K813)))</formula>
    </cfRule>
  </conditionalFormatting>
  <conditionalFormatting sqref="O858:O869">
    <cfRule type="cellIs" priority="7" operator="lessThan" dxfId="0" stopIfTrue="1">
      <formula>0</formula>
    </cfRule>
  </conditionalFormatting>
  <conditionalFormatting sqref="O871:O887">
    <cfRule type="cellIs" priority="6" operator="lessThan" dxfId="0" stopIfTrue="1">
      <formula>0</formula>
    </cfRule>
  </conditionalFormatting>
  <conditionalFormatting sqref="O893:O897">
    <cfRule type="cellIs" priority="5" operator="lessThan" dxfId="0" stopIfTrue="1">
      <formula>0</formula>
    </cfRule>
  </conditionalFormatting>
  <conditionalFormatting sqref="L821:L856">
    <cfRule type="cellIs" priority="4" operator="lessThan" dxfId="0" stopIfTrue="1">
      <formula>0</formula>
    </cfRule>
  </conditionalFormatting>
  <conditionalFormatting sqref="L858:L869">
    <cfRule type="cellIs" priority="3" operator="lessThan" dxfId="0" stopIfTrue="1">
      <formula>0</formula>
    </cfRule>
  </conditionalFormatting>
  <conditionalFormatting sqref="L871:L887">
    <cfRule type="cellIs" priority="2" operator="lessThan" dxfId="0" stopIfTrue="1">
      <formula>0</formula>
    </cfRule>
  </conditionalFormatting>
  <conditionalFormatting sqref="L893:L897">
    <cfRule type="cellIs" priority="1" operator="lessThan" dxfId="0" stopIfTrue="1">
      <formula>0</formula>
    </cfRule>
  </conditionalFormatting>
  <dataValidations count="3">
    <dataValidation sqref="C903:C907 C912:C913" showDropDown="0" showInputMessage="1" showErrorMessage="1" allowBlank="1" type="list">
      <formula1>"SI,NO"</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O278:O279 O284:O285 O292" showDropDown="0" showInputMessage="1" showErrorMessage="1" allowBlank="1" errorTitle="INGRESE LA FECHA" error="FECHA DE VENCIMIENTO" type="date" operator="greaterThan">
      <formula1>39083</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xl/worksheets/sheet8.xml><?xml version="1.0" encoding="utf-8"?>
<worksheet xmlns="http://schemas.openxmlformats.org/spreadsheetml/2006/main">
  <sheetPr codeName="Hoja18">
    <tabColor theme="9" tint="0.3999755851924192"/>
    <outlinePr summaryBelow="1" summaryRight="1"/>
    <pageSetUpPr/>
  </sheetPr>
  <dimension ref="A1:AZ919"/>
  <sheetViews>
    <sheetView topLeftCell="A429" zoomScale="70" zoomScaleNormal="70" workbookViewId="0">
      <selection activeCell="M256" sqref="M256"/>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n"/>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748"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496">
        <f>FEBRERO!K13</f>
        <v/>
      </c>
      <c r="E13" s="731" t="n">
        <v>5000</v>
      </c>
      <c r="F13" s="731" t="n"/>
      <c r="G13" s="730">
        <f>E13+F13</f>
        <v/>
      </c>
      <c r="H13" s="731" t="n">
        <v>2110</v>
      </c>
      <c r="I13" s="731" t="n"/>
      <c r="J13" s="732">
        <f>AM13</f>
        <v/>
      </c>
      <c r="K13" s="738">
        <f>+(D13+G13)-(H13+I13+J13)</f>
        <v/>
      </c>
      <c r="L13" s="253">
        <f>1870-940-310</f>
        <v/>
      </c>
      <c r="M13" s="254" t="inlineStr">
        <is>
          <t>0374MA071</t>
        </is>
      </c>
      <c r="N13" s="254" t="inlineStr">
        <is>
          <t>Serum</t>
        </is>
      </c>
      <c r="O13" s="1183" t="inlineStr">
        <is>
          <t>31/12/2026</t>
        </is>
      </c>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inlineStr">
        <is>
          <t>AMAZONAS</t>
        </is>
      </c>
      <c r="AZ13" s="231" t="inlineStr">
        <is>
          <t>ENERO</t>
        </is>
      </c>
    </row>
    <row r="14" ht="18.75" customHeight="1">
      <c r="A14" s="973" t="n"/>
      <c r="B14" s="971" t="n"/>
      <c r="C14" s="972" t="n"/>
      <c r="D14" s="973" t="n"/>
      <c r="E14" s="994" t="n"/>
      <c r="F14" s="994" t="n"/>
      <c r="G14" s="973" t="n"/>
      <c r="H14" s="994" t="n"/>
      <c r="I14" s="994" t="n"/>
      <c r="J14" s="973" t="n"/>
      <c r="K14" s="973" t="n"/>
      <c r="L14" s="253">
        <f>6000-1000-1800</f>
        <v/>
      </c>
      <c r="M14" s="254" t="inlineStr">
        <is>
          <t>0374MA072</t>
        </is>
      </c>
      <c r="N14" s="254" t="inlineStr">
        <is>
          <t>Serum</t>
        </is>
      </c>
      <c r="O14" s="1183" t="inlineStr">
        <is>
          <t>31/12/2026</t>
        </is>
      </c>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inlineStr">
        <is>
          <t>ANTIOQUIA</t>
        </is>
      </c>
      <c r="AZ14" s="231" t="inlineStr">
        <is>
          <t>FEBRERO</t>
        </is>
      </c>
    </row>
    <row r="15" ht="18.75" customHeight="1">
      <c r="A15" s="973" t="n"/>
      <c r="B15" s="971" t="n"/>
      <c r="C15" s="972" t="n"/>
      <c r="D15" s="973" t="n"/>
      <c r="E15" s="994" t="n"/>
      <c r="F15" s="994" t="n"/>
      <c r="G15" s="973" t="n"/>
      <c r="H15" s="994" t="n"/>
      <c r="I15" s="994" t="n"/>
      <c r="J15" s="973" t="n"/>
      <c r="K15" s="973" t="n"/>
      <c r="L15" s="253" t="n">
        <v>5000</v>
      </c>
      <c r="M15" s="254" t="inlineStr">
        <is>
          <t>0374MA082</t>
        </is>
      </c>
      <c r="N15" s="254" t="inlineStr">
        <is>
          <t>Serum</t>
        </is>
      </c>
      <c r="O15" s="1183" t="inlineStr">
        <is>
          <t>31/01/2027</t>
        </is>
      </c>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73"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inlineStr">
        <is>
          <t>ATLANTICO</t>
        </is>
      </c>
      <c r="AZ16" s="231" t="inlineStr">
        <is>
          <t>ABRIL</t>
        </is>
      </c>
    </row>
    <row r="17" ht="18.75" customHeight="1">
      <c r="A17" s="973" t="n"/>
      <c r="B17" s="971" t="n"/>
      <c r="C17" s="972" t="n"/>
      <c r="D17" s="973"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inlineStr">
        <is>
          <t>BARRANQUILLA</t>
        </is>
      </c>
      <c r="AZ17" s="231" t="inlineStr">
        <is>
          <t>MAYO</t>
        </is>
      </c>
    </row>
    <row r="18" ht="18.75" customHeight="1">
      <c r="A18" s="975" t="n"/>
      <c r="B18" s="1182" t="n"/>
      <c r="C18" s="1103" t="n"/>
      <c r="D18" s="975"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JUNIO</t>
        </is>
      </c>
    </row>
    <row r="19" ht="18.75" customHeight="1">
      <c r="A19" s="741">
        <f>A13+1</f>
        <v/>
      </c>
      <c r="B19" s="733" t="inlineStr">
        <is>
          <t>Vacuna de Hepatitis B Recombinante Pediátrica - Liquida</t>
        </is>
      </c>
      <c r="C19" s="965" t="n"/>
      <c r="D19" s="496">
        <f>FEBRERO!K19</f>
        <v/>
      </c>
      <c r="E19" s="731" t="n">
        <v>900</v>
      </c>
      <c r="F19" s="731" t="n"/>
      <c r="G19" s="730">
        <f>E19+F19</f>
        <v/>
      </c>
      <c r="H19" s="731" t="n">
        <v>480</v>
      </c>
      <c r="I19" s="731" t="n"/>
      <c r="J19" s="732">
        <f>AM19</f>
        <v/>
      </c>
      <c r="K19" s="738">
        <f>+(D19+G19)-(H19+I19+J19)</f>
        <v/>
      </c>
      <c r="L19" s="253">
        <f>91-34-10</f>
        <v/>
      </c>
      <c r="M19" s="254" t="inlineStr">
        <is>
          <t>0324L013A</t>
        </is>
      </c>
      <c r="N19" s="254" t="inlineStr">
        <is>
          <t>Serum</t>
        </is>
      </c>
      <c r="O19" s="1183" t="inlineStr">
        <is>
          <t>30/11/2027</t>
        </is>
      </c>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inlineStr">
        <is>
          <t>BOLIVAR</t>
        </is>
      </c>
      <c r="AZ19" s="231" t="inlineStr">
        <is>
          <t>JULIO</t>
        </is>
      </c>
    </row>
    <row r="20" ht="18.75" customHeight="1">
      <c r="A20" s="973" t="n"/>
      <c r="B20" s="971" t="n"/>
      <c r="C20" s="972" t="n"/>
      <c r="D20" s="973" t="n"/>
      <c r="E20" s="994" t="n"/>
      <c r="F20" s="994" t="n"/>
      <c r="G20" s="973" t="n"/>
      <c r="H20" s="994" t="n"/>
      <c r="I20" s="994" t="n"/>
      <c r="J20" s="973" t="n"/>
      <c r="K20" s="973" t="n"/>
      <c r="L20" s="253">
        <f>1750-600-470</f>
        <v/>
      </c>
      <c r="M20" s="254" t="inlineStr">
        <is>
          <t>0324L013B</t>
        </is>
      </c>
      <c r="N20" s="254" t="inlineStr">
        <is>
          <t>Serum</t>
        </is>
      </c>
      <c r="O20" s="1183" t="inlineStr">
        <is>
          <t>30/11/2027</t>
        </is>
      </c>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73" t="n"/>
      <c r="E21" s="994" t="n"/>
      <c r="F21" s="994" t="n"/>
      <c r="G21" s="973" t="n"/>
      <c r="H21" s="994" t="n"/>
      <c r="I21" s="994" t="n"/>
      <c r="J21" s="973" t="n"/>
      <c r="K21" s="973" t="n"/>
      <c r="L21" s="253" t="n">
        <v>900</v>
      </c>
      <c r="M21" s="254" t="inlineStr">
        <is>
          <t>0325Q010B</t>
        </is>
      </c>
      <c r="N21" s="254" t="inlineStr">
        <is>
          <t>Sinovac</t>
        </is>
      </c>
      <c r="O21" s="1183" t="inlineStr">
        <is>
          <t>25/04/2028</t>
        </is>
      </c>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inlineStr">
        <is>
          <t>CARTAGENA</t>
        </is>
      </c>
      <c r="AZ21" s="231" t="inlineStr">
        <is>
          <t>AGOSTO</t>
        </is>
      </c>
    </row>
    <row r="22" ht="18.75" customHeight="1">
      <c r="A22" s="973" t="n"/>
      <c r="B22" s="971" t="n"/>
      <c r="C22" s="972" t="n"/>
      <c r="D22" s="973" t="n"/>
      <c r="E22" s="994" t="n"/>
      <c r="F22" s="994" t="n"/>
      <c r="G22" s="973" t="n"/>
      <c r="H22" s="994" t="n"/>
      <c r="I22" s="994" t="n"/>
      <c r="J22" s="973" t="n"/>
      <c r="K22" s="973" t="n"/>
      <c r="L22" s="253" t="n"/>
      <c r="M22" s="254" t="n"/>
      <c r="N22" s="254" t="n"/>
      <c r="O22" s="1183" t="n"/>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inlineStr">
        <is>
          <t>BOYACA</t>
        </is>
      </c>
      <c r="AZ22" s="231" t="inlineStr">
        <is>
          <t>SEPTIEMBRE</t>
        </is>
      </c>
    </row>
    <row r="23" ht="18.75" customHeight="1">
      <c r="A23" s="973" t="n"/>
      <c r="B23" s="971" t="n"/>
      <c r="C23" s="972" t="n"/>
      <c r="D23" s="973"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inlineStr">
        <is>
          <t>CAQUETA</t>
        </is>
      </c>
      <c r="AZ23" s="231" t="inlineStr">
        <is>
          <t>NOVIEMBRE</t>
        </is>
      </c>
    </row>
    <row r="24" ht="18.75" customHeight="1">
      <c r="A24" s="975" t="n"/>
      <c r="B24" s="1182" t="n"/>
      <c r="C24" s="1103" t="n"/>
      <c r="D24" s="975"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496">
        <f>FEBRERO!K25</f>
        <v/>
      </c>
      <c r="E25" s="731" t="n">
        <v>150</v>
      </c>
      <c r="F25" s="731" t="n"/>
      <c r="G25" s="730">
        <f>E25+F25</f>
        <v/>
      </c>
      <c r="H25" s="731" t="n">
        <v>10</v>
      </c>
      <c r="I25" s="731" t="n"/>
      <c r="J25" s="732">
        <f>AM25</f>
        <v/>
      </c>
      <c r="K25" s="738">
        <f>+(D25+G25)-(H25+I25+J25)</f>
        <v/>
      </c>
      <c r="L25" s="253" t="n">
        <v>140</v>
      </c>
      <c r="M25" s="254" t="inlineStr">
        <is>
          <t>0344X002C</t>
        </is>
      </c>
      <c r="N25" s="254" t="inlineStr">
        <is>
          <t>Serum</t>
        </is>
      </c>
      <c r="O25" s="1183" t="inlineStr">
        <is>
          <t>30/06/2027</t>
        </is>
      </c>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inlineStr">
        <is>
          <t>BOLIVAR</t>
        </is>
      </c>
    </row>
    <row r="26" ht="18.75" customHeight="1">
      <c r="A26" s="973" t="n"/>
      <c r="B26" s="971" t="n"/>
      <c r="C26" s="972" t="n"/>
      <c r="D26" s="973"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73"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inlineStr">
        <is>
          <t>CARTAGENA</t>
        </is>
      </c>
    </row>
    <row r="28" ht="18.75" customHeight="1">
      <c r="A28" s="973" t="n"/>
      <c r="B28" s="971" t="n"/>
      <c r="C28" s="972" t="n"/>
      <c r="D28" s="973"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inlineStr">
        <is>
          <t>BOYACA</t>
        </is>
      </c>
    </row>
    <row r="29" ht="18.75" customHeight="1">
      <c r="A29" s="973" t="n"/>
      <c r="B29" s="971" t="n"/>
      <c r="C29" s="972" t="n"/>
      <c r="D29" s="973"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inlineStr">
        <is>
          <t>CAQUETA</t>
        </is>
      </c>
    </row>
    <row r="30" ht="18.75" customHeight="1">
      <c r="A30" s="975" t="n"/>
      <c r="B30" s="1182" t="n"/>
      <c r="C30" s="1103" t="n"/>
      <c r="D30" s="975"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496">
        <f>FEBRERO!K31</f>
        <v/>
      </c>
      <c r="E31" s="731" t="n">
        <v>7000</v>
      </c>
      <c r="F31" s="731" t="n"/>
      <c r="G31" s="730">
        <f>E31+F31</f>
        <v/>
      </c>
      <c r="H31" s="731" t="n">
        <v>2285</v>
      </c>
      <c r="I31" s="731" t="n"/>
      <c r="J31" s="732">
        <f>AM31</f>
        <v/>
      </c>
      <c r="K31" s="738">
        <f>+(D31+G31)-(H31+I31+J31)</f>
        <v/>
      </c>
      <c r="L31" s="253" t="n">
        <v>7000</v>
      </c>
      <c r="M31" s="254" t="inlineStr">
        <is>
          <t>2526003A</t>
        </is>
      </c>
      <c r="N31" s="254" t="inlineStr">
        <is>
          <t>Bilthoven Biologicals BV</t>
        </is>
      </c>
      <c r="O31" s="1183" t="inlineStr">
        <is>
          <t>12/06/2028</t>
        </is>
      </c>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inlineStr">
        <is>
          <t>CAUCA</t>
        </is>
      </c>
    </row>
    <row r="32" ht="18.75" customHeight="1">
      <c r="A32" s="973" t="n"/>
      <c r="B32" s="971" t="n"/>
      <c r="C32" s="972" t="n"/>
      <c r="D32" s="973" t="n"/>
      <c r="E32" s="994" t="n"/>
      <c r="F32" s="994" t="n"/>
      <c r="G32" s="973" t="n"/>
      <c r="H32" s="994" t="n"/>
      <c r="I32" s="994" t="n"/>
      <c r="J32" s="973" t="n"/>
      <c r="K32" s="973" t="n"/>
      <c r="L32" s="253" t="n">
        <v>9210</v>
      </c>
      <c r="M32" s="254" t="inlineStr">
        <is>
          <t>2522006A</t>
        </is>
      </c>
      <c r="N32" s="254" t="inlineStr">
        <is>
          <t>Bilthoven Biologicals BV</t>
        </is>
      </c>
      <c r="O32" s="1183" t="inlineStr">
        <is>
          <t>25/02/2028</t>
        </is>
      </c>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73" t="n"/>
      <c r="E33" s="994" t="n"/>
      <c r="F33" s="994" t="n"/>
      <c r="G33" s="973" t="n"/>
      <c r="H33" s="994" t="n"/>
      <c r="I33" s="994" t="n"/>
      <c r="J33" s="973" t="n"/>
      <c r="K33" s="973" t="n"/>
      <c r="L33" s="253" t="n"/>
      <c r="M33" s="254" t="n"/>
      <c r="N33" s="254" t="n"/>
      <c r="O33" s="1183" t="n"/>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inlineStr">
        <is>
          <t>CESAR</t>
        </is>
      </c>
    </row>
    <row r="34" ht="18.75" customHeight="1">
      <c r="A34" s="973" t="n"/>
      <c r="B34" s="971" t="n"/>
      <c r="C34" s="972" t="n"/>
      <c r="D34" s="973"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inlineStr">
        <is>
          <t>CHOCO</t>
        </is>
      </c>
    </row>
    <row r="35" ht="18.75" customHeight="1">
      <c r="A35" s="973" t="n"/>
      <c r="B35" s="971" t="n"/>
      <c r="C35" s="972" t="n"/>
      <c r="D35" s="973"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inlineStr">
        <is>
          <t>CORDOBA</t>
        </is>
      </c>
    </row>
    <row r="36" ht="18.75" customHeight="1">
      <c r="A36" s="975" t="n"/>
      <c r="B36" s="1182" t="n"/>
      <c r="C36" s="1103" t="n"/>
      <c r="D36" s="975"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496">
        <f>FEBRERO!K37</f>
        <v/>
      </c>
      <c r="E37" s="731" t="n">
        <v>5500</v>
      </c>
      <c r="F37" s="731" t="n"/>
      <c r="G37" s="730">
        <f>E37+F37</f>
        <v/>
      </c>
      <c r="H37" s="731" t="n">
        <v>1960</v>
      </c>
      <c r="I37" s="731" t="n"/>
      <c r="J37" s="732">
        <f>AM37</f>
        <v/>
      </c>
      <c r="K37" s="738">
        <f>+(D37+G37)-(H37+I37+J37)</f>
        <v/>
      </c>
      <c r="L37" s="253" t="n">
        <v>5500</v>
      </c>
      <c r="M37" s="254" t="inlineStr">
        <is>
          <t>2855X002C</t>
        </is>
      </c>
      <c r="N37" s="254" t="inlineStr">
        <is>
          <t>Serum</t>
        </is>
      </c>
      <c r="O37" s="1183" t="inlineStr">
        <is>
          <t>30/06/2027</t>
        </is>
      </c>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inlineStr">
        <is>
          <t>NARIÑO</t>
        </is>
      </c>
    </row>
    <row r="38" ht="19.5" customHeight="1">
      <c r="A38" s="973" t="n"/>
      <c r="B38" s="971" t="n"/>
      <c r="C38" s="972" t="n"/>
      <c r="D38" s="973" t="n"/>
      <c r="E38" s="994" t="n"/>
      <c r="F38" s="994" t="n"/>
      <c r="G38" s="973" t="n"/>
      <c r="H38" s="994" t="n"/>
      <c r="I38" s="994" t="n"/>
      <c r="J38" s="973" t="n"/>
      <c r="K38" s="973" t="n"/>
      <c r="L38" s="253" t="n">
        <v>3975</v>
      </c>
      <c r="M38" s="254" t="inlineStr">
        <is>
          <t>2855X001A</t>
        </is>
      </c>
      <c r="N38" s="254" t="inlineStr">
        <is>
          <t>Serum</t>
        </is>
      </c>
      <c r="O38" s="1183" t="inlineStr">
        <is>
          <t>30/06/2027</t>
        </is>
      </c>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73" t="n"/>
      <c r="E39" s="994" t="n"/>
      <c r="F39" s="994" t="n"/>
      <c r="G39" s="973" t="n"/>
      <c r="H39" s="994" t="n"/>
      <c r="I39" s="994" t="n"/>
      <c r="J39" s="973" t="n"/>
      <c r="K39" s="973" t="n"/>
      <c r="L39" s="253" t="n"/>
      <c r="M39" s="254" t="n"/>
      <c r="N39" s="254" t="n"/>
      <c r="O39" s="1183" t="n"/>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inlineStr">
        <is>
          <t>NORTE DE SANTANDER</t>
        </is>
      </c>
    </row>
    <row r="40" ht="19.5" customHeight="1">
      <c r="A40" s="973" t="n"/>
      <c r="B40" s="971" t="n"/>
      <c r="C40" s="972" t="n"/>
      <c r="D40" s="973"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73"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inlineStr">
        <is>
          <t>PUTUMAYO</t>
        </is>
      </c>
    </row>
    <row r="42" ht="19.5" customHeight="1">
      <c r="A42" s="975" t="n"/>
      <c r="B42" s="1182" t="n"/>
      <c r="C42" s="1103" t="n"/>
      <c r="D42" s="975"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496">
        <f>FEBRERO!K43</f>
        <v/>
      </c>
      <c r="E43" s="731" t="n">
        <v>20</v>
      </c>
      <c r="F43" s="731" t="n"/>
      <c r="G43" s="730">
        <f>E43+F43</f>
        <v/>
      </c>
      <c r="H43" s="731" t="n">
        <v>6</v>
      </c>
      <c r="I43" s="731" t="n"/>
      <c r="J43" s="732">
        <f>AM43</f>
        <v/>
      </c>
      <c r="K43" s="706">
        <f>+(D43+G43)-(H43+I43+J43)</f>
        <v/>
      </c>
      <c r="L43" s="253" t="n">
        <v>14</v>
      </c>
      <c r="M43" s="254" t="inlineStr">
        <is>
          <t>Y3C49</t>
        </is>
      </c>
      <c r="N43" s="254" t="inlineStr">
        <is>
          <t>Sanofi Pasteur</t>
        </is>
      </c>
      <c r="O43" s="1183" t="inlineStr">
        <is>
          <t>29/02/2028</t>
        </is>
      </c>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inlineStr">
        <is>
          <t>NARIÑO</t>
        </is>
      </c>
    </row>
    <row r="44" ht="19.5" customHeight="1">
      <c r="A44" s="973" t="n"/>
      <c r="B44" s="971" t="n"/>
      <c r="C44" s="972" t="n"/>
      <c r="D44" s="973"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73"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inlineStr">
        <is>
          <t>NORTE DE SANTANDER</t>
        </is>
      </c>
    </row>
    <row r="46" ht="19.5" customHeight="1">
      <c r="A46" s="973" t="n"/>
      <c r="B46" s="971" t="n"/>
      <c r="C46" s="972" t="n"/>
      <c r="D46" s="973"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inlineStr">
        <is>
          <t>PUTUMAYO</t>
        </is>
      </c>
    </row>
    <row r="47" ht="19.5" customHeight="1">
      <c r="A47" s="973" t="n"/>
      <c r="B47" s="971" t="n"/>
      <c r="C47" s="972" t="n"/>
      <c r="D47" s="973"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inlineStr">
        <is>
          <t>QUINDIO</t>
        </is>
      </c>
    </row>
    <row r="48" ht="19.5" customHeight="1">
      <c r="A48" s="975" t="n"/>
      <c r="B48" s="1182" t="n"/>
      <c r="C48" s="1103" t="n"/>
      <c r="D48" s="975"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496">
        <f>FEBRERO!K49</f>
        <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inlineStr">
        <is>
          <t>NARIÑO</t>
        </is>
      </c>
    </row>
    <row r="50" ht="19.5" customHeight="1">
      <c r="A50" s="973" t="n"/>
      <c r="B50" s="971" t="n"/>
      <c r="C50" s="972" t="n"/>
      <c r="D50" s="973"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73"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inlineStr">
        <is>
          <t>NORTE DE SANTANDER</t>
        </is>
      </c>
    </row>
    <row r="52" ht="19.5" customHeight="1">
      <c r="A52" s="973" t="n"/>
      <c r="B52" s="971" t="n"/>
      <c r="C52" s="972" t="n"/>
      <c r="D52" s="973"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inlineStr">
        <is>
          <t>PUTUMAYO</t>
        </is>
      </c>
    </row>
    <row r="53" ht="19.5" customHeight="1">
      <c r="A53" s="973" t="n"/>
      <c r="B53" s="971" t="n"/>
      <c r="C53" s="972" t="n"/>
      <c r="D53" s="973"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inlineStr">
        <is>
          <t>QUINDIO</t>
        </is>
      </c>
    </row>
    <row r="54" ht="19.5" customHeight="1">
      <c r="A54" s="975" t="n"/>
      <c r="B54" s="1182" t="n"/>
      <c r="C54" s="1103" t="n"/>
      <c r="D54" s="975"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496">
        <f>FEBRERO!K55</f>
        <v/>
      </c>
      <c r="E55" s="731" t="n">
        <v>2640</v>
      </c>
      <c r="F55" s="731" t="n"/>
      <c r="G55" s="730">
        <f>E55+F55</f>
        <v/>
      </c>
      <c r="H55" s="731" t="n">
        <v>620</v>
      </c>
      <c r="I55" s="731" t="n"/>
      <c r="J55" s="732">
        <f>AM55</f>
        <v/>
      </c>
      <c r="K55" s="738">
        <f>+(D55+G55)-(H55+I55+J55)</f>
        <v/>
      </c>
      <c r="L55" s="253">
        <f>2070-740-620</f>
        <v/>
      </c>
      <c r="M55" s="254" t="inlineStr">
        <is>
          <t>221100624A</t>
        </is>
      </c>
      <c r="N55" s="254" t="inlineStr">
        <is>
          <t>BIOLÓGICAL E. LÍMITED</t>
        </is>
      </c>
      <c r="O55" s="1183" t="inlineStr">
        <is>
          <t>30/11/2026</t>
        </is>
      </c>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inlineStr">
        <is>
          <t>SANTANDER</t>
        </is>
      </c>
    </row>
    <row r="56" ht="19.5" customHeight="1">
      <c r="A56" s="973" t="n"/>
      <c r="B56" s="971" t="n"/>
      <c r="C56" s="972" t="n"/>
      <c r="D56" s="973" t="n"/>
      <c r="E56" s="994" t="n"/>
      <c r="F56" s="994" t="n"/>
      <c r="G56" s="973" t="n"/>
      <c r="H56" s="994" t="n"/>
      <c r="I56" s="994" t="n"/>
      <c r="J56" s="973" t="n"/>
      <c r="K56" s="973" t="n"/>
      <c r="L56" s="253" t="n">
        <v>2640</v>
      </c>
      <c r="M56" s="254" t="inlineStr">
        <is>
          <t>2825Q005A</t>
        </is>
      </c>
      <c r="N56" s="254" t="inlineStr">
        <is>
          <t>Serum</t>
        </is>
      </c>
      <c r="O56" s="1183" t="inlineStr">
        <is>
          <t>28/02/2027</t>
        </is>
      </c>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73"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inlineStr">
        <is>
          <t>SUCRE</t>
        </is>
      </c>
    </row>
    <row r="58" ht="19.5" customHeight="1">
      <c r="A58" s="973" t="n"/>
      <c r="B58" s="971" t="n"/>
      <c r="C58" s="972" t="n"/>
      <c r="D58" s="973"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inlineStr">
        <is>
          <t>TOLIMA</t>
        </is>
      </c>
    </row>
    <row r="59" ht="19.5" customHeight="1">
      <c r="A59" s="973" t="n"/>
      <c r="B59" s="971" t="n"/>
      <c r="C59" s="972" t="n"/>
      <c r="D59" s="973"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inlineStr">
        <is>
          <t>VALLE</t>
        </is>
      </c>
    </row>
    <row r="60" ht="19.5" customHeight="1">
      <c r="A60" s="975" t="n"/>
      <c r="B60" s="971" t="n"/>
      <c r="C60" s="972" t="n"/>
      <c r="D60" s="975"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496">
        <f>FEBRERO!K61</f>
        <v/>
      </c>
      <c r="E61" s="731" t="n">
        <v>20</v>
      </c>
      <c r="F61" s="731" t="n"/>
      <c r="G61" s="730">
        <f>E61+F61</f>
        <v/>
      </c>
      <c r="H61" s="731" t="n">
        <v>3</v>
      </c>
      <c r="I61" s="731" t="n"/>
      <c r="J61" s="732">
        <f>AM61</f>
        <v/>
      </c>
      <c r="K61" s="738">
        <f>+(D61+G61)-(H61+I61+J61)</f>
        <v/>
      </c>
      <c r="L61" s="253" t="n">
        <v>18</v>
      </c>
      <c r="M61" s="254" t="inlineStr">
        <is>
          <t>4CA34C1</t>
        </is>
      </c>
      <c r="N61" s="254" t="inlineStr">
        <is>
          <t>Sanofi Pasteur</t>
        </is>
      </c>
      <c r="O61" s="1183" t="inlineStr">
        <is>
          <t>31/05/2027</t>
        </is>
      </c>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inlineStr">
        <is>
          <t>VICHADA</t>
        </is>
      </c>
    </row>
    <row r="62" ht="19.5" customHeight="1">
      <c r="A62" s="973" t="n"/>
      <c r="B62" s="971" t="n"/>
      <c r="C62" s="972" t="n"/>
      <c r="D62" s="973"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73"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73"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73"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75"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496">
        <f>FEBRERO!K67</f>
        <v/>
      </c>
      <c r="E67" s="731" t="n">
        <v>3300</v>
      </c>
      <c r="F67" s="731" t="n"/>
      <c r="G67" s="730">
        <f>E67+F67</f>
        <v/>
      </c>
      <c r="H67" s="731" t="n">
        <v>970</v>
      </c>
      <c r="I67" s="731" t="n"/>
      <c r="J67" s="732">
        <f>AM67</f>
        <v/>
      </c>
      <c r="K67" s="738">
        <f>+(D67+G67)-(H67+I67+J67)</f>
        <v/>
      </c>
      <c r="L67" s="253" t="n">
        <v>8</v>
      </c>
      <c r="M67" s="254" t="inlineStr">
        <is>
          <t>AROLE197AB</t>
        </is>
      </c>
      <c r="N67" s="254" t="inlineStr">
        <is>
          <t>Glaxo SmithKline</t>
        </is>
      </c>
      <c r="O67" s="1183" t="inlineStr">
        <is>
          <t>28/02/2027</t>
        </is>
      </c>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73" t="n"/>
      <c r="E68" s="994" t="n"/>
      <c r="F68" s="994" t="n"/>
      <c r="G68" s="973" t="n"/>
      <c r="H68" s="994" t="n"/>
      <c r="I68" s="994" t="n"/>
      <c r="J68" s="973" t="n"/>
      <c r="K68" s="973" t="n"/>
      <c r="L68" s="253">
        <f>2100-980-790</f>
        <v/>
      </c>
      <c r="M68" s="254" t="inlineStr">
        <is>
          <t>AROLE203AC</t>
        </is>
      </c>
      <c r="N68" s="254" t="inlineStr">
        <is>
          <t>Glaxo SmithKline</t>
        </is>
      </c>
      <c r="O68" s="1183" t="inlineStr">
        <is>
          <t>31/03/2027</t>
        </is>
      </c>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73" t="n"/>
      <c r="E69" s="994" t="n"/>
      <c r="F69" s="994" t="n"/>
      <c r="G69" s="973" t="n"/>
      <c r="H69" s="994" t="n"/>
      <c r="I69" s="994" t="n"/>
      <c r="J69" s="973" t="n"/>
      <c r="K69" s="973" t="n"/>
      <c r="L69" s="253">
        <f>3300-150</f>
        <v/>
      </c>
      <c r="M69" s="254" t="inlineStr">
        <is>
          <t>AROLE419AA</t>
        </is>
      </c>
      <c r="N69" s="254" t="inlineStr">
        <is>
          <t>Glaxo SmithKline</t>
        </is>
      </c>
      <c r="O69" s="1183" t="inlineStr">
        <is>
          <t>30/09/2027</t>
        </is>
      </c>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73"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73"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75"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496">
        <f>FEBRERO!K73</f>
        <v/>
      </c>
      <c r="E73" s="731" t="n">
        <v>5000</v>
      </c>
      <c r="F73" s="731" t="n"/>
      <c r="G73" s="730">
        <f>E73+F73</f>
        <v/>
      </c>
      <c r="H73" s="731" t="n">
        <v>1400</v>
      </c>
      <c r="I73" s="731" t="n"/>
      <c r="J73" s="732">
        <f>AM73</f>
        <v/>
      </c>
      <c r="K73" s="738">
        <f>+(D73+G73)-(H73+I73+J73)</f>
        <v/>
      </c>
      <c r="L73" s="253">
        <f>3835-990-1400</f>
        <v/>
      </c>
      <c r="M73" s="254" t="inlineStr">
        <is>
          <t>LK3156</t>
        </is>
      </c>
      <c r="N73" s="254" t="inlineStr">
        <is>
          <t>PFIZER</t>
        </is>
      </c>
      <c r="O73" s="1183" t="inlineStr">
        <is>
          <t>31/05/2027</t>
        </is>
      </c>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73" t="n"/>
      <c r="E74" s="994" t="n"/>
      <c r="F74" s="994" t="n"/>
      <c r="G74" s="973" t="n"/>
      <c r="H74" s="994" t="n"/>
      <c r="I74" s="994" t="n"/>
      <c r="J74" s="973" t="n"/>
      <c r="K74" s="973" t="n"/>
      <c r="L74" s="253" t="n">
        <v>5000</v>
      </c>
      <c r="M74" s="254" t="inlineStr">
        <is>
          <t>LR6371</t>
        </is>
      </c>
      <c r="N74" s="254" t="inlineStr">
        <is>
          <t>PFIZER</t>
        </is>
      </c>
      <c r="O74" s="1183" t="inlineStr">
        <is>
          <t>30/09/2027</t>
        </is>
      </c>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73" t="n"/>
      <c r="E75" s="994" t="n"/>
      <c r="F75" s="994" t="n"/>
      <c r="G75" s="973" t="n"/>
      <c r="H75" s="994" t="n"/>
      <c r="I75" s="994" t="n"/>
      <c r="J75" s="973" t="n"/>
      <c r="K75" s="973" t="n"/>
      <c r="L75" s="253" t="n"/>
      <c r="M75" s="254" t="n"/>
      <c r="N75" s="254" t="n"/>
      <c r="O75" s="1183" t="n"/>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73"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73"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75"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496">
        <f>FEBRERO!K79</f>
        <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73"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73"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73"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73"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75"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496">
        <f>FEBRERO!K85</f>
        <v/>
      </c>
      <c r="E85" s="731" t="n">
        <v>3000</v>
      </c>
      <c r="F85" s="731" t="n"/>
      <c r="G85" s="730">
        <f>E85+F85</f>
        <v/>
      </c>
      <c r="H85" s="731" t="n">
        <v>1080</v>
      </c>
      <c r="I85" s="731" t="n"/>
      <c r="J85" s="732">
        <f>AM85</f>
        <v/>
      </c>
      <c r="K85" s="738">
        <f>+(D85+G85)-(H85+I85+J85)</f>
        <v/>
      </c>
      <c r="L85" s="253">
        <f>823-780</f>
        <v/>
      </c>
      <c r="M85" s="254" t="inlineStr">
        <is>
          <t>0133N146B</t>
        </is>
      </c>
      <c r="N85" s="254" t="inlineStr">
        <is>
          <t>Serum</t>
        </is>
      </c>
      <c r="O85" s="1183" t="inlineStr">
        <is>
          <t>30/09/2026</t>
        </is>
      </c>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73" t="n"/>
      <c r="E86" s="994" t="n"/>
      <c r="F86" s="994" t="n"/>
      <c r="G86" s="973" t="n"/>
      <c r="H86" s="994" t="n"/>
      <c r="I86" s="994" t="n"/>
      <c r="J86" s="973" t="n"/>
      <c r="K86" s="973" t="n"/>
      <c r="L86" s="253" t="n">
        <v>5000</v>
      </c>
      <c r="M86" s="254" t="inlineStr">
        <is>
          <t>0134N093A</t>
        </is>
      </c>
      <c r="N86" s="254" t="inlineStr">
        <is>
          <t>Serum</t>
        </is>
      </c>
      <c r="O86" s="1183" t="inlineStr">
        <is>
          <t>30/04/2027</t>
        </is>
      </c>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73" t="n"/>
      <c r="E87" s="994" t="n"/>
      <c r="F87" s="994" t="n"/>
      <c r="G87" s="973" t="n"/>
      <c r="H87" s="994" t="n"/>
      <c r="I87" s="994" t="n"/>
      <c r="J87" s="973" t="n"/>
      <c r="K87" s="973" t="n"/>
      <c r="L87" s="253">
        <f>5000-300</f>
        <v/>
      </c>
      <c r="M87" s="254" t="inlineStr">
        <is>
          <t>0134N096A</t>
        </is>
      </c>
      <c r="N87" s="254" t="inlineStr">
        <is>
          <t>Serum</t>
        </is>
      </c>
      <c r="O87" s="1183" t="inlineStr">
        <is>
          <t>30/04/2027</t>
        </is>
      </c>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73" t="n"/>
      <c r="E88" s="994" t="n"/>
      <c r="F88" s="994" t="n"/>
      <c r="G88" s="973" t="n"/>
      <c r="H88" s="994" t="n"/>
      <c r="I88" s="994" t="n"/>
      <c r="J88" s="973" t="n"/>
      <c r="K88" s="973" t="n"/>
      <c r="L88" s="253" t="n">
        <v>3000</v>
      </c>
      <c r="M88" s="254" t="inlineStr">
        <is>
          <t>0135AB117</t>
        </is>
      </c>
      <c r="N88" s="254" t="inlineStr">
        <is>
          <t>Serum</t>
        </is>
      </c>
      <c r="O88" s="1183" t="inlineStr">
        <is>
          <t>31/12/2027</t>
        </is>
      </c>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73"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75"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496">
        <f>FEBRERO!K91</f>
        <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73"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73"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73"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73"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75"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496">
        <f>FEBRERO!K97</f>
        <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73"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73"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73"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73"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75"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496">
        <f>FEBRERO!K103</f>
        <v/>
      </c>
      <c r="E103" s="731" t="n">
        <v>500</v>
      </c>
      <c r="F103" s="731" t="n"/>
      <c r="G103" s="730">
        <f>E103+F103</f>
        <v/>
      </c>
      <c r="H103" s="731" t="n">
        <v>2622</v>
      </c>
      <c r="I103" s="731" t="n"/>
      <c r="J103" s="732">
        <f>AM103</f>
        <v/>
      </c>
      <c r="K103" s="738">
        <f>+(D103+G103)-(H103+I103+J103)</f>
        <v/>
      </c>
      <c r="L103" s="253" t="n"/>
      <c r="M103" s="254" t="n"/>
      <c r="N103" s="254" t="n"/>
      <c r="O103" s="1183" t="n"/>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73" t="n"/>
      <c r="E104" s="994" t="n"/>
      <c r="F104" s="994" t="n"/>
      <c r="G104" s="973" t="n"/>
      <c r="H104" s="994" t="n"/>
      <c r="I104" s="994" t="n"/>
      <c r="J104" s="973" t="n"/>
      <c r="K104" s="973" t="n"/>
      <c r="L104" s="253">
        <f>1235-1180</f>
        <v/>
      </c>
      <c r="M104" s="254" t="inlineStr">
        <is>
          <t>0094W003</t>
        </is>
      </c>
      <c r="N104" s="254" t="inlineStr">
        <is>
          <t>Serum</t>
        </is>
      </c>
      <c r="O104" s="1183" t="inlineStr">
        <is>
          <t>31/01/2027</t>
        </is>
      </c>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73" t="n"/>
      <c r="E105" s="994" t="n"/>
      <c r="F105" s="994" t="n"/>
      <c r="G105" s="973" t="n"/>
      <c r="H105" s="994" t="n"/>
      <c r="I105" s="994" t="n"/>
      <c r="J105" s="973" t="n"/>
      <c r="K105" s="973" t="n"/>
      <c r="L105" s="253">
        <f>500-200</f>
        <v/>
      </c>
      <c r="M105" s="254" t="inlineStr">
        <is>
          <t>0095M002</t>
        </is>
      </c>
      <c r="N105" s="254" t="inlineStr">
        <is>
          <t>Serum</t>
        </is>
      </c>
      <c r="O105" s="1183" t="inlineStr">
        <is>
          <t>30/11/2027</t>
        </is>
      </c>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73"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73"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75"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496">
        <f>FEBRERO!K109</f>
        <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73"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73"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73"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73"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75"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496">
        <f>FEBRERO!K115</f>
        <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73"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73"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73"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73"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75"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496">
        <f>FEBRERO!K121</f>
        <v/>
      </c>
      <c r="E121" s="731" t="n"/>
      <c r="F121" s="731" t="n"/>
      <c r="G121" s="730">
        <f>E121+F121</f>
        <v/>
      </c>
      <c r="H121" s="731" t="n">
        <v>1200</v>
      </c>
      <c r="I121" s="731" t="n"/>
      <c r="J121" s="732">
        <f>AM121</f>
        <v/>
      </c>
      <c r="K121" s="738">
        <f>+(D121+G121)-(H121+I121+J121)</f>
        <v/>
      </c>
      <c r="L121" s="253">
        <f>11400-2800-1200</f>
        <v/>
      </c>
      <c r="M121" s="254" t="inlineStr">
        <is>
          <t>Y3D32</t>
        </is>
      </c>
      <c r="N121" s="254" t="inlineStr">
        <is>
          <t>Sanofi Pasteur</t>
        </is>
      </c>
      <c r="O121" s="1183" t="inlineStr">
        <is>
          <t>30/04/2027</t>
        </is>
      </c>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73" t="n"/>
      <c r="E122" s="994" t="n"/>
      <c r="F122" s="994" t="n"/>
      <c r="G122" s="973" t="n"/>
      <c r="H122" s="994" t="n"/>
      <c r="I122" s="994" t="n"/>
      <c r="J122" s="973" t="n"/>
      <c r="K122" s="973" t="n"/>
      <c r="L122" s="253" t="n">
        <v>30000</v>
      </c>
      <c r="M122" s="254" t="inlineStr">
        <is>
          <t>Y3H33</t>
        </is>
      </c>
      <c r="N122" s="254" t="inlineStr">
        <is>
          <t>Sanofi Pasteur</t>
        </is>
      </c>
      <c r="O122" s="1183" t="inlineStr">
        <is>
          <t>31/08/2027</t>
        </is>
      </c>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73" t="n"/>
      <c r="E123" s="994" t="n"/>
      <c r="F123" s="994" t="n"/>
      <c r="G123" s="973" t="n"/>
      <c r="H123" s="994" t="n"/>
      <c r="I123" s="994" t="n"/>
      <c r="J123" s="973" t="n"/>
      <c r="K123" s="973" t="n"/>
      <c r="L123" s="253" t="n"/>
      <c r="M123" s="254" t="n"/>
      <c r="N123" s="254" t="n"/>
      <c r="O123" s="1183" t="n"/>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73"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73"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75"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496">
        <f>FEBRERO!K127</f>
        <v/>
      </c>
      <c r="E127" s="731" t="n">
        <v>1500</v>
      </c>
      <c r="F127" s="731" t="n"/>
      <c r="G127" s="730">
        <f>E127+F127</f>
        <v/>
      </c>
      <c r="H127" s="731" t="n">
        <v>320</v>
      </c>
      <c r="I127" s="731" t="n"/>
      <c r="J127" s="732">
        <f>AM127</f>
        <v/>
      </c>
      <c r="K127" s="738">
        <f>+(D127+G127)-(H127+I127+J127)</f>
        <v/>
      </c>
      <c r="L127" s="253">
        <f>950-500</f>
        <v/>
      </c>
      <c r="M127" s="254" t="inlineStr">
        <is>
          <t>AB202403009</t>
        </is>
      </c>
      <c r="N127" s="254" t="inlineStr">
        <is>
          <t>Sinovac</t>
        </is>
      </c>
      <c r="O127" s="1183" t="inlineStr">
        <is>
          <t>04/09/2027</t>
        </is>
      </c>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73" t="n"/>
      <c r="E128" s="994" t="n"/>
      <c r="F128" s="994" t="n"/>
      <c r="G128" s="973" t="n"/>
      <c r="H128" s="994" t="n"/>
      <c r="I128" s="994" t="n"/>
      <c r="J128" s="973" t="n"/>
      <c r="K128" s="973" t="n"/>
      <c r="L128" s="253">
        <f>1715-350-320</f>
        <v/>
      </c>
      <c r="M128" s="254" t="inlineStr">
        <is>
          <t>AB202404013</t>
        </is>
      </c>
      <c r="N128" s="254" t="inlineStr">
        <is>
          <t>Sinovac</t>
        </is>
      </c>
      <c r="O128" s="1183" t="inlineStr">
        <is>
          <t>21/10/2027</t>
        </is>
      </c>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73" t="n"/>
      <c r="E129" s="994" t="n"/>
      <c r="F129" s="994" t="n"/>
      <c r="G129" s="973" t="n"/>
      <c r="H129" s="994" t="n"/>
      <c r="I129" s="994" t="n"/>
      <c r="J129" s="973" t="n"/>
      <c r="K129" s="973" t="n"/>
      <c r="L129" s="253" t="n">
        <v>1500</v>
      </c>
      <c r="M129" s="254" t="inlineStr">
        <is>
          <t>AB202410043</t>
        </is>
      </c>
      <c r="N129" s="254" t="inlineStr">
        <is>
          <t>Sinovac</t>
        </is>
      </c>
      <c r="O129" s="1183" t="inlineStr">
        <is>
          <t>25/04/2028</t>
        </is>
      </c>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73"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73"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75"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496">
        <f>FEBRERO!K133</f>
        <v/>
      </c>
      <c r="E133" s="731" t="n">
        <v>2400</v>
      </c>
      <c r="F133" s="731" t="n"/>
      <c r="G133" s="730">
        <f>E133+F133</f>
        <v/>
      </c>
      <c r="H133" s="731" t="n">
        <v>870</v>
      </c>
      <c r="I133" s="731" t="n"/>
      <c r="J133" s="732">
        <f>AM133</f>
        <v/>
      </c>
      <c r="K133" s="738">
        <f>+(D133+G133)-(H133+I133+J133)</f>
        <v/>
      </c>
      <c r="L133" s="253">
        <f>3705-510-870</f>
        <v/>
      </c>
      <c r="M133" s="254" t="inlineStr">
        <is>
          <t>BB202506051</t>
        </is>
      </c>
      <c r="N133" s="254" t="inlineStr">
        <is>
          <t>Sinovac</t>
        </is>
      </c>
      <c r="O133" s="1183" t="inlineStr">
        <is>
          <t>12/06/2027</t>
        </is>
      </c>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73" t="n"/>
      <c r="E134" s="994" t="n"/>
      <c r="F134" s="994" t="n"/>
      <c r="G134" s="973" t="n"/>
      <c r="H134" s="994" t="n"/>
      <c r="I134" s="994" t="n"/>
      <c r="J134" s="973" t="n"/>
      <c r="K134" s="973" t="n"/>
      <c r="L134" s="253" t="n">
        <v>2400</v>
      </c>
      <c r="M134" s="254" t="inlineStr">
        <is>
          <t>BB202506052</t>
        </is>
      </c>
      <c r="N134" s="254" t="inlineStr">
        <is>
          <t>Sinovac</t>
        </is>
      </c>
      <c r="O134" s="1183" t="inlineStr">
        <is>
          <t>16/06/2027</t>
        </is>
      </c>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73" t="n"/>
      <c r="E135" s="994" t="n"/>
      <c r="F135" s="994" t="n"/>
      <c r="G135" s="973" t="n"/>
      <c r="H135" s="994" t="n"/>
      <c r="I135" s="994" t="n"/>
      <c r="J135" s="973" t="n"/>
      <c r="K135" s="973" t="n"/>
      <c r="L135" s="253" t="n"/>
      <c r="M135" s="254" t="n"/>
      <c r="N135" s="254" t="n"/>
      <c r="O135" s="1183" t="n"/>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73"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73"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75"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496">
        <f>FEBRERO!K139</f>
        <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73"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73"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73"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73"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75"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496">
        <f>FEBRERO!K145</f>
        <v/>
      </c>
      <c r="E145" s="731" t="n">
        <v>3000</v>
      </c>
      <c r="F145" s="731" t="n"/>
      <c r="G145" s="730">
        <f>E145+F145</f>
        <v/>
      </c>
      <c r="H145" s="731" t="n">
        <v>900</v>
      </c>
      <c r="I145" s="731" t="n"/>
      <c r="J145" s="732">
        <f>AM145</f>
        <v/>
      </c>
      <c r="K145" s="738">
        <f>+(D145+G145)-(H145+I145+J145)</f>
        <v/>
      </c>
      <c r="L145" s="253">
        <f>4330-620-900</f>
        <v/>
      </c>
      <c r="M145" s="254" t="inlineStr">
        <is>
          <t>2334L016E</t>
        </is>
      </c>
      <c r="N145" s="254" t="inlineStr">
        <is>
          <t>Serum</t>
        </is>
      </c>
      <c r="O145" s="1183" t="inlineStr">
        <is>
          <t>31/03/2027</t>
        </is>
      </c>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73" t="n"/>
      <c r="E146" s="994" t="n"/>
      <c r="F146" s="994" t="n"/>
      <c r="G146" s="973" t="n"/>
      <c r="H146" s="994" t="n"/>
      <c r="I146" s="994" t="n"/>
      <c r="J146" s="973" t="n"/>
      <c r="K146" s="973" t="n"/>
      <c r="L146" s="253" t="n">
        <v>3000</v>
      </c>
      <c r="M146" s="254" t="inlineStr">
        <is>
          <t>2335L013D</t>
        </is>
      </c>
      <c r="N146" s="254" t="inlineStr">
        <is>
          <t>Serum</t>
        </is>
      </c>
      <c r="O146" s="1183" t="inlineStr">
        <is>
          <t>30/04/2028</t>
        </is>
      </c>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73"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73"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73"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75"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496">
        <f>FEBRERO!K151</f>
        <v/>
      </c>
      <c r="E151" s="731" t="n">
        <v>2880</v>
      </c>
      <c r="F151" s="731" t="n"/>
      <c r="G151" s="730">
        <f>E151+F151</f>
        <v/>
      </c>
      <c r="H151" s="731" t="n">
        <v>470</v>
      </c>
      <c r="I151" s="731" t="n"/>
      <c r="J151" s="732">
        <f>AM151</f>
        <v/>
      </c>
      <c r="K151" s="738">
        <f>+(D151+G151)-(H151+I151+J151)</f>
        <v/>
      </c>
      <c r="L151" s="253">
        <f>2880-470</f>
        <v/>
      </c>
      <c r="M151" s="254" t="inlineStr">
        <is>
          <t>5DA79D1</t>
        </is>
      </c>
      <c r="N151" s="254" t="inlineStr">
        <is>
          <t>Sanofi Pasteur</t>
        </is>
      </c>
      <c r="O151" s="1183" t="inlineStr">
        <is>
          <t>30/09/2028</t>
        </is>
      </c>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73" t="n"/>
      <c r="E152" s="994" t="n"/>
      <c r="F152" s="994" t="n"/>
      <c r="G152" s="973" t="n"/>
      <c r="H152" s="994" t="n"/>
      <c r="I152" s="994" t="n"/>
      <c r="J152" s="973" t="n"/>
      <c r="K152" s="973" t="n"/>
      <c r="L152" s="253" t="n"/>
      <c r="M152" s="254" t="n"/>
      <c r="N152" s="254" t="n"/>
      <c r="O152" s="1183" t="n"/>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73"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73"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73"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75"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496">
        <f>FEBRERO!K157</f>
        <v/>
      </c>
      <c r="E157" s="731" t="n"/>
      <c r="F157" s="731" t="n"/>
      <c r="G157" s="730">
        <f>E157+F157</f>
        <v/>
      </c>
      <c r="H157" s="731" t="n"/>
      <c r="I157" s="731" t="n"/>
      <c r="J157" s="732">
        <f>AM157</f>
        <v/>
      </c>
      <c r="K157" s="738">
        <f>+(D157+G157)-(H157+I157+J157)</f>
        <v/>
      </c>
      <c r="L157" s="253" t="n"/>
      <c r="M157" s="254" t="n"/>
      <c r="N157" s="254" t="n"/>
      <c r="O157" s="1183" t="n"/>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73"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73"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73"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73"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75"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496">
        <f>FEBRERO!K163</f>
        <v/>
      </c>
      <c r="E163" s="731" t="n"/>
      <c r="F163" s="731" t="n"/>
      <c r="G163" s="730">
        <f>E163+F163</f>
        <v/>
      </c>
      <c r="H163" s="731" t="n"/>
      <c r="I163" s="731" t="n"/>
      <c r="J163" s="732">
        <f>AM163</f>
        <v/>
      </c>
      <c r="K163" s="738">
        <f>+(D163+G163)-(H163+I163+J163)</f>
        <v/>
      </c>
      <c r="L163" s="253" t="n"/>
      <c r="M163" s="254" t="n"/>
      <c r="N163" s="254" t="n"/>
      <c r="O163" s="1183" t="n"/>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73" t="n"/>
      <c r="E164" s="994" t="n"/>
      <c r="F164" s="994" t="n"/>
      <c r="G164" s="973" t="n"/>
      <c r="H164" s="994" t="n"/>
      <c r="I164" s="994" t="n"/>
      <c r="J164" s="973" t="n"/>
      <c r="K164" s="973" t="n"/>
      <c r="L164" s="253" t="n"/>
      <c r="M164" s="254" t="n"/>
      <c r="N164" s="254" t="n"/>
      <c r="O164" s="1183" t="n"/>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73" t="n"/>
      <c r="E165" s="994" t="n"/>
      <c r="F165" s="994" t="n"/>
      <c r="G165" s="973" t="n"/>
      <c r="H165" s="994" t="n"/>
      <c r="I165" s="994" t="n"/>
      <c r="J165" s="973" t="n"/>
      <c r="K165" s="973" t="n"/>
      <c r="L165" s="253" t="n"/>
      <c r="M165" s="254" t="n"/>
      <c r="N165" s="254" t="n"/>
      <c r="O165" s="1183" t="n"/>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73"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73"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75"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496">
        <f>FEBRERO!K169</f>
        <v/>
      </c>
      <c r="E169" s="731" t="n">
        <v>1200</v>
      </c>
      <c r="F169" s="731" t="n"/>
      <c r="G169" s="730">
        <f>E169+F169</f>
        <v/>
      </c>
      <c r="H169" s="731" t="n">
        <v>734</v>
      </c>
      <c r="I169" s="731" t="n"/>
      <c r="J169" s="732">
        <f>AM169</f>
        <v/>
      </c>
      <c r="K169" s="738">
        <f>+(D169+G169)-(H169+I169+J169)</f>
        <v/>
      </c>
      <c r="L169" s="253" t="n">
        <v>466</v>
      </c>
      <c r="M169" s="254" t="inlineStr">
        <is>
          <t>NC6343</t>
        </is>
      </c>
      <c r="N169" s="254" t="inlineStr">
        <is>
          <t>PFIZER</t>
        </is>
      </c>
      <c r="O169" s="1183" t="inlineStr">
        <is>
          <t>31/10/2027</t>
        </is>
      </c>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73" t="n"/>
      <c r="E170" s="994" t="n"/>
      <c r="F170" s="994" t="n"/>
      <c r="G170" s="973" t="n"/>
      <c r="H170" s="994" t="n"/>
      <c r="I170" s="994" t="n"/>
      <c r="J170" s="973" t="n"/>
      <c r="K170" s="973" t="n"/>
      <c r="L170" s="253" t="n"/>
      <c r="M170" s="254"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73"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73"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73"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75"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496">
        <f>FEBRERO!K175</f>
        <v/>
      </c>
      <c r="E175" s="731" t="n">
        <v>2880</v>
      </c>
      <c r="F175" s="731" t="n"/>
      <c r="G175" s="730">
        <f>E175+F175</f>
        <v/>
      </c>
      <c r="H175" s="731" t="n">
        <v>900</v>
      </c>
      <c r="I175" s="731" t="n"/>
      <c r="J175" s="732">
        <f>AM175</f>
        <v/>
      </c>
      <c r="K175" s="738">
        <f>+(D175+G175)-(H175+I175+J175)</f>
        <v/>
      </c>
      <c r="L175" s="253">
        <f>2048-555-900</f>
        <v/>
      </c>
      <c r="M175" s="254" t="inlineStr">
        <is>
          <t>Y014828</t>
        </is>
      </c>
      <c r="N175" s="254" t="inlineStr">
        <is>
          <t>MERCK SHARP DOHME</t>
        </is>
      </c>
      <c r="O175" s="1183" t="inlineStr">
        <is>
          <t>31/05/2027</t>
        </is>
      </c>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73" t="n"/>
      <c r="E176" s="994" t="n"/>
      <c r="F176" s="994" t="n"/>
      <c r="G176" s="973" t="n"/>
      <c r="H176" s="994" t="n"/>
      <c r="I176" s="994" t="n"/>
      <c r="J176" s="973" t="n"/>
      <c r="K176" s="973" t="n"/>
      <c r="L176" s="253" t="n">
        <v>2880</v>
      </c>
      <c r="M176" s="254" t="inlineStr">
        <is>
          <t>Y017576</t>
        </is>
      </c>
      <c r="N176" s="254" t="inlineStr">
        <is>
          <t>MERCK SHARP DOHME</t>
        </is>
      </c>
      <c r="O176" s="1183" t="inlineStr">
        <is>
          <t>05/06/2027</t>
        </is>
      </c>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73" t="n"/>
      <c r="E177" s="994" t="n"/>
      <c r="F177" s="994" t="n"/>
      <c r="G177" s="973" t="n"/>
      <c r="H177" s="994" t="n"/>
      <c r="I177" s="994" t="n"/>
      <c r="J177" s="973" t="n"/>
      <c r="K177" s="973" t="n"/>
      <c r="L177" s="253" t="n"/>
      <c r="M177" s="254" t="n"/>
      <c r="N177" s="254" t="n"/>
      <c r="O177" s="1183" t="n"/>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73"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73"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75"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496">
        <f>FEBRERO!K181</f>
        <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73"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73"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73"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73"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75"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496">
        <f>FEBRERO!K187</f>
        <v/>
      </c>
      <c r="E187" s="731" t="n">
        <v>1530</v>
      </c>
      <c r="F187" s="731" t="n"/>
      <c r="G187" s="730">
        <f>E187+F187</f>
        <v/>
      </c>
      <c r="H187" s="731" t="n">
        <v>595</v>
      </c>
      <c r="I187" s="731" t="n"/>
      <c r="J187" s="732">
        <f>AM187</f>
        <v/>
      </c>
      <c r="K187" s="738">
        <f>+(D187+G187)-(H187+I187+J187)</f>
        <v/>
      </c>
      <c r="L187" s="253">
        <f>90-60-5+30</f>
        <v/>
      </c>
      <c r="M187" s="254" t="inlineStr">
        <is>
          <t>1484T128</t>
        </is>
      </c>
      <c r="N187" s="254" t="inlineStr">
        <is>
          <t>Serum</t>
        </is>
      </c>
      <c r="O187" s="1183" t="inlineStr">
        <is>
          <t>31/10/2027</t>
        </is>
      </c>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73" t="n"/>
      <c r="E188" s="994" t="n"/>
      <c r="F188" s="994" t="n"/>
      <c r="G188" s="973" t="n"/>
      <c r="H188" s="994" t="n"/>
      <c r="I188" s="994" t="n"/>
      <c r="J188" s="973" t="n"/>
      <c r="K188" s="973" t="n"/>
      <c r="L188" s="253">
        <f>1500-590</f>
        <v/>
      </c>
      <c r="M188" s="254" t="inlineStr">
        <is>
          <t>1485T007</t>
        </is>
      </c>
      <c r="N188" s="254" t="inlineStr">
        <is>
          <t>Serum</t>
        </is>
      </c>
      <c r="O188" s="1183" t="inlineStr">
        <is>
          <t>31/01/2028</t>
        </is>
      </c>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73"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73"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73"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75"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496">
        <f>FEBRERO!K193</f>
        <v/>
      </c>
      <c r="E193" s="731" t="n"/>
      <c r="F193" s="731" t="n"/>
      <c r="G193" s="730">
        <f>E193+F193</f>
        <v/>
      </c>
      <c r="H193" s="731" t="n"/>
      <c r="I193" s="731" t="n"/>
      <c r="J193" s="732">
        <f>AM193</f>
        <v/>
      </c>
      <c r="K193" s="738">
        <f>+(D193+G193)-(H193+I193+J193)</f>
        <v/>
      </c>
      <c r="L193" s="253" t="n">
        <v>78</v>
      </c>
      <c r="M193" s="254" t="inlineStr">
        <is>
          <t>P100819448</t>
        </is>
      </c>
      <c r="N193" s="254" t="inlineStr">
        <is>
          <t>CSL BEHRING</t>
        </is>
      </c>
      <c r="O193" s="1183" t="inlineStr">
        <is>
          <t>24/03/2028</t>
        </is>
      </c>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73"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73"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73"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73"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75"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496">
        <f>FEBRERO!K199</f>
        <v/>
      </c>
      <c r="E199" s="731" t="n">
        <v>300</v>
      </c>
      <c r="F199" s="731" t="n"/>
      <c r="G199" s="730">
        <f>E199+F199</f>
        <v/>
      </c>
      <c r="H199" s="731" t="n">
        <v>68</v>
      </c>
      <c r="I199" s="731" t="n"/>
      <c r="J199" s="732">
        <f>AM199</f>
        <v/>
      </c>
      <c r="K199" s="738">
        <f>+(D199+G199)-(H199+I199+J199)</f>
        <v/>
      </c>
      <c r="L199" s="253">
        <f>344-60-68</f>
        <v/>
      </c>
      <c r="M199" s="254" t="inlineStr">
        <is>
          <t>08AR25015</t>
        </is>
      </c>
      <c r="N199" s="254" t="inlineStr">
        <is>
          <t>VINS BIOPRODUCTS LIMITED</t>
        </is>
      </c>
      <c r="O199" s="1183" t="inlineStr">
        <is>
          <t>31/05/2027</t>
        </is>
      </c>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73" t="n"/>
      <c r="E200" s="994" t="n"/>
      <c r="F200" s="994" t="n"/>
      <c r="G200" s="973" t="n"/>
      <c r="H200" s="994" t="n"/>
      <c r="I200" s="994" t="n"/>
      <c r="J200" s="973" t="n"/>
      <c r="K200" s="973" t="n"/>
      <c r="L200" s="253" t="n">
        <v>300</v>
      </c>
      <c r="M200" s="254" t="inlineStr">
        <is>
          <t>08AR25031</t>
        </is>
      </c>
      <c r="N200" s="254" t="inlineStr">
        <is>
          <t>VINS BIOPRODUCTS LIMITED</t>
        </is>
      </c>
      <c r="O200" s="1183" t="inlineStr">
        <is>
          <t>30/07/2027</t>
        </is>
      </c>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73"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73"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73"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75"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496">
        <f>FEBRERO!K205</f>
        <v/>
      </c>
      <c r="E205" s="731" t="n"/>
      <c r="F205" s="731" t="n"/>
      <c r="G205" s="730">
        <f>E205+F205</f>
        <v/>
      </c>
      <c r="H205" s="731" t="n">
        <v>14</v>
      </c>
      <c r="I205" s="731" t="n"/>
      <c r="J205" s="732">
        <f>AM205</f>
        <v/>
      </c>
      <c r="K205" s="738">
        <f>+(D205+G205)-(H205+I205+J205)</f>
        <v/>
      </c>
      <c r="L205" s="253">
        <f>43-11-14</f>
        <v/>
      </c>
      <c r="M205" s="254" t="inlineStr">
        <is>
          <t>P100756726</t>
        </is>
      </c>
      <c r="N205" s="254" t="inlineStr">
        <is>
          <t>CSL BEHRING</t>
        </is>
      </c>
      <c r="O205" s="1183" t="inlineStr">
        <is>
          <t>09/10/2027</t>
        </is>
      </c>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73"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73"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73"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73"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75"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496">
        <f>FEBRERO!K211</f>
        <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73"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73"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73"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73"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75"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496">
        <f>FEBRERO!K217</f>
        <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73"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73"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73"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73"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75"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496">
        <f>FEBRERO!K223</f>
        <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73"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73"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73"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73"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75"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496">
        <f>FEBRERO!K230</f>
        <v/>
      </c>
      <c r="E230" s="731" t="n">
        <v>5000</v>
      </c>
      <c r="F230" s="731" t="n"/>
      <c r="G230" s="730">
        <f>E230+F230</f>
        <v/>
      </c>
      <c r="H230" s="731" t="n">
        <v>2110</v>
      </c>
      <c r="I230" s="731" t="n"/>
      <c r="J230" s="732">
        <f>AM230</f>
        <v/>
      </c>
      <c r="K230" s="738">
        <f>+(D230+G230)-(H230+I230+J230)</f>
        <v/>
      </c>
      <c r="L230" s="253">
        <f>8230-1940-2110</f>
        <v/>
      </c>
      <c r="M230" s="254" t="inlineStr">
        <is>
          <t>0704S4011</t>
        </is>
      </c>
      <c r="N230" s="254" t="inlineStr">
        <is>
          <t>Serum</t>
        </is>
      </c>
      <c r="O230" s="1183" t="inlineStr">
        <is>
          <t>30/06/2028</t>
        </is>
      </c>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73" t="n"/>
      <c r="E231" s="994" t="n"/>
      <c r="F231" s="994" t="n"/>
      <c r="G231" s="973" t="n"/>
      <c r="H231" s="994" t="n"/>
      <c r="I231" s="994" t="n"/>
      <c r="J231" s="973" t="n"/>
      <c r="K231" s="973" t="n"/>
      <c r="L231" s="253" t="n">
        <v>5000</v>
      </c>
      <c r="M231" s="254" t="inlineStr">
        <is>
          <t>0704S1005</t>
        </is>
      </c>
      <c r="N231" s="254" t="inlineStr">
        <is>
          <t>Serum</t>
        </is>
      </c>
      <c r="O231" s="1183" t="inlineStr">
        <is>
          <t>31/08/2028</t>
        </is>
      </c>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73" t="n"/>
      <c r="E232" s="994" t="n"/>
      <c r="F232" s="994" t="n"/>
      <c r="G232" s="973" t="n"/>
      <c r="H232" s="994" t="n"/>
      <c r="I232" s="994" t="n"/>
      <c r="J232" s="973" t="n"/>
      <c r="K232" s="973" t="n"/>
      <c r="L232" s="253" t="n"/>
      <c r="M232" s="254" t="n"/>
      <c r="N232" s="254" t="n"/>
      <c r="O232" s="1183" t="n"/>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73"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73"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75" t="n"/>
      <c r="E235" s="998" t="n"/>
      <c r="F235" s="998" t="n"/>
      <c r="G235" s="975" t="n"/>
      <c r="H235" s="998" t="n"/>
      <c r="I235" s="998" t="n"/>
      <c r="J235" s="975" t="n"/>
      <c r="K235" s="1189">
        <f>K230=L235</f>
        <v/>
      </c>
      <c r="L235" s="491">
        <f>SUM(L230:L234)</f>
        <v/>
      </c>
      <c r="M235" s="1190" t="inlineStr">
        <is>
          <t xml:space="preserve">“Verdadero” indica que la cantidad por lote, coincide con el saldo que inicia al mes siguiente. "Falso" no coinicide. </t>
        </is>
      </c>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496">
        <f>FEBRERO!K236</f>
        <v/>
      </c>
      <c r="E236" s="731" t="n">
        <v>3000</v>
      </c>
      <c r="F236" s="731" t="n"/>
      <c r="G236" s="730">
        <f>E236+F236</f>
        <v/>
      </c>
      <c r="H236" s="731" t="n">
        <v>1089</v>
      </c>
      <c r="I236" s="731" t="n"/>
      <c r="J236" s="732">
        <f>AM236</f>
        <v/>
      </c>
      <c r="K236" s="738">
        <f>+(D236+G236)-(H236+I236+J236)</f>
        <v/>
      </c>
      <c r="L236" s="253">
        <f>4793-855-1089</f>
        <v/>
      </c>
      <c r="M236" s="254" t="inlineStr">
        <is>
          <t>0643S1010</t>
        </is>
      </c>
      <c r="N236" s="254" t="inlineStr">
        <is>
          <t>Serum</t>
        </is>
      </c>
      <c r="O236" s="1183" t="inlineStr">
        <is>
          <t>30/04/2028</t>
        </is>
      </c>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73" t="n"/>
      <c r="E237" s="994" t="n"/>
      <c r="F237" s="994" t="n"/>
      <c r="G237" s="973" t="n"/>
      <c r="H237" s="994" t="n"/>
      <c r="I237" s="994" t="n"/>
      <c r="J237" s="973" t="n"/>
      <c r="K237" s="973" t="n"/>
      <c r="L237" s="253" t="n">
        <v>10000</v>
      </c>
      <c r="M237" s="254" t="inlineStr">
        <is>
          <t>0644S4011</t>
        </is>
      </c>
      <c r="N237" s="254" t="inlineStr">
        <is>
          <t>Serum</t>
        </is>
      </c>
      <c r="O237" s="1183" t="inlineStr">
        <is>
          <t>30/06/2029</t>
        </is>
      </c>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73" t="n"/>
      <c r="E238" s="994" t="n"/>
      <c r="F238" s="994" t="n"/>
      <c r="G238" s="973" t="n"/>
      <c r="H238" s="994" t="n"/>
      <c r="I238" s="994" t="n"/>
      <c r="J238" s="973" t="n"/>
      <c r="K238" s="973" t="n"/>
      <c r="L238" s="253" t="n">
        <v>3000</v>
      </c>
      <c r="M238" s="254" t="inlineStr">
        <is>
          <t>0644S1004</t>
        </is>
      </c>
      <c r="N238" s="254" t="inlineStr">
        <is>
          <t>Serum</t>
        </is>
      </c>
      <c r="O238" s="1183" t="inlineStr">
        <is>
          <t>31/08/2029</t>
        </is>
      </c>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73"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73"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75" t="n"/>
      <c r="E241" s="998" t="n"/>
      <c r="F241" s="998" t="n"/>
      <c r="G241" s="975" t="n"/>
      <c r="H241" s="998" t="n"/>
      <c r="I241" s="998" t="n"/>
      <c r="J241" s="975" t="n"/>
      <c r="K241" s="1189">
        <f>K236=L241</f>
        <v/>
      </c>
      <c r="L241" s="491">
        <f>SUM(L236:L240)</f>
        <v/>
      </c>
      <c r="M241" s="1190" t="inlineStr">
        <is>
          <t xml:space="preserve">“Verdadero” indica que la cantidad por lote, coincide con el saldo que inicia al mes siguiente. "Falso" no coinicide. </t>
        </is>
      </c>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496">
        <f>FEBRERO!K242</f>
        <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73"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73"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73"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73"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75" t="n"/>
      <c r="E247" s="998" t="n"/>
      <c r="F247" s="998" t="n"/>
      <c r="G247" s="975" t="n"/>
      <c r="H247" s="998" t="n"/>
      <c r="I247" s="998" t="n"/>
      <c r="J247" s="975" t="n"/>
      <c r="K247" s="1189">
        <f>K242=L247</f>
        <v/>
      </c>
      <c r="L247" s="491">
        <f>SUM(L242:L246)</f>
        <v/>
      </c>
      <c r="M247" s="1190" t="inlineStr">
        <is>
          <t xml:space="preserve">“Verdadero” indica que la cantidad por lote, coincide con el saldo que inicia al mes siguiente. "Falso" no coinicide. </t>
        </is>
      </c>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496">
        <f>FEBRERO!K248</f>
        <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73"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73"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73"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73"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75" t="n"/>
      <c r="E253" s="998" t="n"/>
      <c r="F253" s="998" t="n"/>
      <c r="G253" s="975" t="n"/>
      <c r="H253" s="998" t="n"/>
      <c r="I253" s="998" t="n"/>
      <c r="J253" s="975" t="n"/>
      <c r="K253" s="1189">
        <f>K248=L253</f>
        <v/>
      </c>
      <c r="L253" s="491">
        <f>SUM(L248:L252)</f>
        <v/>
      </c>
      <c r="M253" s="1190" t="inlineStr">
        <is>
          <t xml:space="preserve">“Verdadero” indica que la cantidad por lote, coincide con el saldo que inicia al mes siguiente. "Falso" no coinicide. </t>
        </is>
      </c>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496">
        <f>FEBRERO!K254</f>
        <v/>
      </c>
      <c r="E254" s="731" t="n">
        <v>500</v>
      </c>
      <c r="F254" s="731" t="n"/>
      <c r="G254" s="730">
        <f>E254+F254</f>
        <v/>
      </c>
      <c r="H254" s="731" t="n">
        <v>2022</v>
      </c>
      <c r="I254" s="731" t="n"/>
      <c r="J254" s="732">
        <f>AM254</f>
        <v/>
      </c>
      <c r="K254" s="738">
        <f>+(D254+G254)-(H254+I254+J254)</f>
        <v/>
      </c>
      <c r="L254" s="253" t="n">
        <v>4</v>
      </c>
      <c r="M254" s="254" t="inlineStr">
        <is>
          <t>0643S4002</t>
        </is>
      </c>
      <c r="N254" s="254" t="inlineStr">
        <is>
          <t>Serum</t>
        </is>
      </c>
      <c r="O254" s="1183" t="inlineStr">
        <is>
          <t>30/04/2028</t>
        </is>
      </c>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73" t="n"/>
      <c r="E255" s="994" t="n"/>
      <c r="F255" s="994" t="n"/>
      <c r="G255" s="973" t="n"/>
      <c r="H255" s="994" t="n"/>
      <c r="I255" s="994" t="n"/>
      <c r="J255" s="973" t="n"/>
      <c r="K255" s="973" t="n"/>
      <c r="L255" s="253">
        <f>5900-3090-2022</f>
        <v/>
      </c>
      <c r="M255" s="254" t="inlineStr">
        <is>
          <t>0643S4003</t>
        </is>
      </c>
      <c r="N255" s="254" t="inlineStr">
        <is>
          <t>Serum</t>
        </is>
      </c>
      <c r="O255" s="1183" t="inlineStr">
        <is>
          <t>31/08/2028</t>
        </is>
      </c>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73" t="n"/>
      <c r="E256" s="994" t="n"/>
      <c r="F256" s="994" t="n"/>
      <c r="G256" s="973" t="n"/>
      <c r="H256" s="994" t="n"/>
      <c r="I256" s="994" t="n"/>
      <c r="J256" s="973" t="n"/>
      <c r="K256" s="973" t="n"/>
      <c r="L256" s="253" t="n">
        <v>500</v>
      </c>
      <c r="M256" s="254" t="inlineStr">
        <is>
          <t>0644S4014</t>
        </is>
      </c>
      <c r="N256" s="254" t="inlineStr">
        <is>
          <t>Serum</t>
        </is>
      </c>
      <c r="O256" s="1183" t="inlineStr">
        <is>
          <t>30/08/2029</t>
        </is>
      </c>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73" t="n"/>
      <c r="E257" s="994" t="n"/>
      <c r="F257" s="994" t="n"/>
      <c r="G257" s="973" t="n"/>
      <c r="H257" s="994" t="n"/>
      <c r="I257" s="994" t="n"/>
      <c r="J257" s="973" t="n"/>
      <c r="K257" s="973" t="n"/>
      <c r="L257" s="253" t="n"/>
      <c r="M257" s="254" t="n"/>
      <c r="N257" s="254" t="n"/>
      <c r="O257" s="1183" t="n"/>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73"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75" t="n"/>
      <c r="E259" s="998" t="n"/>
      <c r="F259" s="998" t="n"/>
      <c r="G259" s="975" t="n"/>
      <c r="H259" s="998" t="n"/>
      <c r="I259" s="998" t="n"/>
      <c r="J259" s="975" t="n"/>
      <c r="K259" s="1189">
        <f>K254=L259</f>
        <v/>
      </c>
      <c r="L259" s="491">
        <f>SUM(L254:L258)</f>
        <v/>
      </c>
      <c r="M259" s="1190" t="inlineStr">
        <is>
          <t xml:space="preserve">“Verdadero” indica que la cantidad por lote, coincide con el saldo que inicia al mes siguiente. "Falso" no coinicide. </t>
        </is>
      </c>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496">
        <f>FEBRERO!K260</f>
        <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73"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73"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73"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73"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75" t="n"/>
      <c r="E265" s="998" t="n"/>
      <c r="F265" s="998" t="n"/>
      <c r="G265" s="975" t="n"/>
      <c r="H265" s="998" t="n"/>
      <c r="I265" s="998" t="n"/>
      <c r="J265" s="975" t="n"/>
      <c r="K265" s="1189">
        <f>K260=L265</f>
        <v/>
      </c>
      <c r="L265" s="491">
        <f>SUM(L260:L264)</f>
        <v/>
      </c>
      <c r="M265" s="1190" t="inlineStr">
        <is>
          <t xml:space="preserve">“Verdadero” indica que la cantidad por lote, coincide con el saldo que inicia al mes siguiente. "Falso" no coinicide. </t>
        </is>
      </c>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496">
        <f>FEBRERO!K266</f>
        <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73"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73"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73"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73"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75" t="n"/>
      <c r="E271" s="998" t="n"/>
      <c r="F271" s="998" t="n"/>
      <c r="G271" s="975" t="n"/>
      <c r="H271" s="998" t="n"/>
      <c r="I271" s="998" t="n"/>
      <c r="J271" s="975" t="n"/>
      <c r="K271" s="1189">
        <f>K266=L271</f>
        <v/>
      </c>
      <c r="L271" s="491">
        <f>SUM(L266:L270)</f>
        <v/>
      </c>
      <c r="M271" s="1190" t="inlineStr">
        <is>
          <t xml:space="preserve">“Verdadero” indica que la cantidad por lote, coincide con el saldo que inicia al mes siguiente. "Falso" no coinicide. </t>
        </is>
      </c>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496">
        <f>FEBRERO!K272</f>
        <v/>
      </c>
      <c r="E272" s="731" t="n"/>
      <c r="F272" s="731" t="n"/>
      <c r="G272" s="730">
        <f>E272+F272</f>
        <v/>
      </c>
      <c r="H272" s="731" t="n">
        <v>1200</v>
      </c>
      <c r="I272" s="731" t="n"/>
      <c r="J272" s="732">
        <f>AM272</f>
        <v/>
      </c>
      <c r="K272" s="738">
        <f>+(D272+G272)-(H272+I272+J272)</f>
        <v/>
      </c>
      <c r="L272" s="253" t="n">
        <v>8000</v>
      </c>
      <c r="M272" s="254" t="inlineStr">
        <is>
          <t>Y4X16</t>
        </is>
      </c>
      <c r="N272" s="254" t="inlineStr">
        <is>
          <t>Sanofi Pasteur</t>
        </is>
      </c>
      <c r="O272" s="1183" t="inlineStr">
        <is>
          <t>30/06/2027</t>
        </is>
      </c>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73" t="n"/>
      <c r="E273" s="994" t="n"/>
      <c r="F273" s="994" t="n"/>
      <c r="G273" s="973" t="n"/>
      <c r="H273" s="994" t="n"/>
      <c r="I273" s="994" t="n"/>
      <c r="J273" s="973" t="n"/>
      <c r="K273" s="973" t="n"/>
      <c r="L273" s="253" t="n">
        <v>30000</v>
      </c>
      <c r="M273" s="254" t="inlineStr">
        <is>
          <t>Y4X19</t>
        </is>
      </c>
      <c r="N273" s="254" t="inlineStr">
        <is>
          <t>Sanofi Pasteur</t>
        </is>
      </c>
      <c r="O273" s="1183" t="inlineStr">
        <is>
          <t>31/08/2027</t>
        </is>
      </c>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73" t="n"/>
      <c r="E274" s="994" t="n"/>
      <c r="F274" s="994" t="n"/>
      <c r="G274" s="973" t="n"/>
      <c r="H274" s="994" t="n"/>
      <c r="I274" s="994" t="n"/>
      <c r="J274" s="973" t="n"/>
      <c r="K274" s="973" t="n"/>
      <c r="L274" s="253" t="n"/>
      <c r="M274" s="254" t="n"/>
      <c r="N274" s="254" t="n"/>
      <c r="O274" s="1183" t="n"/>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73"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73"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75" t="n"/>
      <c r="E277" s="998" t="n"/>
      <c r="F277" s="998" t="n"/>
      <c r="G277" s="975" t="n"/>
      <c r="H277" s="998" t="n"/>
      <c r="I277" s="998" t="n"/>
      <c r="J277" s="975" t="n"/>
      <c r="K277" s="1189">
        <f>K272=L277</f>
        <v/>
      </c>
      <c r="L277" s="491">
        <f>SUM(L272:L276)</f>
        <v/>
      </c>
      <c r="M277" s="1190" t="inlineStr">
        <is>
          <t xml:space="preserve">“Verdadero” indica que la cantidad por lote, coincide con el saldo que inicia al mes siguiente. "Falso" no coinicide. </t>
        </is>
      </c>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496">
        <f>FEBRERO!K278</f>
        <v/>
      </c>
      <c r="E278" s="731" t="n">
        <v>2400</v>
      </c>
      <c r="F278" s="731" t="n"/>
      <c r="G278" s="730">
        <f>E278+F278</f>
        <v/>
      </c>
      <c r="H278" s="731" t="n">
        <v>880</v>
      </c>
      <c r="I278" s="731" t="n"/>
      <c r="J278" s="732">
        <f>AM278</f>
        <v/>
      </c>
      <c r="K278" s="738">
        <f>+(D278+G278)-(H278+I278+J278)</f>
        <v/>
      </c>
      <c r="L278" s="253">
        <f>3695-510-880</f>
        <v/>
      </c>
      <c r="M278" s="254" t="inlineStr">
        <is>
          <t>90250603-1</t>
        </is>
      </c>
      <c r="N278" s="254" t="inlineStr">
        <is>
          <t>Sinovac</t>
        </is>
      </c>
      <c r="O278" s="1183" t="inlineStr">
        <is>
          <t>05/06/2029</t>
        </is>
      </c>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73" t="n"/>
      <c r="E279" s="994" t="n"/>
      <c r="F279" s="994" t="n"/>
      <c r="G279" s="973" t="n"/>
      <c r="H279" s="994" t="n"/>
      <c r="I279" s="994" t="n"/>
      <c r="J279" s="973" t="n"/>
      <c r="K279" s="973" t="n"/>
      <c r="L279" s="253" t="n">
        <v>2400</v>
      </c>
      <c r="M279" s="254" t="inlineStr">
        <is>
          <t>90250603-1</t>
        </is>
      </c>
      <c r="N279" s="254" t="inlineStr">
        <is>
          <t>Sinovac</t>
        </is>
      </c>
      <c r="O279" s="1183" t="inlineStr">
        <is>
          <t>05/06/2029</t>
        </is>
      </c>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73"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73"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73"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75" t="n"/>
      <c r="E283" s="998" t="n"/>
      <c r="F283" s="998" t="n"/>
      <c r="G283" s="975" t="n"/>
      <c r="H283" s="998" t="n"/>
      <c r="I283" s="998" t="n"/>
      <c r="J283" s="975" t="n"/>
      <c r="K283" s="1189">
        <f>K278=L283</f>
        <v/>
      </c>
      <c r="L283" s="491">
        <f>SUM(L278:L282)</f>
        <v/>
      </c>
      <c r="M283" s="1190" t="inlineStr">
        <is>
          <t xml:space="preserve">“Verdadero” indica que la cantidad por lote, coincide con el saldo que inicia al mes siguiente. "Falso" no coinicide. </t>
        </is>
      </c>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496">
        <f>FEBRERO!K284</f>
        <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73"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73"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73"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73"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75" t="n"/>
      <c r="E289" s="998" t="n"/>
      <c r="F289" s="998" t="n"/>
      <c r="G289" s="975" t="n"/>
      <c r="H289" s="998" t="n"/>
      <c r="I289" s="998" t="n"/>
      <c r="J289" s="975" t="n"/>
      <c r="K289" s="1189">
        <f>K284=L289</f>
        <v/>
      </c>
      <c r="L289" s="491">
        <f>SUM(L284:L288)</f>
        <v/>
      </c>
      <c r="M289" s="1190" t="inlineStr">
        <is>
          <t xml:space="preserve">“Verdadero” indica que la cantidad por lote, coincide con el saldo que inicia al mes siguiente. "Falso" no coinicide. </t>
        </is>
      </c>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496">
        <f>FEBRERO!K290</f>
        <v/>
      </c>
      <c r="E290" s="731" t="n">
        <v>1530</v>
      </c>
      <c r="F290" s="731" t="n"/>
      <c r="G290" s="730">
        <f>E290+F290</f>
        <v/>
      </c>
      <c r="H290" s="731" t="n">
        <v>595</v>
      </c>
      <c r="I290" s="731" t="n"/>
      <c r="J290" s="732">
        <f>AM290</f>
        <v/>
      </c>
      <c r="K290" s="738">
        <f>+(D290+G290)-(H290+I290+J290)</f>
        <v/>
      </c>
      <c r="L290" s="253">
        <f>10+30-5</f>
        <v/>
      </c>
      <c r="M290" s="254" t="inlineStr">
        <is>
          <t>0654S4015</t>
        </is>
      </c>
      <c r="N290" s="254" t="inlineStr">
        <is>
          <t>Serum</t>
        </is>
      </c>
      <c r="O290" s="1183" t="inlineStr">
        <is>
          <t>31/07/2029</t>
        </is>
      </c>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73" t="n"/>
      <c r="E291" s="994" t="n"/>
      <c r="F291" s="994" t="n"/>
      <c r="G291" s="973" t="n"/>
      <c r="H291" s="994" t="n"/>
      <c r="I291" s="994" t="n"/>
      <c r="J291" s="973" t="n"/>
      <c r="K291" s="973" t="n"/>
      <c r="L291" s="253">
        <f>1500-590</f>
        <v/>
      </c>
      <c r="M291" s="254" t="inlineStr">
        <is>
          <t>0654S4016</t>
        </is>
      </c>
      <c r="N291" s="254" t="inlineStr">
        <is>
          <t>Serum</t>
        </is>
      </c>
      <c r="O291" s="1183" t="inlineStr">
        <is>
          <t>31/07/2029</t>
        </is>
      </c>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73"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73"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73"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75" t="n"/>
      <c r="E295" s="998" t="n"/>
      <c r="F295" s="998" t="n"/>
      <c r="G295" s="975" t="n"/>
      <c r="H295" s="998" t="n"/>
      <c r="I295" s="998" t="n"/>
      <c r="J295" s="975" t="n"/>
      <c r="K295" s="1189">
        <f>K290=L295</f>
        <v/>
      </c>
      <c r="L295" s="491">
        <f>SUM(L290:L294)</f>
        <v/>
      </c>
      <c r="M295" s="1190" t="inlineStr">
        <is>
          <t xml:space="preserve">“Verdadero” indica que la cantidad por lote, coincide con el saldo que inicia al mes siguiente. "Falso" no coinicide. </t>
        </is>
      </c>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496">
        <f>FEBRERO!K296</f>
        <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73"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73"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73"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73"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75" t="n"/>
      <c r="E301" s="998" t="n"/>
      <c r="F301" s="998" t="n"/>
      <c r="G301" s="975" t="n"/>
      <c r="H301" s="998" t="n"/>
      <c r="I301" s="998" t="n"/>
      <c r="J301" s="975" t="n"/>
      <c r="K301" s="1189">
        <f>K296=L301</f>
        <v/>
      </c>
      <c r="L301" s="491">
        <f>SUM(L296:L300)</f>
        <v/>
      </c>
      <c r="M301" s="1190" t="inlineStr">
        <is>
          <t xml:space="preserve">“Verdadero” indica que la cantidad por lote, coincide con el saldo que inicia al mes siguiente. "Falso" no coinicide. </t>
        </is>
      </c>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647" t="inlineStr">
        <is>
          <t>JERINGAS</t>
        </is>
      </c>
      <c r="C302" s="967" t="n"/>
      <c r="D302" s="1257"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496">
        <f>FEBRERO!K303</f>
        <v/>
      </c>
      <c r="E303" s="731" t="n"/>
      <c r="F303" s="731" t="n"/>
      <c r="G303" s="730">
        <f>E303+F303</f>
        <v/>
      </c>
      <c r="H303" s="731" t="n">
        <v>1700</v>
      </c>
      <c r="I303" s="731" t="n"/>
      <c r="J303" s="732">
        <f>+AM303</f>
        <v/>
      </c>
      <c r="K303" s="706">
        <f>+(D303+G303)-(H303+I303+J303)</f>
        <v/>
      </c>
      <c r="L303" s="253">
        <f>14900-500-1700</f>
        <v/>
      </c>
      <c r="M303" s="254" t="inlineStr">
        <is>
          <t>252216</t>
        </is>
      </c>
      <c r="N303" s="254" t="inlineStr">
        <is>
          <t>Fabricante</t>
        </is>
      </c>
      <c r="O303" s="1183" t="inlineStr">
        <is>
          <t>30/08/2027</t>
        </is>
      </c>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73"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73" t="n"/>
      <c r="E305" s="994" t="n"/>
      <c r="F305" s="994" t="n"/>
      <c r="G305" s="973" t="n"/>
      <c r="H305" s="994" t="n"/>
      <c r="I305" s="994" t="n"/>
      <c r="J305" s="973" t="n"/>
      <c r="K305" s="973" t="n"/>
      <c r="L305" s="253" t="n"/>
      <c r="M305" s="254" t="n"/>
      <c r="N305" s="254" t="n"/>
      <c r="O305" s="1183" t="n"/>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73"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73"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73"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75" t="n"/>
      <c r="E309" s="998" t="n"/>
      <c r="F309" s="998" t="n"/>
      <c r="G309" s="975" t="n"/>
      <c r="H309" s="998" t="n"/>
      <c r="I309" s="998" t="n"/>
      <c r="J309" s="975" t="n"/>
      <c r="K309" s="1189">
        <f>K303=L309</f>
        <v/>
      </c>
      <c r="L309" s="491">
        <f>SUM(L303:L308)</f>
        <v/>
      </c>
      <c r="M309" s="1190" t="inlineStr">
        <is>
          <t xml:space="preserve">“Verdadero” indica que la cantidad por lote, coincide con el saldo que inicia al mes siguiente. "Falso" no coinicide. </t>
        </is>
      </c>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496">
        <f>FEBRERO!K310</f>
        <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73"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73"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73"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73"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73"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75" t="n"/>
      <c r="E316" s="998" t="n"/>
      <c r="F316" s="998" t="n"/>
      <c r="G316" s="975" t="n"/>
      <c r="H316" s="998" t="n"/>
      <c r="I316" s="998" t="n"/>
      <c r="J316" s="975" t="n"/>
      <c r="K316" s="1189">
        <f>K310=L316</f>
        <v/>
      </c>
      <c r="L316" s="491">
        <f>SUM(L310:L315)</f>
        <v/>
      </c>
      <c r="M316" s="1190" t="inlineStr">
        <is>
          <t xml:space="preserve">“Verdadero” indica que la cantidad por lote, coincide con el saldo que inicia al mes siguiente. "Falso" no coinicide. </t>
        </is>
      </c>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496">
        <f>FEBRERO!K317</f>
        <v/>
      </c>
      <c r="E317" s="731" t="n">
        <v>6000</v>
      </c>
      <c r="F317" s="731" t="n"/>
      <c r="G317" s="730">
        <f>E317+F317</f>
        <v/>
      </c>
      <c r="H317" s="731" t="n">
        <v>3000</v>
      </c>
      <c r="I317" s="731" t="n"/>
      <c r="J317" s="732">
        <f>+AM317</f>
        <v/>
      </c>
      <c r="K317" s="706">
        <f>+(D317+G317)-(H317+I317+J317)</f>
        <v/>
      </c>
      <c r="L317" s="253">
        <f>9000-2500-3000</f>
        <v/>
      </c>
      <c r="M317" s="254" t="inlineStr">
        <is>
          <t>AR13095</t>
        </is>
      </c>
      <c r="N317" s="254" t="inlineStr">
        <is>
          <t>NUBENCO</t>
        </is>
      </c>
      <c r="O317" s="1183" t="inlineStr">
        <is>
          <t>30/09/2026</t>
        </is>
      </c>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73" t="n"/>
      <c r="E318" s="994" t="n"/>
      <c r="F318" s="994" t="n"/>
      <c r="G318" s="973" t="n"/>
      <c r="H318" s="994" t="n"/>
      <c r="I318" s="994" t="n"/>
      <c r="J318" s="973" t="n"/>
      <c r="K318" s="973" t="n"/>
      <c r="L318" s="253" t="n">
        <v>20</v>
      </c>
      <c r="M318" s="254" t="inlineStr">
        <is>
          <t>AR13158</t>
        </is>
      </c>
      <c r="N318" s="254" t="inlineStr">
        <is>
          <t>NUBENCO</t>
        </is>
      </c>
      <c r="O318" s="1183" t="inlineStr">
        <is>
          <t>31/03/2027</t>
        </is>
      </c>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73" t="n"/>
      <c r="E319" s="994" t="n"/>
      <c r="F319" s="994" t="n"/>
      <c r="G319" s="973" t="n"/>
      <c r="H319" s="994" t="n"/>
      <c r="I319" s="994" t="n"/>
      <c r="J319" s="973" t="n"/>
      <c r="K319" s="973" t="n"/>
      <c r="L319" s="253" t="n">
        <v>6000</v>
      </c>
      <c r="M319" s="254" t="inlineStr">
        <is>
          <t>2406054</t>
        </is>
      </c>
      <c r="N319" s="254" t="inlineStr">
        <is>
          <t>SANAVITA</t>
        </is>
      </c>
      <c r="O319" s="1183" t="inlineStr">
        <is>
          <t>30/06/2029</t>
        </is>
      </c>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73"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73"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73"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75" t="n"/>
      <c r="E323" s="998" t="n"/>
      <c r="F323" s="998" t="n"/>
      <c r="G323" s="975" t="n"/>
      <c r="H323" s="998" t="n"/>
      <c r="I323" s="998" t="n"/>
      <c r="J323" s="975" t="n"/>
      <c r="K323" s="1189">
        <f>K317=L323</f>
        <v/>
      </c>
      <c r="L323" s="491">
        <f>SUM(L317:L322)</f>
        <v/>
      </c>
      <c r="M323" s="1190" t="inlineStr">
        <is>
          <t xml:space="preserve">“Verdadero” indica que la cantidad por lote, coincide con el saldo que inicia al mes siguiente. "Falso" no coinicide. </t>
        </is>
      </c>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496">
        <f>FEBRERO!K324</f>
        <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73"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73"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73"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73"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73"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75"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496">
        <f>FEBRERO!K331</f>
        <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73"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73"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73"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73"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73"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75" t="n"/>
      <c r="E337" s="998" t="n"/>
      <c r="F337" s="998" t="n"/>
      <c r="G337" s="975" t="n"/>
      <c r="H337" s="998" t="n"/>
      <c r="I337" s="998" t="n"/>
      <c r="J337" s="975" t="n"/>
      <c r="K337" s="1189">
        <f>K331=L337</f>
        <v/>
      </c>
      <c r="L337" s="491">
        <f>SUM(L331:L336)</f>
        <v/>
      </c>
      <c r="M337" s="1190" t="inlineStr">
        <is>
          <t xml:space="preserve">“Verdadero” indica que la cantidad por lote, coincide con el saldo que inicia al mes siguiente. "Falso" no coinicide. </t>
        </is>
      </c>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496">
        <f>FEBRERO!K338</f>
        <v/>
      </c>
      <c r="E338" s="731" t="n">
        <v>30000</v>
      </c>
      <c r="F338" s="731" t="n"/>
      <c r="G338" s="730">
        <f>E338+F338</f>
        <v/>
      </c>
      <c r="H338" s="731" t="n">
        <v>3320</v>
      </c>
      <c r="I338" s="731" t="n"/>
      <c r="J338" s="732">
        <f>+AM338</f>
        <v/>
      </c>
      <c r="K338" s="706">
        <f>+(D338+G338)-(H338+I338+J338)</f>
        <v/>
      </c>
      <c r="L338" s="253" t="n"/>
      <c r="M338" s="254" t="n"/>
      <c r="N338" s="254" t="n"/>
      <c r="O338" s="1183" t="n"/>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73" t="n"/>
      <c r="E339" s="994" t="n"/>
      <c r="F339" s="994" t="n"/>
      <c r="G339" s="973" t="n"/>
      <c r="H339" s="994" t="n"/>
      <c r="I339" s="994" t="n"/>
      <c r="J339" s="973" t="n"/>
      <c r="K339" s="973" t="n"/>
      <c r="L339" s="253">
        <f>3000-2300</f>
        <v/>
      </c>
      <c r="M339" s="254" t="inlineStr">
        <is>
          <t>AR13133-7</t>
        </is>
      </c>
      <c r="N339" s="254" t="inlineStr">
        <is>
          <t>Fabricante</t>
        </is>
      </c>
      <c r="O339" s="1183" t="inlineStr">
        <is>
          <t>28/02/2027</t>
        </is>
      </c>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73" t="n"/>
      <c r="E340" s="994" t="n"/>
      <c r="F340" s="994" t="n"/>
      <c r="G340" s="973" t="n"/>
      <c r="H340" s="994" t="n"/>
      <c r="I340" s="994" t="n"/>
      <c r="J340" s="973" t="n"/>
      <c r="K340" s="973" t="n"/>
      <c r="L340" s="253" t="n">
        <v>30000</v>
      </c>
      <c r="M340" s="254" t="inlineStr">
        <is>
          <t>AR13133-8</t>
        </is>
      </c>
      <c r="N340" s="254" t="inlineStr">
        <is>
          <t>JIANGXI SANXIN MEDTEC</t>
        </is>
      </c>
      <c r="O340" s="1183" t="inlineStr">
        <is>
          <t>31/03/2027</t>
        </is>
      </c>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73"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73"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73"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75" t="n"/>
      <c r="E344" s="998" t="n"/>
      <c r="F344" s="998" t="n"/>
      <c r="G344" s="975" t="n"/>
      <c r="H344" s="998" t="n"/>
      <c r="I344" s="998" t="n"/>
      <c r="J344" s="975" t="n"/>
      <c r="K344" s="1189">
        <f>K338=L344</f>
        <v/>
      </c>
      <c r="L344" s="491">
        <f>SUM(L338:L343)</f>
        <v/>
      </c>
      <c r="M344" s="1190" t="inlineStr">
        <is>
          <t xml:space="preserve">“Verdadero” indica que la cantidad por lote, coincide con el saldo que inicia al mes siguiente. "Falso" no coinicide. </t>
        </is>
      </c>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496">
        <f>FEBRERO!K345</f>
        <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73"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73"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73"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73"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73"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75" t="n"/>
      <c r="E351" s="998" t="n"/>
      <c r="F351" s="998" t="n"/>
      <c r="G351" s="975" t="n"/>
      <c r="H351" s="998" t="n"/>
      <c r="I351" s="998" t="n"/>
      <c r="J351" s="975" t="n"/>
      <c r="K351" s="1189">
        <f>K345=L351</f>
        <v/>
      </c>
      <c r="L351" s="491">
        <f>SUM(L345:L350)</f>
        <v/>
      </c>
      <c r="M351" s="1190" t="inlineStr">
        <is>
          <t xml:space="preserve">“Verdadero” indica que la cantidad por lote, coincide con el saldo que inicia al mes siguiente. "Falso" no coinicide. </t>
        </is>
      </c>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496">
        <f>FEBRERO!K352</f>
        <v/>
      </c>
      <c r="E352" s="731" t="n"/>
      <c r="F352" s="731" t="n"/>
      <c r="G352" s="730">
        <f>E352+F352</f>
        <v/>
      </c>
      <c r="H352" s="731" t="n">
        <v>5400</v>
      </c>
      <c r="I352" s="731" t="n"/>
      <c r="J352" s="732">
        <f>AM352</f>
        <v/>
      </c>
      <c r="K352" s="706">
        <f>+(D352+G352)-(H352+I352+J352)</f>
        <v/>
      </c>
      <c r="L352" s="253">
        <f>32800-7400-5400</f>
        <v/>
      </c>
      <c r="M352" s="254" t="inlineStr">
        <is>
          <t>20250903</t>
        </is>
      </c>
      <c r="N352" s="254" t="inlineStr">
        <is>
          <t>YIXIN China</t>
        </is>
      </c>
      <c r="O352" s="1183" t="inlineStr">
        <is>
          <t>02/09/2030</t>
        </is>
      </c>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73" t="n"/>
      <c r="E353" s="994" t="n"/>
      <c r="F353" s="994" t="n"/>
      <c r="G353" s="973" t="n"/>
      <c r="H353" s="994" t="n"/>
      <c r="I353" s="994" t="n"/>
      <c r="J353" s="973" t="n"/>
      <c r="K353" s="973" t="n"/>
      <c r="L353" s="253" t="n">
        <v>48</v>
      </c>
      <c r="M353" s="254" t="inlineStr">
        <is>
          <t>23FA1</t>
        </is>
      </c>
      <c r="N353" s="254" t="inlineStr">
        <is>
          <t>Fabricante</t>
        </is>
      </c>
      <c r="O353" s="1183" t="inlineStr">
        <is>
          <t>31/05/2028</t>
        </is>
      </c>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73" t="n"/>
      <c r="E354" s="994" t="n"/>
      <c r="F354" s="994" t="n"/>
      <c r="G354" s="973" t="n"/>
      <c r="H354" s="994" t="n"/>
      <c r="I354" s="994" t="n"/>
      <c r="J354" s="973" t="n"/>
      <c r="K354" s="973" t="n"/>
      <c r="L354" s="253" t="n"/>
      <c r="M354" s="254" t="n"/>
      <c r="N354" s="254" t="n"/>
      <c r="O354" s="1183" t="n"/>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73"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73"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73"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75" t="n"/>
      <c r="E358" s="998" t="n"/>
      <c r="F358" s="998" t="n"/>
      <c r="G358" s="975" t="n"/>
      <c r="H358" s="998" t="n"/>
      <c r="I358" s="998" t="n"/>
      <c r="J358" s="975" t="n"/>
      <c r="K358" s="1189">
        <f>K352=L358</f>
        <v/>
      </c>
      <c r="L358" s="491">
        <f>SUM(L352:L357)</f>
        <v/>
      </c>
      <c r="M358" s="1190" t="inlineStr">
        <is>
          <t xml:space="preserve">“Verdadero” indica que la cantidad por lote, coincide con el saldo que inicia al mes siguiente. "Falso" no coinicide. </t>
        </is>
      </c>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496">
        <f>FEBRERO!K359</f>
        <v/>
      </c>
      <c r="E359" s="731" t="n"/>
      <c r="F359" s="731" t="n"/>
      <c r="G359" s="730">
        <f>E359+F359</f>
        <v/>
      </c>
      <c r="H359" s="731" t="n">
        <v>720</v>
      </c>
      <c r="I359" s="731" t="n"/>
      <c r="J359" s="732">
        <f>AM359</f>
        <v/>
      </c>
      <c r="K359" s="706">
        <f>+(D359+G359)-(H359+I359+J359)</f>
        <v/>
      </c>
      <c r="L359" s="253">
        <f>5100-610</f>
        <v/>
      </c>
      <c r="M359" s="254" t="inlineStr">
        <is>
          <t>622204</t>
        </is>
      </c>
      <c r="N359" s="254" t="inlineStr">
        <is>
          <t>Fabricante</t>
        </is>
      </c>
      <c r="O359" s="1183" t="inlineStr">
        <is>
          <t>28/02/2027</t>
        </is>
      </c>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73" t="n"/>
      <c r="E360" s="994" t="n"/>
      <c r="F360" s="994" t="n"/>
      <c r="G360" s="973" t="n"/>
      <c r="H360" s="994" t="n"/>
      <c r="I360" s="994" t="n"/>
      <c r="J360" s="973" t="n"/>
      <c r="K360" s="973" t="n"/>
      <c r="L360" s="253" t="n">
        <v>5500</v>
      </c>
      <c r="M360" s="254" t="inlineStr">
        <is>
          <t>662202</t>
        </is>
      </c>
      <c r="N360" s="254" t="inlineStr">
        <is>
          <t>Fabricante</t>
        </is>
      </c>
      <c r="O360" s="1183" t="inlineStr">
        <is>
          <t>30/09/2027</t>
        </is>
      </c>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73" t="n"/>
      <c r="E361" s="994" t="n"/>
      <c r="F361" s="994" t="n"/>
      <c r="G361" s="973" t="n"/>
      <c r="H361" s="994" t="n"/>
      <c r="I361" s="994" t="n"/>
      <c r="J361" s="973" t="n"/>
      <c r="K361" s="973" t="n"/>
      <c r="L361" s="253">
        <f>3000-720</f>
        <v/>
      </c>
      <c r="M361" s="254" t="inlineStr">
        <is>
          <t>662203</t>
        </is>
      </c>
      <c r="N361" s="254" t="inlineStr">
        <is>
          <t>Fabricante</t>
        </is>
      </c>
      <c r="O361" s="1183" t="inlineStr">
        <is>
          <t>30/09/2027</t>
        </is>
      </c>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73" t="n"/>
      <c r="E362" s="994" t="n"/>
      <c r="F362" s="994" t="n"/>
      <c r="G362" s="973" t="n"/>
      <c r="H362" s="994" t="n"/>
      <c r="I362" s="994" t="n"/>
      <c r="J362" s="973" t="n"/>
      <c r="K362" s="973" t="n"/>
      <c r="L362" s="253" t="n">
        <v>3000</v>
      </c>
      <c r="M362" s="254" t="inlineStr">
        <is>
          <t>712401</t>
        </is>
      </c>
      <c r="N362" s="254" t="inlineStr">
        <is>
          <t>Fabricante</t>
        </is>
      </c>
      <c r="O362" s="1183" t="inlineStr">
        <is>
          <t>30/03/2029</t>
        </is>
      </c>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73"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73"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75" t="n"/>
      <c r="E365" s="998" t="n"/>
      <c r="F365" s="998" t="n"/>
      <c r="G365" s="975" t="n"/>
      <c r="H365" s="998" t="n"/>
      <c r="I365" s="998" t="n"/>
      <c r="J365" s="975" t="n"/>
      <c r="K365" s="1189">
        <f>K359=L365</f>
        <v/>
      </c>
      <c r="L365" s="491">
        <f>SUM(L359:L364)</f>
        <v/>
      </c>
      <c r="M365" s="1190" t="inlineStr">
        <is>
          <t xml:space="preserve">“Verdadero” indica que la cantidad por lote, coincide con el saldo que inicia al mes siguiente. "Falso" no coinicide. </t>
        </is>
      </c>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496">
        <f>FEBRERO!K366</f>
        <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73"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73"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73"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73"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73"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75"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496">
        <f>FEBRERO!K373</f>
        <v/>
      </c>
      <c r="E373" s="731" t="n"/>
      <c r="F373" s="731" t="n"/>
      <c r="G373" s="730">
        <f>E373+F373</f>
        <v/>
      </c>
      <c r="H373" s="731" t="n">
        <v>1000</v>
      </c>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496">
        <f>FEBRERO!K374</f>
        <v/>
      </c>
      <c r="E374" s="731" t="n"/>
      <c r="F374" s="731" t="n"/>
      <c r="G374" s="730">
        <f>E374+F374</f>
        <v/>
      </c>
      <c r="H374" s="731" t="n">
        <v>1650</v>
      </c>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496">
        <f>FEBRERO!K375</f>
        <v/>
      </c>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496">
        <f>FEBRERO!K376</f>
        <v/>
      </c>
      <c r="E376" s="731" t="n"/>
      <c r="F376" s="731" t="n"/>
      <c r="G376" s="730">
        <f>E376+F376</f>
        <v/>
      </c>
      <c r="H376" s="731" t="n">
        <v>630</v>
      </c>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496">
        <f>FEBRERO!K377</f>
        <v/>
      </c>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496">
        <f>FEBRERO!K378</f>
        <v/>
      </c>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496">
        <f>FEBRERO!K379</f>
        <v/>
      </c>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623" t="inlineStr">
        <is>
          <t>ÍTEM</t>
        </is>
      </c>
      <c r="B381" s="719" t="inlineStr">
        <is>
          <t>VACUNA COVID-19</t>
        </is>
      </c>
      <c r="C381" s="965" t="n"/>
      <c r="D381" s="716" t="inlineStr">
        <is>
          <t>SALDO MES ANTERIOR</t>
        </is>
      </c>
      <c r="E381" s="1179" t="inlineStr">
        <is>
          <t>ENTRADA</t>
        </is>
      </c>
      <c r="F381" s="1180" t="n"/>
      <c r="G381" s="965" t="n"/>
      <c r="H381" s="715" t="inlineStr">
        <is>
          <t>SALIDAS</t>
        </is>
      </c>
      <c r="I381" s="968" t="n"/>
      <c r="J381" s="967" t="n"/>
      <c r="K381" s="623" t="inlineStr">
        <is>
          <t>SALDO QUE INICIA EL MES SIGUIENTE</t>
        </is>
      </c>
      <c r="L381" s="623" t="inlineStr">
        <is>
          <t>DOSIS POR LOTES</t>
        </is>
      </c>
      <c r="M381" s="623" t="inlineStr">
        <is>
          <t xml:space="preserve">No. LOTE </t>
        </is>
      </c>
      <c r="N381" s="623" t="inlineStr">
        <is>
          <t>LABORATORIO</t>
        </is>
      </c>
      <c r="O381" s="623" t="inlineStr">
        <is>
          <t>FECHA DE VENCIMIENTO</t>
        </is>
      </c>
      <c r="P381" s="623" t="inlineStr">
        <is>
          <t>SEMAFORIZACION VIDA  ÚTIL DEL BIOLÓGICO</t>
        </is>
      </c>
      <c r="Q381" s="623" t="inlineStr">
        <is>
          <t>CONDICIÓN FINAL DEL BIOLÓGICO, DILUYENTE Y CARNET</t>
        </is>
      </c>
      <c r="R381" s="613" t="inlineStr">
        <is>
          <t>DOSIS EN CUARENTENA</t>
        </is>
      </c>
      <c r="S381" s="613" t="inlineStr">
        <is>
          <t>LABORATORIO</t>
        </is>
      </c>
      <c r="T381" s="613" t="inlineStr">
        <is>
          <t>No. LOTE</t>
        </is>
      </c>
      <c r="U381" s="613" t="inlineStr">
        <is>
          <t>FECHA DE VENCIMEINTO</t>
        </is>
      </c>
      <c r="V381" s="613" t="inlineStr">
        <is>
          <t>FECHA DE INICIO CUARENTENA</t>
        </is>
      </c>
      <c r="W381" s="613" t="inlineStr">
        <is>
          <t>OBSERVACIONES</t>
        </is>
      </c>
      <c r="X381" s="250" t="n"/>
      <c r="Z381" s="1221" t="inlineStr">
        <is>
          <t>MOTIVOS DE NO USO DE VACUNAS CONTRA LA COVID-19
RESOLUCIÓN 0118 DEL 27 DE ENERO DE 2026
DISPONIBLE EN EL SIGUIENTE LINK: https://www.minsalud.gov.co/Normatividad_Nuevo/Resolucion%20No%20118%20de%202026.pdf</t>
        </is>
      </c>
      <c r="AA381" s="968" t="n"/>
      <c r="AB381" s="968" t="n"/>
      <c r="AC381" s="968" t="n"/>
      <c r="AD381" s="968" t="n"/>
      <c r="AE381" s="968" t="n"/>
      <c r="AF381" s="968" t="n"/>
      <c r="AG381" s="968" t="n"/>
      <c r="AH381" s="968" t="n"/>
      <c r="AI381" s="968" t="n"/>
      <c r="AJ381" s="968" t="n"/>
      <c r="AK381" s="968" t="n"/>
      <c r="AL381" s="967" t="n"/>
      <c r="AM381" s="532" t="inlineStr">
        <is>
          <t xml:space="preserve">TOTAL DOSIS PERDIDAS        </t>
        </is>
      </c>
      <c r="AN381" s="478" t="n"/>
      <c r="AO381" s="368" t="n"/>
      <c r="AU381" s="251" t="n"/>
      <c r="AV381" s="251" t="n"/>
    </row>
    <row r="382" ht="28.5" customHeight="1">
      <c r="A382" s="973" t="n"/>
      <c r="B382" s="971" t="n"/>
      <c r="C382" s="972" t="n"/>
      <c r="D382" s="973" t="n"/>
      <c r="E382" s="623" t="inlineStr">
        <is>
          <t>DOSIS RECIBIDAS DEL ALMACÉN CENTRAL DEL MSPS</t>
        </is>
      </c>
      <c r="F382" s="623" t="inlineStr">
        <is>
          <t>DOSIS RECIBIDAS X TRASLADO DEL CA DEPARTAMENTAL O DISTRITAL</t>
        </is>
      </c>
      <c r="G382" s="623" t="inlineStr">
        <is>
          <t>TOTAL ENTRADAS</t>
        </is>
      </c>
      <c r="H382" s="711" t="inlineStr">
        <is>
          <t>DOSIS DESPACHADAS A LOS MUNICIPIOS / DISTRITOS A IPS</t>
        </is>
      </c>
      <c r="I382" s="711" t="inlineStr">
        <is>
          <t>DOSIS TRASLADADAS A OTROS DEPARTAMENTOS O DISTRITOS</t>
        </is>
      </c>
      <c r="J382" s="716" t="inlineStr">
        <is>
          <t>DOSIS PERDIDAS</t>
        </is>
      </c>
      <c r="K382" s="973" t="n"/>
      <c r="L382" s="973" t="n"/>
      <c r="M382" s="973" t="n"/>
      <c r="N382" s="973" t="n"/>
      <c r="O382" s="973" t="n"/>
      <c r="P382" s="973" t="n"/>
      <c r="Q382" s="973" t="n"/>
      <c r="R382" s="973" t="n"/>
      <c r="S382" s="973" t="n"/>
      <c r="T382" s="973" t="n"/>
      <c r="U382" s="973" t="n"/>
      <c r="V382" s="973" t="n"/>
      <c r="W382" s="973" t="n"/>
      <c r="X382" s="250" t="n"/>
      <c r="Y382" s="252" t="n"/>
      <c r="Z382" s="533" t="n">
        <v>1</v>
      </c>
      <c r="AA382" s="967" t="n"/>
      <c r="AB382" s="533" t="n">
        <v>2</v>
      </c>
      <c r="AC382" s="533" t="n">
        <v>3</v>
      </c>
      <c r="AD382" s="533" t="n">
        <v>4</v>
      </c>
      <c r="AE382" s="533" t="n">
        <v>5</v>
      </c>
      <c r="AF382" s="533" t="n">
        <v>6</v>
      </c>
      <c r="AG382" s="533" t="n">
        <v>7</v>
      </c>
      <c r="AH382" s="533" t="n">
        <v>8</v>
      </c>
      <c r="AI382" s="533" t="n">
        <v>9</v>
      </c>
      <c r="AJ382" s="533" t="n">
        <v>10</v>
      </c>
      <c r="AK382" s="533" t="n">
        <v>11</v>
      </c>
      <c r="AL382" s="533" t="n">
        <v>12</v>
      </c>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inlineStr">
        <is>
          <t>POLÍTICA DE FRASCOS ABIERTO</t>
        </is>
      </c>
      <c r="AA383" s="967" t="n"/>
      <c r="AB383" s="1222" t="inlineStr">
        <is>
          <t>INTERRUPCIÓN DE LA CADENA DE FRÍO</t>
        </is>
      </c>
      <c r="AC383" s="537" t="inlineStr">
        <is>
          <t>CONTAMINACIÓN DEL BIOLÓGICO</t>
        </is>
      </c>
      <c r="AD383" s="1222" t="inlineStr">
        <is>
          <t>ERROR EN LA MANIPULACIÓN</t>
        </is>
      </c>
      <c r="AE383" s="537" t="inlineStr">
        <is>
          <t>ERROR EN LA RECONSTITUCIÓN/DILUCIÓN</t>
        </is>
      </c>
      <c r="AF383" s="1222" t="inlineStr">
        <is>
          <t>ERROR EN LA DOSIFICACIÓN</t>
        </is>
      </c>
      <c r="AG383" s="537" t="inlineStr">
        <is>
          <t>VACUNA QUE EXCEDE EL TIEMPO DE ALMACENAMIENTO EN REFRIGERACIÓN</t>
        </is>
      </c>
      <c r="AH383" s="1222" t="inlineStr">
        <is>
          <t>VENCIMIENTO DEL BIOLÓGICO</t>
        </is>
      </c>
      <c r="AI383" s="537" t="inlineStr">
        <is>
          <t>FRASCO VIAL ROTO</t>
        </is>
      </c>
      <c r="AJ383" s="1222" t="inlineStr">
        <is>
          <t>FALLAS DE FABRICACIÓN/CALIDAD</t>
        </is>
      </c>
      <c r="AK383" s="537" t="inlineStr">
        <is>
          <t>SINIESTRO / ACCIDENTE</t>
        </is>
      </c>
      <c r="AL383" s="1222" t="inlineStr">
        <is>
          <t>ROBO/HURTO BIOLÓGICO</t>
        </is>
      </c>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496">
        <f>FEBRERO!K385</f>
        <v/>
      </c>
      <c r="E385" s="731" t="n"/>
      <c r="F385" s="731" t="n"/>
      <c r="G385" s="730">
        <f>E385+F385</f>
        <v/>
      </c>
      <c r="H385" s="731" t="n"/>
      <c r="I385" s="731" t="n"/>
      <c r="J385" s="732">
        <f>AM385</f>
        <v/>
      </c>
      <c r="K385" s="706">
        <f>+(D385+G385)-(H385+I385+J385)</f>
        <v/>
      </c>
      <c r="L385" s="486" t="n"/>
      <c r="M385" s="487" t="n"/>
      <c r="N385" s="487" t="n"/>
      <c r="O385" s="1223" t="n"/>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73"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73"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73"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75" t="n"/>
      <c r="E389" s="998" t="n"/>
      <c r="F389" s="998" t="n"/>
      <c r="G389" s="975" t="n"/>
      <c r="H389" s="998" t="n"/>
      <c r="I389" s="998" t="n"/>
      <c r="J389" s="975" t="n"/>
      <c r="K389" s="1189">
        <f>K385=L389</f>
        <v/>
      </c>
      <c r="L389" s="491">
        <f>SUM(L385:L388)</f>
        <v/>
      </c>
      <c r="M389" s="1190" t="inlineStr">
        <is>
          <t xml:space="preserve">“Verdadero” indica que la cantidad por lote, coincide con el saldo que inicia al mes siguiente. "Falso" no coinicide. </t>
        </is>
      </c>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496">
        <f>FEBRERO!K390</f>
        <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73"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73"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73"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75" t="n"/>
      <c r="E394" s="998" t="n"/>
      <c r="F394" s="998" t="n"/>
      <c r="G394" s="975" t="n"/>
      <c r="H394" s="998" t="n"/>
      <c r="I394" s="998" t="n"/>
      <c r="J394" s="975" t="n"/>
      <c r="K394" s="1189">
        <f>K390=L394</f>
        <v/>
      </c>
      <c r="L394" s="491">
        <f>SUM(L390:L393)</f>
        <v/>
      </c>
      <c r="M394" s="1190" t="inlineStr">
        <is>
          <t xml:space="preserve">“Verdadero” indica que la cantidad por lote, coincide con el saldo que inicia al mes siguiente. "Falso" no coinicide. </t>
        </is>
      </c>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496">
        <f>FEBRERO!K395</f>
        <v/>
      </c>
      <c r="E395" s="731" t="n"/>
      <c r="F395" s="731" t="n"/>
      <c r="G395" s="730">
        <f>E395+F395</f>
        <v/>
      </c>
      <c r="H395" s="731" t="n">
        <v>0</v>
      </c>
      <c r="I395" s="731" t="n"/>
      <c r="J395" s="732">
        <f>AM395</f>
        <v/>
      </c>
      <c r="K395" s="706">
        <f>+(D395+G395)-(H395+I395+J395)</f>
        <v/>
      </c>
      <c r="L395" s="486" t="n"/>
      <c r="M395" s="487" t="n"/>
      <c r="N395" s="487" t="n"/>
      <c r="O395" s="1223" t="n"/>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73"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73"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73"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75" t="n"/>
      <c r="E399" s="998" t="n"/>
      <c r="F399" s="998" t="n"/>
      <c r="G399" s="975" t="n"/>
      <c r="H399" s="998" t="n"/>
      <c r="I399" s="998" t="n"/>
      <c r="J399" s="975" t="n"/>
      <c r="K399" s="1189">
        <f>K395=L399</f>
        <v/>
      </c>
      <c r="L399" s="491">
        <f>SUM(L395:L398)</f>
        <v/>
      </c>
      <c r="M399" s="1190" t="inlineStr">
        <is>
          <t xml:space="preserve">“Verdadero” indica que la cantidad por lote, coincide con el saldo que inicia al mes siguiente. "Falso" no coinicide. </t>
        </is>
      </c>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496">
        <f>FEBRERO!K400</f>
        <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73"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73"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73"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75" t="n"/>
      <c r="E404" s="998" t="n"/>
      <c r="F404" s="998" t="n"/>
      <c r="G404" s="975" t="n"/>
      <c r="H404" s="998" t="n"/>
      <c r="I404" s="998" t="n"/>
      <c r="J404" s="975" t="n"/>
      <c r="K404" s="1189">
        <f>K400=L404</f>
        <v/>
      </c>
      <c r="L404" s="491">
        <f>SUM(L400:L403)</f>
        <v/>
      </c>
      <c r="M404" s="1190" t="inlineStr">
        <is>
          <t xml:space="preserve">“Verdadero” indica que la cantidad por lote, coincide con el saldo que inicia al mes siguiente. "Falso" no coinicide. </t>
        </is>
      </c>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496">
        <f>FEBRERO!K405</f>
        <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73"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73"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73"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75" t="n"/>
      <c r="E409" s="998" t="n"/>
      <c r="F409" s="998" t="n"/>
      <c r="G409" s="975" t="n"/>
      <c r="H409" s="998" t="n"/>
      <c r="I409" s="998" t="n"/>
      <c r="J409" s="975" t="n"/>
      <c r="K409" s="1189">
        <f>K405=L409</f>
        <v/>
      </c>
      <c r="L409" s="491">
        <f>SUM(L405:L408)</f>
        <v/>
      </c>
      <c r="M409" s="1190" t="inlineStr">
        <is>
          <t xml:space="preserve">“Verdadero” indica que la cantidad por lote, coincide con el saldo que inicia al mes siguiente. "Falso" no coinicide. </t>
        </is>
      </c>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1268" t="inlineStr">
        <is>
          <t>ÍTEM</t>
        </is>
      </c>
      <c r="B413" s="1268" t="inlineStr">
        <is>
          <t>INSUMOS</t>
        </is>
      </c>
      <c r="C413" s="965" t="n"/>
      <c r="D413" s="1231" t="inlineStr">
        <is>
          <t>SALDO MES ANTERIOR</t>
        </is>
      </c>
      <c r="E413" s="961" t="inlineStr">
        <is>
          <t>BIOLÓGICO RECIBIDO DEL CENTRO DE ACOPIO DEPARTAMENTAL / DISTRITAL</t>
        </is>
      </c>
      <c r="F413" s="1231" t="inlineStr">
        <is>
          <t>DOSIS APLICADAS</t>
        </is>
      </c>
      <c r="G413" s="967" t="n"/>
      <c r="H413" s="1232" t="inlineStr">
        <is>
          <t>TOTAL DOSIS APLICADAS</t>
        </is>
      </c>
      <c r="I413" s="961" t="inlineStr">
        <is>
          <t>DOSIS PERDIDAS</t>
        </is>
      </c>
      <c r="J413" s="1231" t="inlineStr">
        <is>
          <t>TOTAL DOSIS ÚTILIZADAS EN EL MES</t>
        </is>
      </c>
      <c r="K413" s="623" t="inlineStr">
        <is>
          <t>SALDO QUE INICIA EL MES SIGUIENTE (SOLO MUNICIPIOS)</t>
        </is>
      </c>
      <c r="L413" s="623" t="inlineStr">
        <is>
          <t>DOSIS POR LOTES</t>
        </is>
      </c>
      <c r="M413" s="623" t="inlineStr">
        <is>
          <t xml:space="preserve">No. LOTE </t>
        </is>
      </c>
      <c r="N413" s="1233" t="inlineStr">
        <is>
          <t>LABORATORIO</t>
        </is>
      </c>
      <c r="O413" s="623" t="inlineStr">
        <is>
          <t>FECHA DE VENCIMIENTO</t>
        </is>
      </c>
      <c r="P413" s="623" t="inlineStr">
        <is>
          <t>SEMAFORIZACION VIDA  ÚTIL DEL BIOLÓGICO</t>
        </is>
      </c>
      <c r="Q413" s="623" t="inlineStr">
        <is>
          <t>CONDICIÓN FINAL DEL BIOLÓGICO, DILUYENTE Y CARNET</t>
        </is>
      </c>
      <c r="R413" s="613" t="inlineStr">
        <is>
          <t>DOSIS EN CUARENTENA</t>
        </is>
      </c>
      <c r="S413" s="613" t="inlineStr">
        <is>
          <t>LABORATORIO</t>
        </is>
      </c>
      <c r="T413" s="613" t="inlineStr">
        <is>
          <t>No. LOTE</t>
        </is>
      </c>
      <c r="U413" s="613" t="inlineStr">
        <is>
          <t>FECHA DE VENCIMEINTO</t>
        </is>
      </c>
      <c r="V413" s="613" t="inlineStr">
        <is>
          <t>FECHA DE INICIO CUARENTENA</t>
        </is>
      </c>
      <c r="W413" s="961" t="inlineStr">
        <is>
          <t>PORCENTAJE DE PERDIDA DEL MES</t>
        </is>
      </c>
      <c r="X413" s="961" t="inlineStr">
        <is>
          <t>OBSERVACIONES</t>
        </is>
      </c>
      <c r="Y413" s="232" t="n"/>
      <c r="Z413" s="400" t="inlineStr">
        <is>
          <t>CAUSAS PERDIDA DE BIOLÓGICOS (Remítase a la primera hoja donde se especifica la clasificación de las perdidas)</t>
        </is>
      </c>
      <c r="AA413" s="400" t="n"/>
      <c r="AB413" s="400" t="n"/>
      <c r="AC413" s="400" t="n"/>
      <c r="AD413" s="400" t="n"/>
      <c r="AE413" s="400" t="n"/>
      <c r="AF413" s="400" t="n"/>
      <c r="AG413" s="400" t="n"/>
      <c r="AH413" s="400" t="n"/>
      <c r="AI413" s="400" t="n"/>
      <c r="AJ413" s="400" t="n"/>
      <c r="AK413" s="400" t="n"/>
      <c r="AL413" s="400" t="n"/>
      <c r="AM413" s="1181" t="inlineStr">
        <is>
          <t xml:space="preserve">TOTAL DOSIS PERDIDAS        </t>
        </is>
      </c>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inlineStr">
        <is>
          <t>POLÍTICA DE FRASCOS ABIERTO</t>
        </is>
      </c>
      <c r="AA415" s="968" t="n"/>
      <c r="AB415" s="967" t="n"/>
      <c r="AC415" s="330" t="inlineStr">
        <is>
          <t>INTERRUPCIÓN DE CADENA DE FRÍO</t>
        </is>
      </c>
      <c r="AD415" s="566" t="inlineStr">
        <is>
          <t>CONTAMINACION DEL BIOLÓGICO/DISPOSITIVO MÉDICO</t>
        </is>
      </c>
      <c r="AE415" s="533" t="inlineStr">
        <is>
          <t>VIAL ROTO</t>
        </is>
      </c>
      <c r="AF415" s="566" t="inlineStr">
        <is>
          <t>ERRORES EN LA MANIPULACIÓN</t>
        </is>
      </c>
      <c r="AG415" s="533" t="inlineStr">
        <is>
          <t>VENCIMIENTO DEL BIOLÓGICO O JERINGA</t>
        </is>
      </c>
      <c r="AH415" s="566" t="inlineStr">
        <is>
          <t>FARMACOVIGILANCIA / TECNOVIGILANCIA</t>
        </is>
      </c>
      <c r="AI415" s="533" t="inlineStr">
        <is>
          <t>VOMITO FRANCO</t>
        </is>
      </c>
      <c r="AJ415" s="533" t="inlineStr">
        <is>
          <t>APLICACIÓN FUERA DE LA EDAD</t>
        </is>
      </c>
      <c r="AK415" s="533" t="inlineStr">
        <is>
          <t>POR DECISIÓN FINAL DEL PACIENTE DE NO VACUNACIÓN</t>
        </is>
      </c>
      <c r="AL415" s="566" t="inlineStr">
        <is>
          <t>SINIESTRO O ROBO</t>
        </is>
      </c>
      <c r="AM415" s="973" t="n"/>
      <c r="AN415" s="333" t="n"/>
      <c r="AQ415" s="332" t="n"/>
      <c r="AR415" s="332" t="n"/>
      <c r="AS415" s="332" t="n"/>
      <c r="AT415" s="332" t="n"/>
      <c r="AU415" s="332" t="n"/>
      <c r="AV415" s="566" t="inlineStr">
        <is>
          <t>Dosis reportadas Plantilla Cero</t>
        </is>
      </c>
      <c r="AW415" s="566" t="inlineStr">
        <is>
          <t>Diferencia dosis aplicadas vs dosis reportadas plantilla cero</t>
        </is>
      </c>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inlineStr">
        <is>
          <t>INSTITUCIONAL</t>
        </is>
      </c>
      <c r="AA416" s="533" t="inlineStr">
        <is>
          <t>EXTRAMURAL</t>
        </is>
      </c>
      <c r="AB416" s="533" t="inlineStr">
        <is>
          <t>TOTAL</t>
        </is>
      </c>
      <c r="AC416" s="975" t="n"/>
      <c r="AD416" s="975" t="n"/>
      <c r="AE416" s="975" t="n"/>
      <c r="AF416" s="975" t="n"/>
      <c r="AG416" s="975" t="n"/>
      <c r="AH416" s="975" t="n"/>
      <c r="AI416" s="975" t="n"/>
      <c r="AJ416" s="975" t="n"/>
      <c r="AK416" s="975" t="n"/>
      <c r="AL416" s="975" t="n"/>
      <c r="AM416" s="975" t="n"/>
      <c r="AN416" s="333" t="n"/>
      <c r="AQ416" s="546" t="inlineStr">
        <is>
          <t>PORCENTAJE DE PERDIDA DEL MES
%</t>
        </is>
      </c>
      <c r="AR416" s="546" t="inlineStr">
        <is>
          <t>FACTOR DE PERDIDA DEL MES</t>
        </is>
      </c>
      <c r="AS416" s="420" t="inlineStr">
        <is>
          <t>% DE PERDIDA DEL MSPS</t>
        </is>
      </c>
      <c r="AT416" s="420" t="inlineStr">
        <is>
          <t>DOSIS POR VIAL</t>
        </is>
      </c>
      <c r="AU416" s="332" t="n"/>
      <c r="AV416" s="975" t="n"/>
      <c r="AW416" s="975" t="n"/>
    </row>
    <row r="417" ht="17.25" customHeight="1">
      <c r="A417" s="585" t="n">
        <v>1</v>
      </c>
      <c r="B417" s="640" t="inlineStr">
        <is>
          <t>Vacuna de BCG (Bacilo de Calmette y Guérin) Liofilizada</t>
        </is>
      </c>
      <c r="C417" s="965" t="n"/>
      <c r="D417" s="413">
        <f>FEBRERO!K417</f>
        <v/>
      </c>
      <c r="E417" s="339">
        <f>H13</f>
        <v/>
      </c>
      <c r="F417" s="338" t="n">
        <v>687</v>
      </c>
      <c r="G417" s="338" t="n">
        <v>28</v>
      </c>
      <c r="H417" s="1235">
        <f>+F417+G417</f>
        <v/>
      </c>
      <c r="I417" s="340">
        <f>+AM417</f>
        <v/>
      </c>
      <c r="J417" s="341">
        <f>+H417+I417</f>
        <v/>
      </c>
      <c r="K417" s="583">
        <f>+(D417+E417)-(J417)</f>
        <v/>
      </c>
      <c r="L417" s="253" t="n">
        <v>1615</v>
      </c>
      <c r="M417" s="254" t="inlineStr">
        <is>
          <t>0374MA072</t>
        </is>
      </c>
      <c r="N417" s="254" t="inlineStr">
        <is>
          <t>Serum</t>
        </is>
      </c>
      <c r="O417" s="1183" t="inlineStr">
        <is>
          <t>31/12/2026</t>
        </is>
      </c>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v>971</v>
      </c>
      <c r="AA417" s="648" t="n">
        <v>404</v>
      </c>
      <c r="AB417" s="649">
        <f>+Z417+AA417</f>
        <v/>
      </c>
      <c r="AC417" s="648" t="n">
        <v>0</v>
      </c>
      <c r="AD417" s="648" t="n">
        <v>0</v>
      </c>
      <c r="AE417" s="648" t="n">
        <v>0</v>
      </c>
      <c r="AF417" s="648" t="n">
        <v>0</v>
      </c>
      <c r="AG417" s="648" t="n">
        <v>0</v>
      </c>
      <c r="AH417" s="648" t="n">
        <v>0</v>
      </c>
      <c r="AI417" s="648" t="n">
        <v>0</v>
      </c>
      <c r="AJ417" s="648" t="n">
        <v>0</v>
      </c>
      <c r="AK417" s="648" t="n">
        <v>0</v>
      </c>
      <c r="AL417" s="648" t="n">
        <v>0</v>
      </c>
      <c r="AM417" s="421">
        <f>SUM(AB417:AL421)</f>
        <v/>
      </c>
      <c r="AN417" s="726" t="n"/>
      <c r="AQ417" s="1238">
        <f>IFERROR(I417/J417*100,"0")</f>
        <v/>
      </c>
      <c r="AR417" s="343">
        <f>IFERROR(1/(1-(AQ417/100)),"0")</f>
        <v/>
      </c>
      <c r="AS417" s="1239" t="n">
        <v>75</v>
      </c>
      <c r="AT417" s="345" t="n">
        <v>20</v>
      </c>
      <c r="AU417" s="1240" t="n"/>
      <c r="AV417" s="1241" t="n"/>
      <c r="AW417" s="1242">
        <f>+H417-AV417</f>
        <v/>
      </c>
    </row>
    <row r="418" ht="17.25" customHeight="1">
      <c r="A418" s="973" t="n"/>
      <c r="B418" s="971" t="n"/>
      <c r="C418" s="972" t="n"/>
      <c r="D418" s="973" t="n"/>
      <c r="E418" s="973" t="n"/>
      <c r="F418" s="994" t="n"/>
      <c r="G418" s="994" t="n"/>
      <c r="H418" s="973" t="n"/>
      <c r="I418" s="973" t="n"/>
      <c r="J418" s="973" t="n"/>
      <c r="K418" s="973" t="n"/>
      <c r="L418" s="253" t="n">
        <v>860</v>
      </c>
      <c r="M418" s="254" t="inlineStr">
        <is>
          <t>0374MA071</t>
        </is>
      </c>
      <c r="N418" s="254" t="inlineStr">
        <is>
          <t>Serum</t>
        </is>
      </c>
      <c r="O418" s="1183" t="inlineStr">
        <is>
          <t>31/12/2026</t>
        </is>
      </c>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73" t="n"/>
      <c r="E419" s="973" t="n"/>
      <c r="F419" s="994" t="n"/>
      <c r="G419" s="994" t="n"/>
      <c r="H419" s="973" t="n"/>
      <c r="I419" s="973" t="n"/>
      <c r="J419" s="973" t="n"/>
      <c r="K419" s="973" t="n"/>
      <c r="L419" s="253" t="n">
        <v>90</v>
      </c>
      <c r="M419" s="254" t="inlineStr">
        <is>
          <t>0373MA117</t>
        </is>
      </c>
      <c r="N419" s="254" t="inlineStr">
        <is>
          <t>Serum</t>
        </is>
      </c>
      <c r="O419" s="1183" t="inlineStr">
        <is>
          <t>30/06/2026</t>
        </is>
      </c>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73" t="n"/>
      <c r="E420" s="973" t="n"/>
      <c r="F420" s="994" t="n"/>
      <c r="G420" s="994" t="n"/>
      <c r="H420" s="973" t="n"/>
      <c r="I420" s="973" t="n"/>
      <c r="J420" s="973" t="n"/>
      <c r="K420" s="973" t="n"/>
      <c r="L420" s="253" t="n"/>
      <c r="M420" s="254" t="n"/>
      <c r="N420" s="254" t="n"/>
      <c r="O420" s="1183" t="n"/>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73"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75" t="n"/>
      <c r="E422" s="975" t="n"/>
      <c r="F422" s="998" t="n"/>
      <c r="G422" s="998" t="n"/>
      <c r="H422" s="975" t="n"/>
      <c r="I422" s="975" t="n"/>
      <c r="J422" s="975" t="n"/>
      <c r="K422" s="1189">
        <f>K417=L422</f>
        <v/>
      </c>
      <c r="L422" s="491">
        <f>SUM(L417:L421)</f>
        <v/>
      </c>
      <c r="M422" s="1190" t="inlineStr">
        <is>
          <t xml:space="preserve">“Verdadero” indica que la cantidad por lote, coincide con el saldo que inicia al mes siguiente. "Falso" no coinicide. </t>
        </is>
      </c>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413">
        <f>FEBRERO!K423</f>
        <v/>
      </c>
      <c r="E423" s="339">
        <f>H19</f>
        <v/>
      </c>
      <c r="F423" s="338" t="n">
        <v>677</v>
      </c>
      <c r="G423" s="338" t="n">
        <v>30</v>
      </c>
      <c r="H423" s="1235">
        <f>+F423+G423</f>
        <v/>
      </c>
      <c r="I423" s="340">
        <f>+AM423</f>
        <v/>
      </c>
      <c r="J423" s="341">
        <f>+H423+I423</f>
        <v/>
      </c>
      <c r="K423" s="583">
        <f>+(D423+E423)-(J423)</f>
        <v/>
      </c>
      <c r="L423" s="253" t="n">
        <v>390</v>
      </c>
      <c r="M423" s="254" t="inlineStr">
        <is>
          <t>0324L013B</t>
        </is>
      </c>
      <c r="N423" s="254" t="inlineStr">
        <is>
          <t>Serum</t>
        </is>
      </c>
      <c r="O423" s="1183" t="inlineStr">
        <is>
          <t>30/11/2027</t>
        </is>
      </c>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v>0</v>
      </c>
      <c r="AA423" s="648" t="n">
        <v>0</v>
      </c>
      <c r="AB423" s="649">
        <f>+Z423+AA423</f>
        <v/>
      </c>
      <c r="AC423" s="648" t="n">
        <v>0</v>
      </c>
      <c r="AD423" s="648" t="n">
        <v>0</v>
      </c>
      <c r="AE423" s="648" t="n">
        <v>0</v>
      </c>
      <c r="AF423" s="648" t="n">
        <v>0</v>
      </c>
      <c r="AG423" s="648" t="n">
        <v>0</v>
      </c>
      <c r="AH423" s="648" t="n">
        <v>0</v>
      </c>
      <c r="AI423" s="648" t="n">
        <v>0</v>
      </c>
      <c r="AJ423" s="648" t="n">
        <v>0</v>
      </c>
      <c r="AK423" s="648" t="n">
        <v>0</v>
      </c>
      <c r="AL423" s="648" t="n">
        <v>0</v>
      </c>
      <c r="AM423" s="421">
        <f>SUM(AB423:AL427)</f>
        <v/>
      </c>
      <c r="AN423" s="726" t="n"/>
      <c r="AQ423" s="1238">
        <f>IFERROR(I423/J423*100,"0")</f>
        <v/>
      </c>
      <c r="AR423" s="343">
        <f>IFERROR(1/(1-(AQ423/100)),"0")</f>
        <v/>
      </c>
      <c r="AS423" s="1239" t="n">
        <v>0</v>
      </c>
      <c r="AT423" s="345" t="n">
        <v>1</v>
      </c>
      <c r="AU423" s="1240" t="n"/>
      <c r="AV423" s="1241" t="n"/>
      <c r="AW423" s="1242">
        <f>+H423-AV423</f>
        <v/>
      </c>
    </row>
    <row r="424" ht="17.25" customHeight="1">
      <c r="A424" s="973" t="n"/>
      <c r="B424" s="971" t="n"/>
      <c r="C424" s="972" t="n"/>
      <c r="D424" s="973" t="n"/>
      <c r="E424" s="973" t="n"/>
      <c r="F424" s="994" t="n"/>
      <c r="G424" s="994" t="n"/>
      <c r="H424" s="973" t="n"/>
      <c r="I424" s="973" t="n"/>
      <c r="J424" s="973" t="n"/>
      <c r="K424" s="973" t="n"/>
      <c r="L424" s="253" t="n">
        <v>139</v>
      </c>
      <c r="M424" s="254" t="inlineStr">
        <is>
          <t>0324L013A</t>
        </is>
      </c>
      <c r="N424" s="254" t="inlineStr">
        <is>
          <t>Serum</t>
        </is>
      </c>
      <c r="O424" s="1183" t="inlineStr">
        <is>
          <t>30/11/2027</t>
        </is>
      </c>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73" t="n"/>
      <c r="E425" s="973" t="n"/>
      <c r="F425" s="994" t="n"/>
      <c r="G425" s="994" t="n"/>
      <c r="H425" s="973" t="n"/>
      <c r="I425" s="973" t="n"/>
      <c r="J425" s="973" t="n"/>
      <c r="K425" s="973" t="n"/>
      <c r="L425" s="253" t="n">
        <v>128</v>
      </c>
      <c r="M425" s="254" t="inlineStr">
        <is>
          <t>0323Q014D</t>
        </is>
      </c>
      <c r="N425" s="254" t="inlineStr">
        <is>
          <t>Serum</t>
        </is>
      </c>
      <c r="O425" s="1183" t="inlineStr">
        <is>
          <t>30/04/2026</t>
        </is>
      </c>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73" t="n"/>
      <c r="E426" s="973" t="n"/>
      <c r="F426" s="994" t="n"/>
      <c r="G426" s="994" t="n"/>
      <c r="H426" s="973" t="n"/>
      <c r="I426" s="973" t="n"/>
      <c r="J426" s="973" t="n"/>
      <c r="K426" s="973" t="n"/>
      <c r="L426" s="253" t="n">
        <v>99</v>
      </c>
      <c r="M426" s="254" t="inlineStr">
        <is>
          <t>0323X019E</t>
        </is>
      </c>
      <c r="N426" s="254" t="inlineStr">
        <is>
          <t>Serum</t>
        </is>
      </c>
      <c r="O426" s="1183" t="inlineStr">
        <is>
          <t>31/05/2026</t>
        </is>
      </c>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73" t="n"/>
      <c r="E427" s="973" t="n"/>
      <c r="F427" s="994" t="n"/>
      <c r="G427" s="994" t="n"/>
      <c r="H427" s="973" t="n"/>
      <c r="I427" s="973" t="n"/>
      <c r="J427" s="973" t="n"/>
      <c r="K427" s="975" t="n"/>
      <c r="L427" s="253" t="n">
        <v>21</v>
      </c>
      <c r="M427" s="254" t="inlineStr">
        <is>
          <t>0324Q002D</t>
        </is>
      </c>
      <c r="N427" s="254" t="inlineStr">
        <is>
          <t>Serum</t>
        </is>
      </c>
      <c r="O427" s="1183" t="inlineStr">
        <is>
          <t>31/05/2027</t>
        </is>
      </c>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75" t="n"/>
      <c r="E428" s="975" t="n"/>
      <c r="F428" s="998" t="n"/>
      <c r="G428" s="998" t="n"/>
      <c r="H428" s="975" t="n"/>
      <c r="I428" s="975" t="n"/>
      <c r="J428" s="975" t="n"/>
      <c r="K428" s="1189">
        <f>K423=L428</f>
        <v/>
      </c>
      <c r="L428" s="491">
        <f>SUM(L423:L427)</f>
        <v/>
      </c>
      <c r="M428" s="1190" t="inlineStr">
        <is>
          <t xml:space="preserve">“Verdadero” indica que la cantidad por lote, coincide con el saldo que inicia al mes siguiente. "Falso" no coinicide. </t>
        </is>
      </c>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413">
        <f>FEBRERO!K429</f>
        <v/>
      </c>
      <c r="E429" s="339">
        <f>H25</f>
        <v/>
      </c>
      <c r="F429" s="338" t="n">
        <v>96</v>
      </c>
      <c r="G429" s="338" t="n">
        <v>0</v>
      </c>
      <c r="H429" s="1235">
        <f>+F429+G429</f>
        <v/>
      </c>
      <c r="I429" s="340">
        <f>+AM429</f>
        <v/>
      </c>
      <c r="J429" s="341">
        <f>+H429+I429</f>
        <v/>
      </c>
      <c r="K429" s="583">
        <f>+(D429+E429)-(J429)</f>
        <v/>
      </c>
      <c r="L429" s="253" t="n">
        <v>128</v>
      </c>
      <c r="M429" s="254" t="inlineStr">
        <is>
          <t>0323X019E</t>
        </is>
      </c>
      <c r="N429" s="254" t="inlineStr">
        <is>
          <t>Serum</t>
        </is>
      </c>
      <c r="O429" s="1183" t="inlineStr">
        <is>
          <t>31/05/2026</t>
        </is>
      </c>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v>0</v>
      </c>
      <c r="AA429" s="648" t="n">
        <v>0</v>
      </c>
      <c r="AB429" s="649">
        <f>+Z429+AA429</f>
        <v/>
      </c>
      <c r="AC429" s="648" t="n">
        <v>0</v>
      </c>
      <c r="AD429" s="648" t="n">
        <v>0</v>
      </c>
      <c r="AE429" s="648" t="n">
        <v>0</v>
      </c>
      <c r="AF429" s="648" t="n">
        <v>0</v>
      </c>
      <c r="AG429" s="648" t="n">
        <v>0</v>
      </c>
      <c r="AH429" s="648" t="n">
        <v>0</v>
      </c>
      <c r="AI429" s="648" t="n">
        <v>0</v>
      </c>
      <c r="AJ429" s="648" t="n">
        <v>0</v>
      </c>
      <c r="AK429" s="648" t="n">
        <v>0</v>
      </c>
      <c r="AL429" s="648" t="n">
        <v>0</v>
      </c>
      <c r="AM429" s="421">
        <f>SUM(AB429:AL433)</f>
        <v/>
      </c>
      <c r="AN429" s="726" t="n"/>
      <c r="AQ429" s="1238">
        <f>IFERROR(I429/J429*100,"0")</f>
        <v/>
      </c>
      <c r="AR429" s="343">
        <f>IFERROR(1/(1-(AQ429/100)),"0")</f>
        <v/>
      </c>
      <c r="AS429" s="1239" t="n">
        <v>0</v>
      </c>
      <c r="AT429" s="345" t="n">
        <v>1</v>
      </c>
      <c r="AU429" s="1240" t="n"/>
      <c r="AV429" s="1241" t="n"/>
      <c r="AW429" s="1242">
        <f>+H429-AV429</f>
        <v/>
      </c>
    </row>
    <row r="430" ht="17.25" customHeight="1">
      <c r="A430" s="973" t="n"/>
      <c r="B430" s="971" t="n"/>
      <c r="C430" s="972" t="n"/>
      <c r="D430" s="973" t="n"/>
      <c r="E430" s="973" t="n"/>
      <c r="F430" s="994" t="n"/>
      <c r="G430" s="994" t="n"/>
      <c r="H430" s="973" t="n"/>
      <c r="I430" s="973" t="n"/>
      <c r="J430" s="973" t="n"/>
      <c r="K430" s="973" t="n"/>
      <c r="L430" s="253" t="n">
        <v>89</v>
      </c>
      <c r="M430" s="254" t="inlineStr">
        <is>
          <t>0343Q010C</t>
        </is>
      </c>
      <c r="N430" s="254" t="inlineStr">
        <is>
          <t>Serum</t>
        </is>
      </c>
      <c r="O430" s="1183" t="inlineStr">
        <is>
          <t>31/07/2026</t>
        </is>
      </c>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73" t="n"/>
      <c r="E431" s="973" t="n"/>
      <c r="F431" s="994" t="n"/>
      <c r="G431" s="994" t="n"/>
      <c r="H431" s="973" t="n"/>
      <c r="I431" s="973" t="n"/>
      <c r="J431" s="973" t="n"/>
      <c r="K431" s="973" t="n"/>
      <c r="L431" s="253" t="n">
        <v>20</v>
      </c>
      <c r="M431" s="254" t="inlineStr">
        <is>
          <t>0344X002C</t>
        </is>
      </c>
      <c r="N431" s="254" t="inlineStr">
        <is>
          <t>Serum</t>
        </is>
      </c>
      <c r="O431" s="1183" t="inlineStr">
        <is>
          <t>30/06/2027</t>
        </is>
      </c>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73" t="n"/>
      <c r="E432" s="973" t="n"/>
      <c r="F432" s="994" t="n"/>
      <c r="G432" s="994" t="n"/>
      <c r="H432" s="973" t="n"/>
      <c r="I432" s="973" t="n"/>
      <c r="J432" s="973" t="n"/>
      <c r="K432" s="973" t="n"/>
      <c r="L432" s="253" t="n">
        <v>7</v>
      </c>
      <c r="M432" s="254" t="inlineStr">
        <is>
          <t>0343Q005A</t>
        </is>
      </c>
      <c r="N432" s="254" t="inlineStr">
        <is>
          <t>Serum</t>
        </is>
      </c>
      <c r="O432" s="1183" t="inlineStr">
        <is>
          <t>30/04/2026</t>
        </is>
      </c>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73"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75" t="n"/>
      <c r="E434" s="975" t="n"/>
      <c r="F434" s="998" t="n"/>
      <c r="G434" s="998" t="n"/>
      <c r="H434" s="975" t="n"/>
      <c r="I434" s="975" t="n"/>
      <c r="J434" s="975" t="n"/>
      <c r="K434" s="1189">
        <f>K429=L434</f>
        <v/>
      </c>
      <c r="L434" s="491">
        <f>SUM(L429:L433)</f>
        <v/>
      </c>
      <c r="M434" s="1190" t="inlineStr">
        <is>
          <t xml:space="preserve">“Verdadero” indica que la cantidad por lote, coincide con el saldo que inicia al mes siguiente. "Falso" no coinicide. </t>
        </is>
      </c>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413">
        <f>FEBRERO!K435</f>
        <v/>
      </c>
      <c r="E435" s="339">
        <f>H31</f>
        <v/>
      </c>
      <c r="F435" s="338" t="n">
        <v>3042</v>
      </c>
      <c r="G435" s="338" t="n">
        <v>37</v>
      </c>
      <c r="H435" s="1235">
        <f>+F435+G435</f>
        <v/>
      </c>
      <c r="I435" s="340">
        <f>+AM435</f>
        <v/>
      </c>
      <c r="J435" s="341">
        <f>+H435+I435</f>
        <v/>
      </c>
      <c r="K435" s="583">
        <f>+(D435+E435)-(J435)</f>
        <v/>
      </c>
      <c r="L435" s="253" t="n">
        <v>715</v>
      </c>
      <c r="M435" s="254" t="inlineStr">
        <is>
          <t>2435007A</t>
        </is>
      </c>
      <c r="N435" s="254" t="inlineStr">
        <is>
          <t>Bilthoven Biologicals BV</t>
        </is>
      </c>
      <c r="O435" s="1183" t="inlineStr">
        <is>
          <t>14/05/2027</t>
        </is>
      </c>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v>8</v>
      </c>
      <c r="AA435" s="648" t="n">
        <v>21</v>
      </c>
      <c r="AB435" s="649">
        <f>+Z435+AA435</f>
        <v/>
      </c>
      <c r="AC435" s="648" t="n">
        <v>0</v>
      </c>
      <c r="AD435" s="648" t="n">
        <v>0</v>
      </c>
      <c r="AE435" s="648" t="n">
        <v>0</v>
      </c>
      <c r="AF435" s="648" t="n">
        <v>0</v>
      </c>
      <c r="AG435" s="648" t="n">
        <v>0</v>
      </c>
      <c r="AH435" s="648" t="n">
        <v>0</v>
      </c>
      <c r="AI435" s="648" t="n">
        <v>0</v>
      </c>
      <c r="AJ435" s="648" t="n">
        <v>0</v>
      </c>
      <c r="AK435" s="648" t="n">
        <v>0</v>
      </c>
      <c r="AL435" s="648" t="n">
        <v>0</v>
      </c>
      <c r="AM435" s="421">
        <f>SUM(AB435:AL439)</f>
        <v/>
      </c>
      <c r="AN435" s="726" t="n"/>
      <c r="AQ435" s="1238">
        <f>IFERROR(I435/J435*100,"0")</f>
        <v/>
      </c>
      <c r="AR435" s="343">
        <f>IFERROR(1/(1-(AQ435/100)),"0")</f>
        <v/>
      </c>
      <c r="AS435" s="1239" t="n">
        <v>15</v>
      </c>
      <c r="AT435" s="345" t="n">
        <v>5</v>
      </c>
      <c r="AU435" s="1240" t="n"/>
      <c r="AV435" s="1241" t="n"/>
      <c r="AW435" s="1242">
        <f>+H435-AV435</f>
        <v/>
      </c>
    </row>
    <row r="436" ht="17.25" customHeight="1">
      <c r="A436" s="973" t="n"/>
      <c r="B436" s="971" t="n"/>
      <c r="C436" s="972" t="n"/>
      <c r="D436" s="973" t="n"/>
      <c r="E436" s="973" t="n"/>
      <c r="F436" s="994" t="n"/>
      <c r="G436" s="994" t="n"/>
      <c r="H436" s="973" t="n"/>
      <c r="I436" s="973" t="n"/>
      <c r="J436" s="973" t="n"/>
      <c r="K436" s="973" t="n"/>
      <c r="L436" s="253" t="n">
        <v>587</v>
      </c>
      <c r="M436" s="254" t="inlineStr">
        <is>
          <t>0344X002C</t>
        </is>
      </c>
      <c r="N436" s="254" t="inlineStr">
        <is>
          <t>Serum</t>
        </is>
      </c>
      <c r="O436" s="1183" t="inlineStr">
        <is>
          <t>30/06/2027</t>
        </is>
      </c>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73" t="n"/>
      <c r="E437" s="973" t="n"/>
      <c r="F437" s="994" t="n"/>
      <c r="G437" s="994" t="n"/>
      <c r="H437" s="973" t="n"/>
      <c r="I437" s="973" t="n"/>
      <c r="J437" s="973" t="n"/>
      <c r="K437" s="973" t="n"/>
      <c r="L437" s="253" t="n">
        <v>369</v>
      </c>
      <c r="M437" s="254" t="inlineStr">
        <is>
          <t>2522006A</t>
        </is>
      </c>
      <c r="N437" s="254" t="inlineStr">
        <is>
          <t>Bilthoven Biologicals BV</t>
        </is>
      </c>
      <c r="O437" s="1183" t="inlineStr">
        <is>
          <t>25/02/2028</t>
        </is>
      </c>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73" t="n"/>
      <c r="E438" s="973" t="n"/>
      <c r="F438" s="994" t="n"/>
      <c r="G438" s="994" t="n"/>
      <c r="H438" s="973" t="n"/>
      <c r="I438" s="973" t="n"/>
      <c r="J438" s="973" t="n"/>
      <c r="K438" s="973" t="n"/>
      <c r="L438" s="253" t="n">
        <v>50</v>
      </c>
      <c r="M438" s="254" t="inlineStr">
        <is>
          <t>2413007A</t>
        </is>
      </c>
      <c r="N438" s="254" t="inlineStr">
        <is>
          <t>Bilthoven Biologicals BV</t>
        </is>
      </c>
      <c r="O438" s="1183" t="inlineStr">
        <is>
          <t>30/01/2027</t>
        </is>
      </c>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73" t="n"/>
      <c r="E439" s="973" t="n"/>
      <c r="F439" s="994" t="n"/>
      <c r="G439" s="994" t="n"/>
      <c r="H439" s="973" t="n"/>
      <c r="I439" s="973" t="n"/>
      <c r="J439" s="973" t="n"/>
      <c r="K439" s="975" t="n"/>
      <c r="L439" s="253" t="n">
        <v>23</v>
      </c>
      <c r="M439" s="254" t="inlineStr">
        <is>
          <t>W3B49</t>
        </is>
      </c>
      <c r="N439" s="254" t="inlineStr">
        <is>
          <t>Sanofi Pasteur</t>
        </is>
      </c>
      <c r="O439" s="1183" t="inlineStr">
        <is>
          <t>30/04/2026</t>
        </is>
      </c>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75" t="n"/>
      <c r="E440" s="975" t="n"/>
      <c r="F440" s="998" t="n"/>
      <c r="G440" s="998" t="n"/>
      <c r="H440" s="975" t="n"/>
      <c r="I440" s="975" t="n"/>
      <c r="J440" s="975" t="n"/>
      <c r="K440" s="1189">
        <f>K435=L440</f>
        <v/>
      </c>
      <c r="L440" s="491">
        <f>SUM(L435:L439)</f>
        <v/>
      </c>
      <c r="M440" s="1190" t="inlineStr">
        <is>
          <t xml:space="preserve">“Verdadero” indica que la cantidad por lote, coincide con el saldo que inicia al mes siguiente. "Falso" no coinicide. </t>
        </is>
      </c>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413">
        <f>FEBRERO!K441</f>
        <v/>
      </c>
      <c r="E441" s="339">
        <f>H37</f>
        <v/>
      </c>
      <c r="F441" s="338" t="n">
        <v>2383</v>
      </c>
      <c r="G441" s="338" t="n">
        <v>15</v>
      </c>
      <c r="H441" s="1235">
        <f>+F441+G441</f>
        <v/>
      </c>
      <c r="I441" s="340">
        <f>+AM441</f>
        <v/>
      </c>
      <c r="J441" s="341">
        <f>+H441+I441</f>
        <v/>
      </c>
      <c r="K441" s="583">
        <f>+(D441+E441)-(J441)</f>
        <v/>
      </c>
      <c r="L441" s="253" t="n">
        <v>769</v>
      </c>
      <c r="M441" s="254" t="inlineStr">
        <is>
          <t>2855X001A</t>
        </is>
      </c>
      <c r="N441" s="254" t="inlineStr">
        <is>
          <t>Serum</t>
        </is>
      </c>
      <c r="O441" s="1183" t="inlineStr">
        <is>
          <t>30/06/2027</t>
        </is>
      </c>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v>0</v>
      </c>
      <c r="AA441" s="648" t="n">
        <v>0</v>
      </c>
      <c r="AB441" s="649">
        <f>+Z441+AA441</f>
        <v/>
      </c>
      <c r="AC441" s="648" t="n">
        <v>0</v>
      </c>
      <c r="AD441" s="648" t="n">
        <v>0</v>
      </c>
      <c r="AE441" s="648" t="n">
        <v>0</v>
      </c>
      <c r="AF441" s="648" t="n">
        <v>0</v>
      </c>
      <c r="AG441" s="648" t="n">
        <v>0</v>
      </c>
      <c r="AH441" s="648" t="n">
        <v>0</v>
      </c>
      <c r="AI441" s="648" t="n">
        <v>0</v>
      </c>
      <c r="AJ441" s="648" t="n">
        <v>0</v>
      </c>
      <c r="AK441" s="648" t="n">
        <v>0</v>
      </c>
      <c r="AL441" s="648" t="n">
        <v>0</v>
      </c>
      <c r="AM441" s="421">
        <f>SUM(AB441:AL445)</f>
        <v/>
      </c>
      <c r="AN441" s="726" t="n"/>
      <c r="AQ441" s="1238">
        <f>IFERROR(I441/J441*100,"0")</f>
        <v/>
      </c>
      <c r="AR441" s="343">
        <f>IFERROR(1/(1-(AQ441/100)),"0")</f>
        <v/>
      </c>
      <c r="AS441" s="1239" t="n">
        <v>0</v>
      </c>
      <c r="AT441" s="345" t="n">
        <v>1</v>
      </c>
      <c r="AU441" s="1240" t="n"/>
      <c r="AV441" s="1241" t="n"/>
      <c r="AW441" s="1242">
        <f>+H441-AV441</f>
        <v/>
      </c>
    </row>
    <row r="442" ht="17.25" customHeight="1">
      <c r="A442" s="973" t="n"/>
      <c r="B442" s="971" t="n"/>
      <c r="C442" s="972" t="n"/>
      <c r="D442" s="973" t="n"/>
      <c r="E442" s="973" t="n"/>
      <c r="F442" s="994" t="n"/>
      <c r="G442" s="994" t="n"/>
      <c r="H442" s="973" t="n"/>
      <c r="I442" s="973" t="n"/>
      <c r="J442" s="973" t="n"/>
      <c r="K442" s="973" t="n"/>
      <c r="L442" s="253" t="n">
        <v>415</v>
      </c>
      <c r="M442" s="254" t="inlineStr">
        <is>
          <t>2435007A</t>
        </is>
      </c>
      <c r="N442" s="254" t="inlineStr">
        <is>
          <t>Bilthoven Biologicals BV</t>
        </is>
      </c>
      <c r="O442" s="1183" t="inlineStr">
        <is>
          <t>14/05/2027</t>
        </is>
      </c>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73" t="n"/>
      <c r="E443" s="973" t="n"/>
      <c r="F443" s="994" t="n"/>
      <c r="G443" s="994" t="n"/>
      <c r="H443" s="973" t="n"/>
      <c r="I443" s="973" t="n"/>
      <c r="J443" s="973" t="n"/>
      <c r="K443" s="973" t="n"/>
      <c r="L443" s="253" t="n">
        <v>242</v>
      </c>
      <c r="M443" s="254" t="inlineStr">
        <is>
          <t>2854X041B</t>
        </is>
      </c>
      <c r="N443" s="254" t="inlineStr">
        <is>
          <t>Serum</t>
        </is>
      </c>
      <c r="O443" s="1183" t="inlineStr">
        <is>
          <t>30/04/2027</t>
        </is>
      </c>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73" t="n"/>
      <c r="E444" s="973" t="n"/>
      <c r="F444" s="994" t="n"/>
      <c r="G444" s="994" t="n"/>
      <c r="H444" s="973" t="n"/>
      <c r="I444" s="973" t="n"/>
      <c r="J444" s="973" t="n"/>
      <c r="K444" s="973" t="n"/>
      <c r="L444" s="253" t="n"/>
      <c r="M444" s="254" t="n"/>
      <c r="N444" s="254" t="n"/>
      <c r="O444" s="1183" t="n"/>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73"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75" t="n"/>
      <c r="E446" s="975" t="n"/>
      <c r="F446" s="998" t="n"/>
      <c r="G446" s="998" t="n"/>
      <c r="H446" s="975" t="n"/>
      <c r="I446" s="975" t="n"/>
      <c r="J446" s="975" t="n"/>
      <c r="K446" s="1189">
        <f>K441=L446</f>
        <v/>
      </c>
      <c r="L446" s="491">
        <f>SUM(L441:L445)</f>
        <v/>
      </c>
      <c r="M446" s="1190" t="inlineStr">
        <is>
          <t xml:space="preserve">“Verdadero” indica que la cantidad por lote, coincide con el saldo que inicia al mes siguiente. "Falso" no coinicide. </t>
        </is>
      </c>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413">
        <f>FEBRERO!K447</f>
        <v/>
      </c>
      <c r="E447" s="339">
        <f>H43</f>
        <v/>
      </c>
      <c r="F447" s="338" t="n">
        <v>29</v>
      </c>
      <c r="G447" s="338" t="n">
        <v>1</v>
      </c>
      <c r="H447" s="1235">
        <f>+F447+G447</f>
        <v/>
      </c>
      <c r="I447" s="340">
        <f>+AM447</f>
        <v/>
      </c>
      <c r="J447" s="341">
        <f>+H447+I447</f>
        <v/>
      </c>
      <c r="K447" s="583">
        <f>+(D447+E447)-(J447)</f>
        <v/>
      </c>
      <c r="L447" s="253" t="n">
        <v>43</v>
      </c>
      <c r="M447" s="254" t="inlineStr">
        <is>
          <t>Y3C49</t>
        </is>
      </c>
      <c r="N447" s="254" t="inlineStr">
        <is>
          <t>Sanofi Pasteur</t>
        </is>
      </c>
      <c r="O447" s="1183" t="inlineStr">
        <is>
          <t>29/02/2028</t>
        </is>
      </c>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v>0</v>
      </c>
      <c r="AA447" s="648" t="n">
        <v>0</v>
      </c>
      <c r="AB447" s="649">
        <f>+Z447+AA447</f>
        <v/>
      </c>
      <c r="AC447" s="648" t="n">
        <v>0</v>
      </c>
      <c r="AD447" s="648" t="n">
        <v>0</v>
      </c>
      <c r="AE447" s="648" t="n">
        <v>0</v>
      </c>
      <c r="AF447" s="648" t="n">
        <v>0</v>
      </c>
      <c r="AG447" s="648" t="n">
        <v>0</v>
      </c>
      <c r="AH447" s="648" t="n">
        <v>0</v>
      </c>
      <c r="AI447" s="648" t="n">
        <v>0</v>
      </c>
      <c r="AJ447" s="648" t="n">
        <v>0</v>
      </c>
      <c r="AK447" s="648" t="n">
        <v>0</v>
      </c>
      <c r="AL447" s="648" t="n">
        <v>0</v>
      </c>
      <c r="AM447" s="421">
        <f>SUM(AB447:AL451)</f>
        <v/>
      </c>
      <c r="AN447" s="726" t="n"/>
      <c r="AQ447" s="1238">
        <f>IFERROR(I447/J447*100,"0")</f>
        <v/>
      </c>
      <c r="AR447" s="343">
        <f>IFERROR(1/(1-(AQ447/100)),"0")</f>
        <v/>
      </c>
      <c r="AS447" s="1239" t="n">
        <v>0</v>
      </c>
      <c r="AT447" s="345" t="n">
        <v>1</v>
      </c>
      <c r="AU447" s="1240" t="n"/>
      <c r="AV447" s="1241" t="n"/>
      <c r="AW447" s="1242">
        <f>+H447-AV447</f>
        <v/>
      </c>
    </row>
    <row r="448" ht="17.25" customHeight="1">
      <c r="A448" s="973" t="n"/>
      <c r="B448" s="971" t="n"/>
      <c r="C448" s="972" t="n"/>
      <c r="D448" s="973" t="n"/>
      <c r="E448" s="973" t="n"/>
      <c r="F448" s="994" t="n"/>
      <c r="G448" s="994" t="n"/>
      <c r="H448" s="973" t="n"/>
      <c r="I448" s="973" t="n"/>
      <c r="J448" s="973" t="n"/>
      <c r="K448" s="973" t="n"/>
      <c r="L448" s="253" t="n">
        <v>37</v>
      </c>
      <c r="M448" s="254" t="inlineStr">
        <is>
          <t>202124</t>
        </is>
      </c>
      <c r="N448" s="254" t="inlineStr">
        <is>
          <t>Rymco</t>
        </is>
      </c>
      <c r="O448" s="1183" t="inlineStr">
        <is>
          <t>30/06/2026</t>
        </is>
      </c>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73" t="n"/>
      <c r="E449" s="973" t="n"/>
      <c r="F449" s="994" t="n"/>
      <c r="G449" s="994" t="n"/>
      <c r="H449" s="973" t="n"/>
      <c r="I449" s="973" t="n"/>
      <c r="J449" s="973" t="n"/>
      <c r="K449" s="973" t="n"/>
      <c r="L449" s="253" t="n"/>
      <c r="M449" s="254" t="n"/>
      <c r="N449" s="254" t="n"/>
      <c r="O449" s="1183" t="n"/>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73" t="n"/>
      <c r="E450" s="973" t="n"/>
      <c r="F450" s="994" t="n"/>
      <c r="G450" s="994" t="n"/>
      <c r="H450" s="973" t="n"/>
      <c r="I450" s="973" t="n"/>
      <c r="J450" s="973" t="n"/>
      <c r="K450" s="973" t="n"/>
      <c r="L450" s="253" t="n"/>
      <c r="M450" s="254" t="n"/>
      <c r="N450" s="254" t="n"/>
      <c r="O450" s="1183" t="n"/>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73" t="n"/>
      <c r="E451" s="973" t="n"/>
      <c r="F451" s="994" t="n"/>
      <c r="G451" s="994" t="n"/>
      <c r="H451" s="973" t="n"/>
      <c r="I451" s="973" t="n"/>
      <c r="J451" s="973" t="n"/>
      <c r="K451" s="975" t="n"/>
      <c r="L451" s="253" t="n"/>
      <c r="M451" s="254" t="n"/>
      <c r="N451" s="254" t="n"/>
      <c r="O451" s="1183" t="n"/>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75" t="n"/>
      <c r="E452" s="975" t="n"/>
      <c r="F452" s="998" t="n"/>
      <c r="G452" s="998" t="n"/>
      <c r="H452" s="975" t="n"/>
      <c r="I452" s="975" t="n"/>
      <c r="J452" s="975" t="n"/>
      <c r="K452" s="1189">
        <f>K447=L452</f>
        <v/>
      </c>
      <c r="L452" s="491">
        <f>SUM(L447:L451)</f>
        <v/>
      </c>
      <c r="M452" s="1190" t="inlineStr">
        <is>
          <t xml:space="preserve">“Verdadero” indica que la cantidad por lote, coincide con el saldo que inicia al mes siguiente. "Falso" no coinicide. </t>
        </is>
      </c>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413">
        <f>FEBRERO!K453</f>
        <v/>
      </c>
      <c r="E453" s="339">
        <f>H49</f>
        <v/>
      </c>
      <c r="F453" s="338" t="n">
        <v>0</v>
      </c>
      <c r="G453" s="338" t="n">
        <v>0</v>
      </c>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v>0</v>
      </c>
      <c r="AA453" s="648" t="n">
        <v>0</v>
      </c>
      <c r="AB453" s="649">
        <f>+Z453+AA453</f>
        <v/>
      </c>
      <c r="AC453" s="648" t="n">
        <v>0</v>
      </c>
      <c r="AD453" s="648" t="n">
        <v>0</v>
      </c>
      <c r="AE453" s="648" t="n">
        <v>0</v>
      </c>
      <c r="AF453" s="648" t="n">
        <v>0</v>
      </c>
      <c r="AG453" s="648" t="n">
        <v>0</v>
      </c>
      <c r="AH453" s="648" t="n">
        <v>0</v>
      </c>
      <c r="AI453" s="648" t="n">
        <v>0</v>
      </c>
      <c r="AJ453" s="648" t="n">
        <v>0</v>
      </c>
      <c r="AK453" s="648" t="n">
        <v>0</v>
      </c>
      <c r="AL453" s="648" t="n">
        <v>0</v>
      </c>
      <c r="AM453" s="421">
        <f>SUM(AB453:AL457)</f>
        <v/>
      </c>
      <c r="AN453" s="726" t="n"/>
      <c r="AQ453" s="1238">
        <f>IFERROR(I453/J453*100,"0")</f>
        <v/>
      </c>
      <c r="AR453" s="343">
        <f>IFERROR(1/(1-(AQ453/100)),"0")</f>
        <v/>
      </c>
      <c r="AS453" s="1239" t="n">
        <v>0</v>
      </c>
      <c r="AT453" s="345" t="n">
        <v>1</v>
      </c>
      <c r="AU453" s="1240" t="n"/>
      <c r="AV453" s="1241" t="n"/>
      <c r="AW453" s="1242">
        <f>+H453-AV453</f>
        <v/>
      </c>
    </row>
    <row r="454" ht="17.25" customHeight="1">
      <c r="A454" s="973" t="n"/>
      <c r="B454" s="971" t="n"/>
      <c r="C454" s="972" t="n"/>
      <c r="D454" s="973"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73"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73"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73"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75" t="n"/>
      <c r="E458" s="975" t="n"/>
      <c r="F458" s="998" t="n"/>
      <c r="G458" s="998" t="n"/>
      <c r="H458" s="975" t="n"/>
      <c r="I458" s="975" t="n"/>
      <c r="J458" s="975" t="n"/>
      <c r="K458" s="1189">
        <f>K453=L458</f>
        <v/>
      </c>
      <c r="L458" s="491">
        <f>SUM(L453:L457)</f>
        <v/>
      </c>
      <c r="M458" s="1190" t="inlineStr">
        <is>
          <t xml:space="preserve">“Verdadero” indica que la cantidad por lote, coincide con el saldo que inicia al mes siguiente. "Falso" no coinicide. </t>
        </is>
      </c>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413">
        <f>FEBRERO!K459</f>
        <v/>
      </c>
      <c r="E459" s="339">
        <f>H55</f>
        <v/>
      </c>
      <c r="F459" s="338" t="n">
        <v>632</v>
      </c>
      <c r="G459" s="338" t="n">
        <v>20</v>
      </c>
      <c r="H459" s="1235">
        <f>+F459+G459</f>
        <v/>
      </c>
      <c r="I459" s="340">
        <f>+AM459</f>
        <v/>
      </c>
      <c r="J459" s="341">
        <f>+H459+I459</f>
        <v/>
      </c>
      <c r="K459" s="583">
        <f>+(D459+E459)-(J459)</f>
        <v/>
      </c>
      <c r="L459" s="253" t="n">
        <v>1733</v>
      </c>
      <c r="M459" s="254" t="inlineStr">
        <is>
          <t>221100624A</t>
        </is>
      </c>
      <c r="N459" s="254" t="inlineStr">
        <is>
          <t>BIOLÓGICAL E. LÍMITED</t>
        </is>
      </c>
      <c r="O459" s="1183" t="inlineStr">
        <is>
          <t>30/11/2026</t>
        </is>
      </c>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v>131</v>
      </c>
      <c r="AA459" s="648" t="n">
        <v>173</v>
      </c>
      <c r="AB459" s="649">
        <f>+Z459+AA459</f>
        <v/>
      </c>
      <c r="AC459" s="648" t="n">
        <v>0</v>
      </c>
      <c r="AD459" s="648" t="n">
        <v>0</v>
      </c>
      <c r="AE459" s="648" t="n">
        <v>0</v>
      </c>
      <c r="AF459" s="648" t="n">
        <v>0</v>
      </c>
      <c r="AG459" s="648" t="n">
        <v>0</v>
      </c>
      <c r="AH459" s="648" t="n">
        <v>0</v>
      </c>
      <c r="AI459" s="648" t="n">
        <v>0</v>
      </c>
      <c r="AJ459" s="648" t="n">
        <v>0</v>
      </c>
      <c r="AK459" s="648" t="n">
        <v>0</v>
      </c>
      <c r="AL459" s="648" t="n">
        <v>0</v>
      </c>
      <c r="AM459" s="421">
        <f>SUM(AB459:AL463)</f>
        <v/>
      </c>
      <c r="AN459" s="726" t="n"/>
      <c r="AQ459" s="1238">
        <f>IFERROR(I459/J459*100,"0")</f>
        <v/>
      </c>
      <c r="AR459" s="343">
        <f>IFERROR(1/(1-(AQ459/100)),"0")</f>
        <v/>
      </c>
      <c r="AS459" s="1239" t="n">
        <v>30</v>
      </c>
      <c r="AT459" s="345" t="n">
        <v>10</v>
      </c>
      <c r="AU459" s="1240" t="n"/>
      <c r="AV459" s="1241" t="n"/>
      <c r="AW459" s="1242">
        <f>+H459-AV459</f>
        <v/>
      </c>
    </row>
    <row r="460" ht="17.25" customHeight="1">
      <c r="A460" s="973" t="n"/>
      <c r="B460" s="971" t="n"/>
      <c r="C460" s="972" t="n"/>
      <c r="D460" s="973" t="n"/>
      <c r="E460" s="973" t="n"/>
      <c r="F460" s="994" t="n"/>
      <c r="G460" s="994" t="n"/>
      <c r="H460" s="973" t="n"/>
      <c r="I460" s="973" t="n"/>
      <c r="J460" s="973" t="n"/>
      <c r="K460" s="973" t="n"/>
      <c r="L460" s="253" t="n"/>
      <c r="M460" s="254" t="n"/>
      <c r="N460" s="254" t="n"/>
      <c r="O460" s="1183" t="n"/>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73"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73"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73"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75" t="n"/>
      <c r="E464" s="975" t="n"/>
      <c r="F464" s="998" t="n"/>
      <c r="G464" s="998" t="n"/>
      <c r="H464" s="975" t="n"/>
      <c r="I464" s="975" t="n"/>
      <c r="J464" s="975" t="n"/>
      <c r="K464" s="1189">
        <f>K459=L464</f>
        <v/>
      </c>
      <c r="L464" s="491">
        <f>SUM(L459:L463)</f>
        <v/>
      </c>
      <c r="M464" s="1190" t="inlineStr">
        <is>
          <t xml:space="preserve">“Verdadero” indica que la cantidad por lote, coincide con el saldo que inicia al mes siguiente. "Falso" no coinicide. </t>
        </is>
      </c>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413">
        <f>FEBRERO!K465</f>
        <v/>
      </c>
      <c r="E465" s="339">
        <f>H61</f>
        <v/>
      </c>
      <c r="F465" s="338" t="n">
        <v>5</v>
      </c>
      <c r="G465" s="338" t="n">
        <v>0</v>
      </c>
      <c r="H465" s="1235">
        <f>+F465+G465</f>
        <v/>
      </c>
      <c r="I465" s="340">
        <f>+AM465</f>
        <v/>
      </c>
      <c r="J465" s="341">
        <f>+H465+I465</f>
        <v/>
      </c>
      <c r="K465" s="583">
        <f>+(D465+E465)-(J465)</f>
        <v/>
      </c>
      <c r="L465" s="253" t="n">
        <v>44</v>
      </c>
      <c r="M465" s="254" t="inlineStr">
        <is>
          <t>4CA03C1</t>
        </is>
      </c>
      <c r="N465" s="254" t="inlineStr">
        <is>
          <t>Sanofi Pasteur</t>
        </is>
      </c>
      <c r="O465" s="1183" t="inlineStr">
        <is>
          <t>31/10/2026</t>
        </is>
      </c>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v>0</v>
      </c>
      <c r="AA465" s="648" t="n">
        <v>0</v>
      </c>
      <c r="AB465" s="649">
        <f>+Z465+AA465</f>
        <v/>
      </c>
      <c r="AC465" s="648" t="n">
        <v>0</v>
      </c>
      <c r="AD465" s="648" t="n">
        <v>0</v>
      </c>
      <c r="AE465" s="648" t="n">
        <v>0</v>
      </c>
      <c r="AF465" s="648" t="n">
        <v>0</v>
      </c>
      <c r="AG465" s="648" t="n">
        <v>0</v>
      </c>
      <c r="AH465" s="648" t="n">
        <v>0</v>
      </c>
      <c r="AI465" s="648" t="n">
        <v>0</v>
      </c>
      <c r="AJ465" s="648" t="n">
        <v>0</v>
      </c>
      <c r="AK465" s="648" t="n">
        <v>0</v>
      </c>
      <c r="AL465" s="648" t="n">
        <v>0</v>
      </c>
      <c r="AM465" s="421">
        <f>SUM(AB465:AL469)</f>
        <v/>
      </c>
      <c r="AN465" s="726" t="n"/>
      <c r="AQ465" s="1238">
        <f>IFERROR(I465/J465*100,"0")</f>
        <v/>
      </c>
      <c r="AR465" s="343">
        <f>IFERROR(1/(1-(AQ465/100)),"0")</f>
        <v/>
      </c>
      <c r="AS465" s="1239" t="n">
        <v>0</v>
      </c>
      <c r="AT465" s="345" t="n">
        <v>1</v>
      </c>
      <c r="AU465" s="1240" t="n"/>
      <c r="AV465" s="1241" t="n"/>
      <c r="AW465" s="1242">
        <f>+H465-AV465</f>
        <v/>
      </c>
    </row>
    <row r="466" ht="17.25" customHeight="1">
      <c r="A466" s="973" t="n"/>
      <c r="B466" s="971" t="n"/>
      <c r="C466" s="972" t="n"/>
      <c r="D466" s="973" t="n"/>
      <c r="E466" s="973" t="n"/>
      <c r="F466" s="994" t="n"/>
      <c r="G466" s="994" t="n"/>
      <c r="H466" s="973" t="n"/>
      <c r="I466" s="973" t="n"/>
      <c r="J466" s="973" t="n"/>
      <c r="K466" s="973" t="n"/>
      <c r="L466" s="253" t="n">
        <v>10</v>
      </c>
      <c r="M466" s="254" t="inlineStr">
        <is>
          <t>221100624A</t>
        </is>
      </c>
      <c r="N466" s="254" t="inlineStr">
        <is>
          <t>BIOLÓGICAL E. LÍMITED</t>
        </is>
      </c>
      <c r="O466" s="1183" t="inlineStr">
        <is>
          <t>30/11/2026</t>
        </is>
      </c>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73" t="n"/>
      <c r="E467" s="973" t="n"/>
      <c r="F467" s="994" t="n"/>
      <c r="G467" s="994" t="n"/>
      <c r="H467" s="973" t="n"/>
      <c r="I467" s="973" t="n"/>
      <c r="J467" s="973" t="n"/>
      <c r="K467" s="973" t="n"/>
      <c r="L467" s="253" t="n">
        <v>3</v>
      </c>
      <c r="M467" s="254" t="inlineStr">
        <is>
          <t>3CA50C1</t>
        </is>
      </c>
      <c r="N467" s="254" t="inlineStr">
        <is>
          <t>Sanofi Pasteur</t>
        </is>
      </c>
      <c r="O467" s="1183" t="inlineStr">
        <is>
          <t>30/09/2027</t>
        </is>
      </c>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73" t="n"/>
      <c r="E468" s="973" t="n"/>
      <c r="F468" s="994" t="n"/>
      <c r="G468" s="994" t="n"/>
      <c r="H468" s="973" t="n"/>
      <c r="I468" s="973" t="n"/>
      <c r="J468" s="973" t="n"/>
      <c r="K468" s="973" t="n"/>
      <c r="L468" s="253" t="n"/>
      <c r="M468" s="254" t="n"/>
      <c r="N468" s="254" t="n"/>
      <c r="O468" s="1183" t="n"/>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73"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75" t="n"/>
      <c r="E470" s="975" t="n"/>
      <c r="F470" s="998" t="n"/>
      <c r="G470" s="998" t="n"/>
      <c r="H470" s="975" t="n"/>
      <c r="I470" s="975" t="n"/>
      <c r="J470" s="975" t="n"/>
      <c r="K470" s="1189">
        <f>K465=L470</f>
        <v/>
      </c>
      <c r="L470" s="491">
        <f>SUM(L465:L469)</f>
        <v/>
      </c>
      <c r="M470" s="1190" t="inlineStr">
        <is>
          <t xml:space="preserve">“Verdadero” indica que la cantidad por lote, coincide con el saldo que inicia al mes siguiente. "Falso" no coinicide. </t>
        </is>
      </c>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413">
        <f>FEBRERO!K471</f>
        <v/>
      </c>
      <c r="E471" s="339">
        <f>H67</f>
        <v/>
      </c>
      <c r="F471" s="338" t="n">
        <v>1168</v>
      </c>
      <c r="G471" s="338" t="n">
        <v>5</v>
      </c>
      <c r="H471" s="1235">
        <f>+F471+G471</f>
        <v/>
      </c>
      <c r="I471" s="340">
        <f>+AM471</f>
        <v/>
      </c>
      <c r="J471" s="341">
        <f>+H471+I471</f>
        <v/>
      </c>
      <c r="K471" s="583">
        <f>+(D471+E471)-(J471)</f>
        <v/>
      </c>
      <c r="L471" s="253" t="n">
        <v>556</v>
      </c>
      <c r="M471" s="254" t="inlineStr">
        <is>
          <t>AROLE203AC</t>
        </is>
      </c>
      <c r="N471" s="254" t="inlineStr">
        <is>
          <t>Glaxo SmithKline</t>
        </is>
      </c>
      <c r="O471" s="1183" t="inlineStr">
        <is>
          <t>31/03/2027</t>
        </is>
      </c>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v>1</v>
      </c>
      <c r="AA471" s="648" t="n">
        <v>0</v>
      </c>
      <c r="AB471" s="649">
        <f>+Z471+AA471</f>
        <v/>
      </c>
      <c r="AC471" s="648" t="n">
        <v>0</v>
      </c>
      <c r="AD471" s="648" t="n">
        <v>0</v>
      </c>
      <c r="AE471" s="648" t="n">
        <v>0</v>
      </c>
      <c r="AF471" s="648" t="n">
        <v>0</v>
      </c>
      <c r="AG471" s="648" t="n">
        <v>0</v>
      </c>
      <c r="AH471" s="648" t="n">
        <v>0</v>
      </c>
      <c r="AI471" s="648" t="n">
        <v>1</v>
      </c>
      <c r="AJ471" s="648" t="n">
        <v>0</v>
      </c>
      <c r="AK471" s="648" t="n">
        <v>0</v>
      </c>
      <c r="AL471" s="648" t="n">
        <v>0</v>
      </c>
      <c r="AM471" s="421">
        <f>SUM(AB471:AL475)</f>
        <v/>
      </c>
      <c r="AN471" s="726" t="n"/>
      <c r="AQ471" s="1238">
        <f>IFERROR(I471/J471*100,"0")</f>
        <v/>
      </c>
      <c r="AR471" s="343">
        <f>IFERROR(1/(1-(AQ471/100)),"0")</f>
        <v/>
      </c>
      <c r="AS471" s="1239" t="n">
        <v>0</v>
      </c>
      <c r="AT471" s="345" t="n">
        <v>1</v>
      </c>
      <c r="AU471" s="1240" t="n"/>
      <c r="AV471" s="1241" t="n"/>
      <c r="AW471" s="1242">
        <f>+H471-AV471</f>
        <v/>
      </c>
    </row>
    <row r="472" ht="17.25" customHeight="1">
      <c r="A472" s="973" t="n"/>
      <c r="B472" s="971" t="n"/>
      <c r="C472" s="972" t="n"/>
      <c r="D472" s="973" t="n"/>
      <c r="E472" s="973" t="n"/>
      <c r="F472" s="994" t="n"/>
      <c r="G472" s="994" t="n"/>
      <c r="H472" s="973" t="n"/>
      <c r="I472" s="973" t="n"/>
      <c r="J472" s="973" t="n"/>
      <c r="K472" s="973" t="n"/>
      <c r="L472" s="253" t="n">
        <v>465</v>
      </c>
      <c r="M472" s="254" t="inlineStr">
        <is>
          <t>AROLE197AB</t>
        </is>
      </c>
      <c r="N472" s="254" t="inlineStr">
        <is>
          <t>Glaxo SmithKline</t>
        </is>
      </c>
      <c r="O472" s="1183" t="inlineStr">
        <is>
          <t>28/02/2027</t>
        </is>
      </c>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73" t="n"/>
      <c r="E473" s="973" t="n"/>
      <c r="F473" s="994" t="n"/>
      <c r="G473" s="994" t="n"/>
      <c r="H473" s="973" t="n"/>
      <c r="I473" s="973" t="n"/>
      <c r="J473" s="973" t="n"/>
      <c r="K473" s="973" t="n"/>
      <c r="L473" s="253" t="n">
        <v>121</v>
      </c>
      <c r="M473" s="254" t="inlineStr">
        <is>
          <t>AROLE419AA</t>
        </is>
      </c>
      <c r="N473" s="254" t="inlineStr">
        <is>
          <t>Glaxo SmithKline</t>
        </is>
      </c>
      <c r="O473" s="1183" t="inlineStr">
        <is>
          <t>30/09/2027</t>
        </is>
      </c>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73" t="n"/>
      <c r="E474" s="973" t="n"/>
      <c r="F474" s="994" t="n"/>
      <c r="G474" s="994" t="n"/>
      <c r="H474" s="973" t="n"/>
      <c r="I474" s="973" t="n"/>
      <c r="J474" s="973" t="n"/>
      <c r="K474" s="973" t="n"/>
      <c r="L474" s="253" t="n">
        <v>52</v>
      </c>
      <c r="M474" s="254" t="inlineStr">
        <is>
          <t>AROLE054AA</t>
        </is>
      </c>
      <c r="N474" s="254" t="inlineStr">
        <is>
          <t>Glaxo SmithKline</t>
        </is>
      </c>
      <c r="O474" s="1183" t="inlineStr">
        <is>
          <t>31/10/2026</t>
        </is>
      </c>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73" t="n"/>
      <c r="E475" s="973" t="n"/>
      <c r="F475" s="994" t="n"/>
      <c r="G475" s="994" t="n"/>
      <c r="H475" s="973" t="n"/>
      <c r="I475" s="973" t="n"/>
      <c r="J475" s="973" t="n"/>
      <c r="K475" s="975" t="n"/>
      <c r="L475" s="253" t="n"/>
      <c r="M475" s="254" t="n"/>
      <c r="N475" s="254" t="n"/>
      <c r="O475" s="1183" t="n"/>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75" t="n"/>
      <c r="E476" s="975" t="n"/>
      <c r="F476" s="998" t="n"/>
      <c r="G476" s="998" t="n"/>
      <c r="H476" s="975" t="n"/>
      <c r="I476" s="975" t="n"/>
      <c r="J476" s="975" t="n"/>
      <c r="K476" s="1189">
        <f>K471=L476</f>
        <v/>
      </c>
      <c r="L476" s="491">
        <f>SUM(L471:L475)</f>
        <v/>
      </c>
      <c r="M476" s="1190" t="inlineStr">
        <is>
          <t xml:space="preserve">“Verdadero” indica que la cantidad por lote, coincide con el saldo que inicia al mes siguiente. "Falso" no coinicide. </t>
        </is>
      </c>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413">
        <f>FEBRERO!K477</f>
        <v/>
      </c>
      <c r="E477" s="339">
        <f>H73</f>
        <v/>
      </c>
      <c r="F477" s="338" t="n">
        <v>1738</v>
      </c>
      <c r="G477" s="338" t="n">
        <v>31</v>
      </c>
      <c r="H477" s="1235">
        <f>+F477+G477</f>
        <v/>
      </c>
      <c r="I477" s="340">
        <f>+AM477</f>
        <v/>
      </c>
      <c r="J477" s="341">
        <f>+H477+I477</f>
        <v/>
      </c>
      <c r="K477" s="583">
        <f>+(D477+E477)-(J477)</f>
        <v/>
      </c>
      <c r="L477" s="253" t="n">
        <v>1520</v>
      </c>
      <c r="M477" s="254" t="inlineStr">
        <is>
          <t>LK3156</t>
        </is>
      </c>
      <c r="N477" s="254" t="inlineStr">
        <is>
          <t>PFIZER</t>
        </is>
      </c>
      <c r="O477" s="1183" t="inlineStr">
        <is>
          <t>31/05/2027</t>
        </is>
      </c>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v>0</v>
      </c>
      <c r="AA477" s="648" t="n">
        <v>0</v>
      </c>
      <c r="AB477" s="649">
        <f>+Z477+AA477</f>
        <v/>
      </c>
      <c r="AC477" s="648" t="n">
        <v>0</v>
      </c>
      <c r="AD477" s="648" t="n">
        <v>0</v>
      </c>
      <c r="AE477" s="648" t="n">
        <v>0</v>
      </c>
      <c r="AF477" s="648" t="n">
        <v>0</v>
      </c>
      <c r="AG477" s="648" t="n">
        <v>0</v>
      </c>
      <c r="AH477" s="648" t="n">
        <v>0</v>
      </c>
      <c r="AI477" s="648" t="n">
        <v>0</v>
      </c>
      <c r="AJ477" s="648" t="n">
        <v>0</v>
      </c>
      <c r="AK477" s="648" t="n">
        <v>1</v>
      </c>
      <c r="AL477" s="648" t="n">
        <v>0</v>
      </c>
      <c r="AM477" s="421">
        <f>SUM(AB477:AL481)</f>
        <v/>
      </c>
      <c r="AN477" s="726" t="n"/>
      <c r="AQ477" s="1238">
        <f>IFERROR(I477/J477*100,"0")</f>
        <v/>
      </c>
      <c r="AR477" s="343">
        <f>IFERROR(1/(1-(AQ477/100)),"0")</f>
        <v/>
      </c>
      <c r="AS477" s="1239" t="n">
        <v>0</v>
      </c>
      <c r="AT477" s="345" t="n">
        <v>1</v>
      </c>
      <c r="AU477" s="1240" t="n"/>
      <c r="AV477" s="1241" t="n"/>
      <c r="AW477" s="1242">
        <f>+H477-AV477</f>
        <v/>
      </c>
    </row>
    <row r="478" ht="17.25" customHeight="1">
      <c r="A478" s="973" t="n"/>
      <c r="B478" s="971" t="n"/>
      <c r="C478" s="972" t="n"/>
      <c r="D478" s="973" t="n"/>
      <c r="E478" s="973" t="n"/>
      <c r="F478" s="994" t="n"/>
      <c r="G478" s="994" t="n"/>
      <c r="H478" s="973" t="n"/>
      <c r="I478" s="973" t="n"/>
      <c r="J478" s="973" t="n"/>
      <c r="K478" s="973" t="n"/>
      <c r="L478" s="253" t="n">
        <v>129</v>
      </c>
      <c r="M478" s="254" t="inlineStr">
        <is>
          <t>LK3152</t>
        </is>
      </c>
      <c r="N478" s="254" t="inlineStr">
        <is>
          <t>PFIZER</t>
        </is>
      </c>
      <c r="O478" s="1183" t="inlineStr">
        <is>
          <t>31/05/2027</t>
        </is>
      </c>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73" t="n"/>
      <c r="E479" s="973" t="n"/>
      <c r="F479" s="994" t="n"/>
      <c r="G479" s="994" t="n"/>
      <c r="H479" s="973" t="n"/>
      <c r="I479" s="973" t="n"/>
      <c r="J479" s="973" t="n"/>
      <c r="K479" s="973" t="n"/>
      <c r="L479" s="253" t="n">
        <v>53</v>
      </c>
      <c r="M479" s="254" t="inlineStr">
        <is>
          <t>HJ5276</t>
        </is>
      </c>
      <c r="N479" s="254" t="inlineStr">
        <is>
          <t>PFIZER</t>
        </is>
      </c>
      <c r="O479" s="1183" t="inlineStr">
        <is>
          <t>31/07/2026</t>
        </is>
      </c>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73" t="n"/>
      <c r="E480" s="973" t="n"/>
      <c r="F480" s="994" t="n"/>
      <c r="G480" s="994" t="n"/>
      <c r="H480" s="973" t="n"/>
      <c r="I480" s="973" t="n"/>
      <c r="J480" s="973" t="n"/>
      <c r="K480" s="973" t="n"/>
      <c r="L480" s="253" t="n"/>
      <c r="M480" s="254" t="n"/>
      <c r="N480" s="254" t="n"/>
      <c r="O480" s="1183" t="n"/>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73"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75" t="n"/>
      <c r="E482" s="975" t="n"/>
      <c r="F482" s="998" t="n"/>
      <c r="G482" s="998" t="n"/>
      <c r="H482" s="975" t="n"/>
      <c r="I482" s="975" t="n"/>
      <c r="J482" s="975" t="n"/>
      <c r="K482" s="1189">
        <f>K477=L482</f>
        <v/>
      </c>
      <c r="L482" s="491">
        <f>SUM(L477:L481)</f>
        <v/>
      </c>
      <c r="M482" s="1190" t="inlineStr">
        <is>
          <t xml:space="preserve">“Verdadero” indica que la cantidad por lote, coincide con el saldo que inicia al mes siguiente. "Falso" no coinicide. </t>
        </is>
      </c>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413">
        <f>FEBRERO!K483</f>
        <v/>
      </c>
      <c r="E483" s="339">
        <f>H79</f>
        <v/>
      </c>
      <c r="F483" s="338" t="n">
        <v>0</v>
      </c>
      <c r="G483" s="338" t="n">
        <v>0</v>
      </c>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v>0</v>
      </c>
      <c r="AA483" s="648" t="n">
        <v>0</v>
      </c>
      <c r="AB483" s="649">
        <f>+Z483+AA483</f>
        <v/>
      </c>
      <c r="AC483" s="648" t="n">
        <v>0</v>
      </c>
      <c r="AD483" s="648" t="n">
        <v>0</v>
      </c>
      <c r="AE483" s="648" t="n">
        <v>0</v>
      </c>
      <c r="AF483" s="648" t="n">
        <v>0</v>
      </c>
      <c r="AG483" s="648" t="n">
        <v>0</v>
      </c>
      <c r="AH483" s="648" t="n">
        <v>0</v>
      </c>
      <c r="AI483" s="648" t="n">
        <v>0</v>
      </c>
      <c r="AJ483" s="648" t="n">
        <v>0</v>
      </c>
      <c r="AK483" s="648" t="n">
        <v>0</v>
      </c>
      <c r="AL483" s="648" t="n">
        <v>0</v>
      </c>
      <c r="AM483" s="421">
        <f>SUM(AB483:AL487)</f>
        <v/>
      </c>
      <c r="AN483" s="726" t="n"/>
      <c r="AQ483" s="1238">
        <f>IFERROR(I483/J483*100,"0")</f>
        <v/>
      </c>
      <c r="AR483" s="343">
        <f>IFERROR(1/(1-(AQ483/100)),"0")</f>
        <v/>
      </c>
      <c r="AS483" s="1239" t="n">
        <v>0</v>
      </c>
      <c r="AT483" s="345" t="n">
        <v>1</v>
      </c>
      <c r="AU483" s="1240" t="n"/>
      <c r="AV483" s="1241" t="n"/>
      <c r="AW483" s="1242">
        <f>+H483-AV483</f>
        <v/>
      </c>
    </row>
    <row r="484" ht="17.25" customHeight="1">
      <c r="A484" s="973" t="n"/>
      <c r="B484" s="971" t="n"/>
      <c r="C484" s="972" t="n"/>
      <c r="D484" s="973"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73"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73"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73"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75" t="n"/>
      <c r="E488" s="975" t="n"/>
      <c r="F488" s="998" t="n"/>
      <c r="G488" s="998" t="n"/>
      <c r="H488" s="975" t="n"/>
      <c r="I488" s="975" t="n"/>
      <c r="J488" s="975" t="n"/>
      <c r="K488" s="1189">
        <f>K483=L488</f>
        <v/>
      </c>
      <c r="L488" s="491">
        <f>SUM(L483:L487)</f>
        <v/>
      </c>
      <c r="M488" s="1190" t="inlineStr">
        <is>
          <t xml:space="preserve">“Verdadero” indica que la cantidad por lote, coincide con el saldo que inicia al mes siguiente. "Falso" no coinicide. </t>
        </is>
      </c>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413">
        <f>FEBRERO!K489</f>
        <v/>
      </c>
      <c r="E489" s="339">
        <f>H85</f>
        <v/>
      </c>
      <c r="F489" s="338" t="n">
        <v>1451</v>
      </c>
      <c r="G489" s="338" t="n">
        <v>39</v>
      </c>
      <c r="H489" s="1235">
        <f>+F489+G489</f>
        <v/>
      </c>
      <c r="I489" s="340">
        <f>+AM489</f>
        <v/>
      </c>
      <c r="J489" s="341">
        <f>+H489+I489</f>
        <v/>
      </c>
      <c r="K489" s="583">
        <f>+(D489+E489)-(J489)</f>
        <v/>
      </c>
      <c r="L489" s="253" t="n">
        <v>1921</v>
      </c>
      <c r="M489" s="254" t="inlineStr">
        <is>
          <t>0133N146B</t>
        </is>
      </c>
      <c r="N489" s="254" t="inlineStr">
        <is>
          <t>Serum</t>
        </is>
      </c>
      <c r="O489" s="1183" t="inlineStr">
        <is>
          <t>30/09/2026</t>
        </is>
      </c>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v>0</v>
      </c>
      <c r="AA489" s="648" t="n">
        <v>0</v>
      </c>
      <c r="AB489" s="649">
        <f>+Z489+AA489</f>
        <v/>
      </c>
      <c r="AC489" s="648" t="n">
        <v>0</v>
      </c>
      <c r="AD489" s="648" t="n">
        <v>0</v>
      </c>
      <c r="AE489" s="648" t="n">
        <v>1</v>
      </c>
      <c r="AF489" s="648" t="n">
        <v>2</v>
      </c>
      <c r="AG489" s="648" t="n">
        <v>0</v>
      </c>
      <c r="AH489" s="648" t="n">
        <v>0</v>
      </c>
      <c r="AI489" s="648" t="n">
        <v>0</v>
      </c>
      <c r="AJ489" s="648" t="n">
        <v>0</v>
      </c>
      <c r="AK489" s="648" t="n">
        <v>0</v>
      </c>
      <c r="AL489" s="648" t="n">
        <v>0</v>
      </c>
      <c r="AM489" s="421">
        <f>SUM(AB489:AL493)</f>
        <v/>
      </c>
      <c r="AN489" s="726" t="n"/>
      <c r="AQ489" s="1238">
        <f>IFERROR(I489/J489*100,"0")</f>
        <v/>
      </c>
      <c r="AR489" s="343">
        <f>IFERROR(1/(1-(AQ489/100)),"0")</f>
        <v/>
      </c>
      <c r="AS489" s="1239" t="n">
        <v>0</v>
      </c>
      <c r="AT489" s="345" t="n">
        <v>1</v>
      </c>
      <c r="AU489" s="1240" t="n"/>
      <c r="AV489" s="1241" t="n"/>
      <c r="AW489" s="1242">
        <f>+H489-AV489</f>
        <v/>
      </c>
    </row>
    <row r="490" ht="17.25" customHeight="1">
      <c r="A490" s="973" t="n"/>
      <c r="B490" s="971" t="n"/>
      <c r="C490" s="972" t="n"/>
      <c r="D490" s="973" t="n"/>
      <c r="E490" s="973" t="n"/>
      <c r="F490" s="994" t="n"/>
      <c r="G490" s="994" t="n"/>
      <c r="H490" s="973" t="n"/>
      <c r="I490" s="973" t="n"/>
      <c r="J490" s="973" t="n"/>
      <c r="K490" s="973" t="n"/>
      <c r="L490" s="253" t="n">
        <v>337</v>
      </c>
      <c r="M490" s="254" t="inlineStr">
        <is>
          <t>0134N096A</t>
        </is>
      </c>
      <c r="N490" s="254" t="inlineStr">
        <is>
          <t>Serum</t>
        </is>
      </c>
      <c r="O490" s="1183" t="inlineStr">
        <is>
          <t>30/04/2027</t>
        </is>
      </c>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73" t="n"/>
      <c r="E491" s="973" t="n"/>
      <c r="F491" s="994" t="n"/>
      <c r="G491" s="994" t="n"/>
      <c r="H491" s="973" t="n"/>
      <c r="I491" s="973" t="n"/>
      <c r="J491" s="973" t="n"/>
      <c r="K491" s="973" t="n"/>
      <c r="L491" s="253" t="n">
        <v>20</v>
      </c>
      <c r="M491" s="254" t="inlineStr">
        <is>
          <t>0133N140B</t>
        </is>
      </c>
      <c r="N491" s="254" t="inlineStr">
        <is>
          <t>Serum</t>
        </is>
      </c>
      <c r="O491" s="1183" t="inlineStr">
        <is>
          <t>31/08/2026</t>
        </is>
      </c>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73" t="n"/>
      <c r="E492" s="973" t="n"/>
      <c r="F492" s="994" t="n"/>
      <c r="G492" s="994" t="n"/>
      <c r="H492" s="973" t="n"/>
      <c r="I492" s="973" t="n"/>
      <c r="J492" s="973" t="n"/>
      <c r="K492" s="973" t="n"/>
      <c r="L492" s="253" t="n"/>
      <c r="M492" s="254" t="n"/>
      <c r="N492" s="254" t="n"/>
      <c r="O492" s="1183" t="n"/>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73"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75" t="n"/>
      <c r="E494" s="975" t="n"/>
      <c r="F494" s="998" t="n"/>
      <c r="G494" s="998" t="n"/>
      <c r="H494" s="975" t="n"/>
      <c r="I494" s="975" t="n"/>
      <c r="J494" s="975" t="n"/>
      <c r="K494" s="1189">
        <f>K489=L494</f>
        <v/>
      </c>
      <c r="L494" s="491">
        <f>SUM(L489:L493)</f>
        <v/>
      </c>
      <c r="M494" s="1190" t="inlineStr">
        <is>
          <t xml:space="preserve">“Verdadero” indica que la cantidad por lote, coincide con el saldo que inicia al mes siguiente. "Falso" no coinicide. </t>
        </is>
      </c>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413">
        <f>FEBRERO!K495</f>
        <v/>
      </c>
      <c r="E495" s="339">
        <f>H91</f>
        <v/>
      </c>
      <c r="F495" s="338" t="n">
        <v>0</v>
      </c>
      <c r="G495" s="338" t="n">
        <v>0</v>
      </c>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v>0</v>
      </c>
      <c r="AA495" s="648" t="n">
        <v>0</v>
      </c>
      <c r="AB495" s="649">
        <f>+Z495+AA495</f>
        <v/>
      </c>
      <c r="AC495" s="648" t="n">
        <v>0</v>
      </c>
      <c r="AD495" s="648" t="n">
        <v>0</v>
      </c>
      <c r="AE495" s="648" t="n">
        <v>0</v>
      </c>
      <c r="AF495" s="648" t="n">
        <v>0</v>
      </c>
      <c r="AG495" s="648" t="n">
        <v>0</v>
      </c>
      <c r="AH495" s="648" t="n">
        <v>0</v>
      </c>
      <c r="AI495" s="648" t="n">
        <v>0</v>
      </c>
      <c r="AJ495" s="648" t="n">
        <v>0</v>
      </c>
      <c r="AK495" s="648" t="n">
        <v>0</v>
      </c>
      <c r="AL495" s="648" t="n">
        <v>0</v>
      </c>
      <c r="AM495" s="421">
        <f>SUM(AB495:AL499)</f>
        <v/>
      </c>
      <c r="AN495" s="726" t="n"/>
      <c r="AQ495" s="1238">
        <f>IFERROR(I495/J495*100,"0")</f>
        <v/>
      </c>
      <c r="AR495" s="343">
        <f>IFERROR(1/(1-(AQ495/100)),"0")</f>
        <v/>
      </c>
      <c r="AS495" s="1239" t="n">
        <v>25</v>
      </c>
      <c r="AT495" s="345" t="n">
        <v>5</v>
      </c>
      <c r="AU495" s="1240" t="n"/>
      <c r="AV495" s="1241" t="n"/>
      <c r="AW495" s="1242">
        <f>+H495-AV495</f>
        <v/>
      </c>
    </row>
    <row r="496" ht="17.25" customHeight="1">
      <c r="A496" s="973" t="n"/>
      <c r="B496" s="971" t="n"/>
      <c r="C496" s="972" t="n"/>
      <c r="D496" s="973"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73"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73"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73"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75" t="n"/>
      <c r="E500" s="975" t="n"/>
      <c r="F500" s="998" t="n"/>
      <c r="G500" s="998" t="n"/>
      <c r="H500" s="975" t="n"/>
      <c r="I500" s="975" t="n"/>
      <c r="J500" s="975" t="n"/>
      <c r="K500" s="1189">
        <f>K495=L500</f>
        <v/>
      </c>
      <c r="L500" s="491">
        <f>SUM(L495:L499)</f>
        <v/>
      </c>
      <c r="M500" s="1190" t="inlineStr">
        <is>
          <t xml:space="preserve">“Verdadero” indica que la cantidad por lote, coincide con el saldo que inicia al mes siguiente. "Falso" no coinicide. </t>
        </is>
      </c>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413">
        <f>FEBRERO!K501</f>
        <v/>
      </c>
      <c r="E501" s="339">
        <f>H97</f>
        <v/>
      </c>
      <c r="F501" s="338" t="n">
        <v>0</v>
      </c>
      <c r="G501" s="338" t="n">
        <v>0</v>
      </c>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v>0</v>
      </c>
      <c r="AA501" s="648" t="n">
        <v>0</v>
      </c>
      <c r="AB501" s="649">
        <f>+Z501+AA501</f>
        <v/>
      </c>
      <c r="AC501" s="648" t="n">
        <v>0</v>
      </c>
      <c r="AD501" s="648" t="n">
        <v>0</v>
      </c>
      <c r="AE501" s="648" t="n">
        <v>0</v>
      </c>
      <c r="AF501" s="648" t="n">
        <v>0</v>
      </c>
      <c r="AG501" s="648" t="n">
        <v>0</v>
      </c>
      <c r="AH501" s="648" t="n">
        <v>0</v>
      </c>
      <c r="AI501" s="648" t="n">
        <v>0</v>
      </c>
      <c r="AJ501" s="648" t="n">
        <v>0</v>
      </c>
      <c r="AK501" s="648" t="n">
        <v>0</v>
      </c>
      <c r="AL501" s="648" t="n">
        <v>0</v>
      </c>
      <c r="AM501" s="421">
        <f>SUM(AB501:AL505)</f>
        <v/>
      </c>
      <c r="AN501" s="726" t="n"/>
      <c r="AQ501" s="1238">
        <f>IFERROR(I501/J501*100,"0")</f>
        <v/>
      </c>
      <c r="AR501" s="343">
        <f>IFERROR(1/(1-(AQ501/100)),"0")</f>
        <v/>
      </c>
      <c r="AS501" s="1239" t="n">
        <v>30</v>
      </c>
      <c r="AT501" s="345" t="n">
        <v>10</v>
      </c>
      <c r="AU501" s="1240" t="n"/>
      <c r="AV501" s="1241" t="n"/>
      <c r="AW501" s="1242">
        <f>+H501-AV501</f>
        <v/>
      </c>
    </row>
    <row r="502" ht="17.25" customHeight="1">
      <c r="A502" s="973" t="n"/>
      <c r="B502" s="971" t="n"/>
      <c r="C502" s="972" t="n"/>
      <c r="D502" s="973"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73"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73"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73"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75" t="n"/>
      <c r="E506" s="975" t="n"/>
      <c r="F506" s="998" t="n"/>
      <c r="G506" s="998" t="n"/>
      <c r="H506" s="975" t="n"/>
      <c r="I506" s="975" t="n"/>
      <c r="J506" s="975" t="n"/>
      <c r="K506" s="1189">
        <f>K501=L506</f>
        <v/>
      </c>
      <c r="L506" s="491">
        <f>SUM(L501:L505)</f>
        <v/>
      </c>
      <c r="M506" s="1190" t="inlineStr">
        <is>
          <t xml:space="preserve">“Verdadero” indica que la cantidad por lote, coincide con el saldo que inicia al mes siguiente. "Falso" no coinicide. </t>
        </is>
      </c>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413">
        <f>FEBRERO!K507</f>
        <v/>
      </c>
      <c r="E507" s="339">
        <f>H103</f>
        <v/>
      </c>
      <c r="F507" s="338" t="n">
        <v>1863</v>
      </c>
      <c r="G507" s="338" t="n">
        <v>33</v>
      </c>
      <c r="H507" s="1235">
        <f>+F507+G507</f>
        <v/>
      </c>
      <c r="I507" s="340">
        <f>+AM507</f>
        <v/>
      </c>
      <c r="J507" s="341">
        <f>+H507+I507</f>
        <v/>
      </c>
      <c r="K507" s="583">
        <f>+(D507+E507)-(J507)</f>
        <v/>
      </c>
      <c r="L507" s="253" t="n">
        <v>955</v>
      </c>
      <c r="M507" s="254" t="inlineStr">
        <is>
          <t>0094W002</t>
        </is>
      </c>
      <c r="N507" s="254" t="inlineStr">
        <is>
          <t>Serum</t>
        </is>
      </c>
      <c r="O507" s="1183" t="inlineStr">
        <is>
          <t>30/11/2026</t>
        </is>
      </c>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v>0</v>
      </c>
      <c r="AA507" s="648" t="n">
        <v>0</v>
      </c>
      <c r="AB507" s="649">
        <f>+Z507+AA507</f>
        <v/>
      </c>
      <c r="AC507" s="648" t="n">
        <v>0</v>
      </c>
      <c r="AD507" s="648" t="n">
        <v>0</v>
      </c>
      <c r="AE507" s="648" t="n">
        <v>1</v>
      </c>
      <c r="AF507" s="648" t="n">
        <v>0</v>
      </c>
      <c r="AG507" s="648" t="n">
        <v>0</v>
      </c>
      <c r="AH507" s="648" t="n">
        <v>0</v>
      </c>
      <c r="AI507" s="648" t="n">
        <v>0</v>
      </c>
      <c r="AJ507" s="648" t="n">
        <v>0</v>
      </c>
      <c r="AK507" s="648" t="n">
        <v>0</v>
      </c>
      <c r="AL507" s="648" t="n">
        <v>0</v>
      </c>
      <c r="AM507" s="421">
        <f>SUM(AB507:AL511)</f>
        <v/>
      </c>
      <c r="AN507" s="726" t="n"/>
      <c r="AQ507" s="1238">
        <f>IFERROR(I507/J507*100,"0")</f>
        <v/>
      </c>
      <c r="AR507" s="343">
        <f>IFERROR(1/(1-(AQ507/100)),"0")</f>
        <v/>
      </c>
      <c r="AS507" s="1239" t="n">
        <v>0</v>
      </c>
      <c r="AT507" s="345" t="n">
        <v>1</v>
      </c>
      <c r="AU507" s="1240" t="n"/>
      <c r="AV507" s="1241" t="n"/>
      <c r="AW507" s="1242">
        <f>+H507-AV507</f>
        <v/>
      </c>
    </row>
    <row r="508" ht="17.25" customHeight="1">
      <c r="A508" s="973" t="n"/>
      <c r="B508" s="971" t="n"/>
      <c r="C508" s="972" t="n"/>
      <c r="D508" s="973" t="n"/>
      <c r="E508" s="973" t="n"/>
      <c r="F508" s="994" t="n"/>
      <c r="G508" s="994" t="n"/>
      <c r="H508" s="973" t="n"/>
      <c r="I508" s="973" t="n"/>
      <c r="J508" s="973" t="n"/>
      <c r="K508" s="973" t="n"/>
      <c r="L508" s="253" t="n">
        <v>506</v>
      </c>
      <c r="M508" s="254" t="inlineStr">
        <is>
          <t>0094W003</t>
        </is>
      </c>
      <c r="N508" s="254" t="inlineStr">
        <is>
          <t>Serum</t>
        </is>
      </c>
      <c r="O508" s="1183" t="inlineStr">
        <is>
          <t>31/01/2027</t>
        </is>
      </c>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73" t="n"/>
      <c r="E509" s="973" t="n"/>
      <c r="F509" s="994" t="n"/>
      <c r="G509" s="994" t="n"/>
      <c r="H509" s="973" t="n"/>
      <c r="I509" s="973" t="n"/>
      <c r="J509" s="973" t="n"/>
      <c r="K509" s="973" t="n"/>
      <c r="L509" s="253" t="n">
        <v>261</v>
      </c>
      <c r="M509" s="254" t="inlineStr">
        <is>
          <t>0133N146B</t>
        </is>
      </c>
      <c r="N509" s="254" t="inlineStr">
        <is>
          <t>Serum</t>
        </is>
      </c>
      <c r="O509" s="1183" t="inlineStr">
        <is>
          <t>30/09/2026</t>
        </is>
      </c>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73" t="n"/>
      <c r="E510" s="973" t="n"/>
      <c r="F510" s="994" t="n"/>
      <c r="G510" s="994" t="n"/>
      <c r="H510" s="973" t="n"/>
      <c r="I510" s="973" t="n"/>
      <c r="J510" s="973" t="n"/>
      <c r="K510" s="973" t="n"/>
      <c r="L510" s="253" t="n">
        <v>160</v>
      </c>
      <c r="M510" s="254" t="inlineStr">
        <is>
          <t>0095M002</t>
        </is>
      </c>
      <c r="N510" s="254" t="inlineStr">
        <is>
          <t>Serum</t>
        </is>
      </c>
      <c r="O510" s="1183" t="inlineStr">
        <is>
          <t>30/11/2027</t>
        </is>
      </c>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73" t="n"/>
      <c r="E511" s="973" t="n"/>
      <c r="F511" s="994" t="n"/>
      <c r="G511" s="994" t="n"/>
      <c r="H511" s="973" t="n"/>
      <c r="I511" s="973" t="n"/>
      <c r="J511" s="973" t="n"/>
      <c r="K511" s="975" t="n"/>
      <c r="L511" s="253" t="n"/>
      <c r="M511" s="254" t="n"/>
      <c r="N511" s="254" t="n"/>
      <c r="O511" s="1183" t="n"/>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75" t="n"/>
      <c r="E512" s="975" t="n"/>
      <c r="F512" s="998" t="n"/>
      <c r="G512" s="998" t="n"/>
      <c r="H512" s="975" t="n"/>
      <c r="I512" s="975" t="n"/>
      <c r="J512" s="975" t="n"/>
      <c r="K512" s="1189">
        <f>K507=L512</f>
        <v/>
      </c>
      <c r="L512" s="491">
        <f>SUM(L507:L511)</f>
        <v/>
      </c>
      <c r="M512" s="1190" t="inlineStr">
        <is>
          <t xml:space="preserve">“Verdadero” indica que la cantidad por lote, coincide con el saldo que inicia al mes siguiente. "Falso" no coinicide. </t>
        </is>
      </c>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413">
        <f>FEBRERO!K513</f>
        <v/>
      </c>
      <c r="E513" s="339">
        <f>H109</f>
        <v/>
      </c>
      <c r="F513" s="338" t="n">
        <v>0</v>
      </c>
      <c r="G513" s="338" t="n">
        <v>0</v>
      </c>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v>0</v>
      </c>
      <c r="AA513" s="648" t="n">
        <v>0</v>
      </c>
      <c r="AB513" s="649">
        <f>+Z513+AA513</f>
        <v/>
      </c>
      <c r="AC513" s="648" t="n">
        <v>0</v>
      </c>
      <c r="AD513" s="648" t="n">
        <v>0</v>
      </c>
      <c r="AE513" s="648" t="n">
        <v>0</v>
      </c>
      <c r="AF513" s="648" t="n">
        <v>0</v>
      </c>
      <c r="AG513" s="648" t="n">
        <v>0</v>
      </c>
      <c r="AH513" s="648" t="n">
        <v>0</v>
      </c>
      <c r="AI513" s="648" t="n">
        <v>0</v>
      </c>
      <c r="AJ513" s="648" t="n">
        <v>0</v>
      </c>
      <c r="AK513" s="648" t="n">
        <v>0</v>
      </c>
      <c r="AL513" s="648" t="n">
        <v>0</v>
      </c>
      <c r="AM513" s="421">
        <f>SUM(AB513:AL517)</f>
        <v/>
      </c>
      <c r="AN513" s="726" t="n"/>
      <c r="AQ513" s="1238">
        <f>IFERROR(I513/J513*100,"0")</f>
        <v/>
      </c>
      <c r="AR513" s="343">
        <f>IFERROR(1/(1-(AQ513/100)),"0")</f>
        <v/>
      </c>
      <c r="AS513" s="1239" t="n">
        <v>30</v>
      </c>
      <c r="AT513" s="345" t="n">
        <v>10</v>
      </c>
      <c r="AU513" s="1240" t="n"/>
      <c r="AV513" s="1241" t="n"/>
      <c r="AW513" s="1242">
        <f>+H513-AV513</f>
        <v/>
      </c>
    </row>
    <row r="514" ht="17.25" customHeight="1">
      <c r="A514" s="973" t="n"/>
      <c r="B514" s="971" t="n"/>
      <c r="C514" s="972" t="n"/>
      <c r="D514" s="973"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73"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73"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73"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75" t="n"/>
      <c r="E518" s="975" t="n"/>
      <c r="F518" s="998" t="n"/>
      <c r="G518" s="998" t="n"/>
      <c r="H518" s="975" t="n"/>
      <c r="I518" s="975" t="n"/>
      <c r="J518" s="975" t="n"/>
      <c r="K518" s="1189">
        <f>K513=L518</f>
        <v/>
      </c>
      <c r="L518" s="491">
        <f>SUM(L513:L517)</f>
        <v/>
      </c>
      <c r="M518" s="1190" t="inlineStr">
        <is>
          <t xml:space="preserve">“Verdadero” indica que la cantidad por lote, coincide con el saldo que inicia al mes siguiente. "Falso" no coinicide. </t>
        </is>
      </c>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413">
        <f>FEBRERO!K519</f>
        <v/>
      </c>
      <c r="E519" s="339">
        <f>H115</f>
        <v/>
      </c>
      <c r="F519" s="338" t="n">
        <v>0</v>
      </c>
      <c r="G519" s="338" t="n">
        <v>0</v>
      </c>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v>0</v>
      </c>
      <c r="AA519" s="648" t="n">
        <v>0</v>
      </c>
      <c r="AB519" s="649">
        <f>+Z519+AA519</f>
        <v/>
      </c>
      <c r="AC519" s="648" t="n">
        <v>0</v>
      </c>
      <c r="AD519" s="648" t="n">
        <v>0</v>
      </c>
      <c r="AE519" s="648" t="n">
        <v>0</v>
      </c>
      <c r="AF519" s="648" t="n">
        <v>0</v>
      </c>
      <c r="AG519" s="648" t="n">
        <v>0</v>
      </c>
      <c r="AH519" s="648" t="n">
        <v>0</v>
      </c>
      <c r="AI519" s="648" t="n">
        <v>0</v>
      </c>
      <c r="AJ519" s="648" t="n">
        <v>0</v>
      </c>
      <c r="AK519" s="648" t="n">
        <v>0</v>
      </c>
      <c r="AL519" s="648" t="n">
        <v>0</v>
      </c>
      <c r="AM519" s="421">
        <f>SUM(AB519:AL523)</f>
        <v/>
      </c>
      <c r="AN519" s="726" t="n"/>
      <c r="AQ519" s="1238">
        <f>IFERROR(I519/J519*100,"0")</f>
        <v/>
      </c>
      <c r="AR519" s="343">
        <f>IFERROR(1/(1-(AQ519/100)),"0")</f>
        <v/>
      </c>
      <c r="AS519" s="1239" t="n">
        <v>0</v>
      </c>
      <c r="AT519" s="345" t="n">
        <v>1</v>
      </c>
      <c r="AU519" s="1240" t="n"/>
      <c r="AV519" s="1241" t="n"/>
      <c r="AW519" s="1242">
        <f>+H519-AV519</f>
        <v/>
      </c>
    </row>
    <row r="520" ht="17.25" customHeight="1">
      <c r="A520" s="973" t="n"/>
      <c r="B520" s="971" t="n"/>
      <c r="C520" s="972" t="n"/>
      <c r="D520" s="973"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73"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73"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73"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75" t="n"/>
      <c r="E524" s="975" t="n"/>
      <c r="F524" s="998" t="n"/>
      <c r="G524" s="998" t="n"/>
      <c r="H524" s="975" t="n"/>
      <c r="I524" s="975" t="n"/>
      <c r="J524" s="975" t="n"/>
      <c r="K524" s="1189">
        <f>K519=L524</f>
        <v/>
      </c>
      <c r="L524" s="491">
        <f>SUM(L519:L523)</f>
        <v/>
      </c>
      <c r="M524" s="1190" t="inlineStr">
        <is>
          <t xml:space="preserve">“Verdadero” indica que la cantidad por lote, coincide con el saldo que inicia al mes siguiente. "Falso" no coinicide. </t>
        </is>
      </c>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413">
        <f>FEBRERO!K525</f>
        <v/>
      </c>
      <c r="E525" s="339">
        <f>H121</f>
        <v/>
      </c>
      <c r="F525" s="338" t="n">
        <v>2756</v>
      </c>
      <c r="G525" s="338" t="n">
        <v>54</v>
      </c>
      <c r="H525" s="1235">
        <f>+F525+G525</f>
        <v/>
      </c>
      <c r="I525" s="340">
        <f>+AM525</f>
        <v/>
      </c>
      <c r="J525" s="341">
        <f>+H525+I525</f>
        <v/>
      </c>
      <c r="K525" s="583">
        <f>+(D525+E525)-(J525)</f>
        <v/>
      </c>
      <c r="L525" s="253" t="n">
        <v>17480</v>
      </c>
      <c r="M525" s="254" t="inlineStr">
        <is>
          <t>Y3D32</t>
        </is>
      </c>
      <c r="N525" s="254" t="inlineStr">
        <is>
          <t>Sanofi Pasteur</t>
        </is>
      </c>
      <c r="O525" s="1183" t="inlineStr">
        <is>
          <t>30/04/2027</t>
        </is>
      </c>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v>2812</v>
      </c>
      <c r="AA525" s="648" t="n">
        <v>1035</v>
      </c>
      <c r="AB525" s="649">
        <f>+Z525+AA525</f>
        <v/>
      </c>
      <c r="AC525" s="648" t="n">
        <v>0</v>
      </c>
      <c r="AD525" s="648" t="n">
        <v>0</v>
      </c>
      <c r="AE525" s="648" t="n">
        <v>0</v>
      </c>
      <c r="AF525" s="648" t="n">
        <v>0</v>
      </c>
      <c r="AG525" s="648" t="n">
        <v>0</v>
      </c>
      <c r="AH525" s="648" t="n">
        <v>0</v>
      </c>
      <c r="AI525" s="648" t="n">
        <v>0</v>
      </c>
      <c r="AJ525" s="648" t="n">
        <v>0</v>
      </c>
      <c r="AK525" s="648" t="n">
        <v>0</v>
      </c>
      <c r="AL525" s="648" t="n">
        <v>0</v>
      </c>
      <c r="AM525" s="421">
        <f>SUM(AB525:AL529)</f>
        <v/>
      </c>
      <c r="AN525" s="726" t="n"/>
      <c r="AQ525" s="1238">
        <f>IFERROR(I525/J525*100,"0")</f>
        <v/>
      </c>
      <c r="AR525" s="343">
        <f>IFERROR(1/(1-(AQ525/100)),"0")</f>
        <v/>
      </c>
      <c r="AS525" s="1239" t="n">
        <v>70</v>
      </c>
      <c r="AT525" s="345" t="n">
        <v>10</v>
      </c>
      <c r="AU525" s="1240" t="n"/>
      <c r="AV525" s="1241" t="n"/>
      <c r="AW525" s="1242">
        <f>+H525-AV525</f>
        <v/>
      </c>
    </row>
    <row r="526" ht="17.25" customHeight="1">
      <c r="A526" s="973" t="n"/>
      <c r="B526" s="971" t="n"/>
      <c r="C526" s="972" t="n"/>
      <c r="D526" s="973" t="n"/>
      <c r="E526" s="973" t="n"/>
      <c r="F526" s="994" t="n"/>
      <c r="G526" s="994" t="n"/>
      <c r="H526" s="973" t="n"/>
      <c r="I526" s="973" t="n"/>
      <c r="J526" s="973" t="n"/>
      <c r="K526" s="973" t="n"/>
      <c r="L526" s="253" t="n">
        <v>420</v>
      </c>
      <c r="M526" s="254" t="inlineStr">
        <is>
          <t>318</t>
        </is>
      </c>
      <c r="N526" s="254" t="inlineStr">
        <is>
          <t>CHUMAKOV</t>
        </is>
      </c>
      <c r="O526" s="1183" t="inlineStr">
        <is>
          <t>31/05/2027</t>
        </is>
      </c>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73" t="n"/>
      <c r="E527" s="973" t="n"/>
      <c r="F527" s="994" t="n"/>
      <c r="G527" s="994" t="n"/>
      <c r="H527" s="973" t="n"/>
      <c r="I527" s="973" t="n"/>
      <c r="J527" s="973" t="n"/>
      <c r="K527" s="973" t="n"/>
      <c r="L527" s="253" t="n">
        <v>469</v>
      </c>
      <c r="M527" s="254" t="inlineStr">
        <is>
          <t>Y3D18</t>
        </is>
      </c>
      <c r="N527" s="254" t="inlineStr">
        <is>
          <t>Sanofi Pasteur</t>
        </is>
      </c>
      <c r="O527" s="1183" t="inlineStr">
        <is>
          <t>30/04/2027</t>
        </is>
      </c>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73" t="n"/>
      <c r="E528" s="973" t="n"/>
      <c r="F528" s="994" t="n"/>
      <c r="G528" s="994" t="n"/>
      <c r="H528" s="973" t="n"/>
      <c r="I528" s="973" t="n"/>
      <c r="J528" s="973" t="n"/>
      <c r="K528" s="973" t="n"/>
      <c r="L528" s="253" t="n"/>
      <c r="M528" s="254" t="n"/>
      <c r="N528" s="254" t="n"/>
      <c r="O528" s="1183" t="n"/>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73" t="n"/>
      <c r="E529" s="973" t="n"/>
      <c r="F529" s="994" t="n"/>
      <c r="G529" s="994" t="n"/>
      <c r="H529" s="973" t="n"/>
      <c r="I529" s="973" t="n"/>
      <c r="J529" s="973" t="n"/>
      <c r="K529" s="975" t="n"/>
      <c r="L529" s="253" t="n"/>
      <c r="M529" s="254" t="n"/>
      <c r="N529" s="254" t="n"/>
      <c r="O529" s="1183" t="n"/>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75" t="n"/>
      <c r="E530" s="975" t="n"/>
      <c r="F530" s="998" t="n"/>
      <c r="G530" s="998" t="n"/>
      <c r="H530" s="975" t="n"/>
      <c r="I530" s="975" t="n"/>
      <c r="J530" s="975" t="n"/>
      <c r="K530" s="1189">
        <f>K525=L530</f>
        <v/>
      </c>
      <c r="L530" s="491">
        <f>SUM(L525:L529)</f>
        <v/>
      </c>
      <c r="M530" s="1190" t="inlineStr">
        <is>
          <t xml:space="preserve">“Verdadero” indica que la cantidad por lote, coincide con el saldo que inicia al mes siguiente. "Falso" no coinicide. </t>
        </is>
      </c>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413">
        <f>FEBRERO!K531</f>
        <v/>
      </c>
      <c r="E531" s="339">
        <f>H127</f>
        <v/>
      </c>
      <c r="F531" s="338" t="n">
        <v>555</v>
      </c>
      <c r="G531" s="338" t="n">
        <v>29</v>
      </c>
      <c r="H531" s="1235">
        <f>+F531+G531</f>
        <v/>
      </c>
      <c r="I531" s="340">
        <f>+AM531</f>
        <v/>
      </c>
      <c r="J531" s="341">
        <f>+H531+I531</f>
        <v/>
      </c>
      <c r="K531" s="583">
        <f>+(D531+E531)-(J531)</f>
        <v/>
      </c>
      <c r="L531" s="253" t="n">
        <v>806</v>
      </c>
      <c r="M531" s="254" t="inlineStr">
        <is>
          <t>AB202404013</t>
        </is>
      </c>
      <c r="N531" s="254" t="inlineStr">
        <is>
          <t>Sinovac</t>
        </is>
      </c>
      <c r="O531" s="1183" t="inlineStr">
        <is>
          <t>21/10/2027</t>
        </is>
      </c>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v>0</v>
      </c>
      <c r="AA531" s="648" t="n">
        <v>0</v>
      </c>
      <c r="AB531" s="649">
        <f>+Z531+AA531</f>
        <v/>
      </c>
      <c r="AC531" s="648" t="n">
        <v>0</v>
      </c>
      <c r="AD531" s="648" t="n">
        <v>0</v>
      </c>
      <c r="AE531" s="648" t="n">
        <v>0</v>
      </c>
      <c r="AF531" s="648" t="n">
        <v>0</v>
      </c>
      <c r="AG531" s="648" t="n">
        <v>0</v>
      </c>
      <c r="AH531" s="648" t="n">
        <v>0</v>
      </c>
      <c r="AI531" s="648" t="n">
        <v>0</v>
      </c>
      <c r="AJ531" s="648" t="n">
        <v>0</v>
      </c>
      <c r="AK531" s="648" t="n">
        <v>0</v>
      </c>
      <c r="AL531" s="648" t="n">
        <v>0</v>
      </c>
      <c r="AM531" s="421">
        <f>SUM(AB531:AL535)</f>
        <v/>
      </c>
      <c r="AN531" s="726" t="n"/>
      <c r="AQ531" s="1238">
        <f>IFERROR(I531/J531*100,"0")</f>
        <v/>
      </c>
      <c r="AR531" s="343">
        <f>IFERROR(1/(1-(AQ531/100)),"0")</f>
        <v/>
      </c>
      <c r="AS531" s="1239" t="n">
        <v>0</v>
      </c>
      <c r="AT531" s="345" t="n">
        <v>1</v>
      </c>
      <c r="AU531" s="1240" t="n"/>
      <c r="AV531" s="1241" t="n"/>
      <c r="AW531" s="1242">
        <f>+H531-AV531</f>
        <v/>
      </c>
    </row>
    <row r="532" ht="17.25" customHeight="1">
      <c r="A532" s="973" t="n"/>
      <c r="B532" s="971" t="n"/>
      <c r="C532" s="972" t="n"/>
      <c r="D532" s="973" t="n"/>
      <c r="E532" s="973" t="n"/>
      <c r="F532" s="994" t="n"/>
      <c r="G532" s="994" t="n"/>
      <c r="H532" s="973" t="n"/>
      <c r="I532" s="973" t="n"/>
      <c r="J532" s="973" t="n"/>
      <c r="K532" s="973" t="n"/>
      <c r="L532" s="253" t="n">
        <v>643</v>
      </c>
      <c r="M532" s="254" t="inlineStr">
        <is>
          <t>AB202403008</t>
        </is>
      </c>
      <c r="N532" s="254" t="inlineStr">
        <is>
          <t>Sinovac</t>
        </is>
      </c>
      <c r="O532" s="1183" t="inlineStr">
        <is>
          <t>04/09/2027</t>
        </is>
      </c>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73" t="n"/>
      <c r="E533" s="973" t="n"/>
      <c r="F533" s="994" t="n"/>
      <c r="G533" s="994" t="n"/>
      <c r="H533" s="973" t="n"/>
      <c r="I533" s="973" t="n"/>
      <c r="J533" s="973" t="n"/>
      <c r="K533" s="973" t="n"/>
      <c r="L533" s="253" t="n">
        <v>497</v>
      </c>
      <c r="M533" s="254" t="n"/>
      <c r="N533" s="254" t="n"/>
      <c r="O533" s="1183" t="inlineStr">
        <is>
          <t>21/07/2026</t>
        </is>
      </c>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73" t="n"/>
      <c r="E534" s="973" t="n"/>
      <c r="F534" s="994" t="n"/>
      <c r="G534" s="994" t="n"/>
      <c r="H534" s="973" t="n"/>
      <c r="I534" s="973" t="n"/>
      <c r="J534" s="973" t="n"/>
      <c r="K534" s="973" t="n"/>
      <c r="L534" s="253" t="n"/>
      <c r="M534" s="254" t="n"/>
      <c r="N534" s="254" t="n"/>
      <c r="O534" s="1183" t="inlineStr">
        <is>
          <t>25/07/2026</t>
        </is>
      </c>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73" t="n"/>
      <c r="E535" s="973" t="n"/>
      <c r="F535" s="994" t="n"/>
      <c r="G535" s="994" t="n"/>
      <c r="H535" s="973" t="n"/>
      <c r="I535" s="973" t="n"/>
      <c r="J535" s="973" t="n"/>
      <c r="K535" s="975" t="n"/>
      <c r="L535" s="253" t="n"/>
      <c r="M535" s="254" t="n"/>
      <c r="N535" s="254" t="n"/>
      <c r="O535" s="1183" t="n"/>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75" t="n"/>
      <c r="E536" s="975" t="n"/>
      <c r="F536" s="998" t="n"/>
      <c r="G536" s="998" t="n"/>
      <c r="H536" s="975" t="n"/>
      <c r="I536" s="975" t="n"/>
      <c r="J536" s="975" t="n"/>
      <c r="K536" s="1189">
        <f>K531=L536</f>
        <v/>
      </c>
      <c r="L536" s="491">
        <f>SUM(L531:L535)</f>
        <v/>
      </c>
      <c r="M536" s="1190" t="inlineStr">
        <is>
          <t xml:space="preserve">“Verdadero” indica que la cantidad por lote, coincide con el saldo que inicia al mes siguiente. "Falso" no coinicide. </t>
        </is>
      </c>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413">
        <f>FEBRERO!K537</f>
        <v/>
      </c>
      <c r="E537" s="339">
        <f>H133</f>
        <v/>
      </c>
      <c r="F537" s="338" t="n">
        <v>1189</v>
      </c>
      <c r="G537" s="338" t="n">
        <v>39</v>
      </c>
      <c r="H537" s="1235">
        <f>+F537+G537</f>
        <v/>
      </c>
      <c r="I537" s="340">
        <f>+AM537</f>
        <v/>
      </c>
      <c r="J537" s="341">
        <f>+H537+I537</f>
        <v/>
      </c>
      <c r="K537" s="583">
        <f>+(D537+E537)-(J537)</f>
        <v/>
      </c>
      <c r="L537" s="253" t="n">
        <v>1596</v>
      </c>
      <c r="M537" s="254" t="inlineStr">
        <is>
          <t>BB202506051</t>
        </is>
      </c>
      <c r="N537" s="254" t="inlineStr">
        <is>
          <t>Sinovac</t>
        </is>
      </c>
      <c r="O537" s="1183" t="inlineStr">
        <is>
          <t>12/06/2027</t>
        </is>
      </c>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v>0</v>
      </c>
      <c r="AA537" s="648" t="n">
        <v>0</v>
      </c>
      <c r="AB537" s="649">
        <f>+Z537+AA537</f>
        <v/>
      </c>
      <c r="AC537" s="648" t="n">
        <v>0</v>
      </c>
      <c r="AD537" s="648" t="n">
        <v>0</v>
      </c>
      <c r="AE537" s="648" t="n">
        <v>0</v>
      </c>
      <c r="AF537" s="648" t="n">
        <v>0</v>
      </c>
      <c r="AG537" s="648" t="n">
        <v>0</v>
      </c>
      <c r="AH537" s="648" t="n">
        <v>0</v>
      </c>
      <c r="AI537" s="648" t="n">
        <v>0</v>
      </c>
      <c r="AJ537" s="648" t="n">
        <v>0</v>
      </c>
      <c r="AK537" s="648" t="n">
        <v>0</v>
      </c>
      <c r="AL537" s="648" t="n">
        <v>0</v>
      </c>
      <c r="AM537" s="421">
        <f>SUM(AB537:AL541)</f>
        <v/>
      </c>
      <c r="AN537" s="726" t="n"/>
      <c r="AQ537" s="1238">
        <f>IFERROR(I537/J537*100,"0")</f>
        <v/>
      </c>
      <c r="AR537" s="343">
        <f>IFERROR(1/(1-(AQ537/100)),"0")</f>
        <v/>
      </c>
      <c r="AS537" s="1239" t="n">
        <v>0</v>
      </c>
      <c r="AT537" s="345" t="n">
        <v>1</v>
      </c>
      <c r="AU537" s="1240" t="n"/>
      <c r="AV537" s="1241" t="n"/>
      <c r="AW537" s="1242">
        <f>+H537-AV537</f>
        <v/>
      </c>
    </row>
    <row r="538" ht="17.25" customHeight="1">
      <c r="A538" s="973" t="n"/>
      <c r="B538" s="971" t="n"/>
      <c r="C538" s="972" t="n"/>
      <c r="D538" s="973" t="n"/>
      <c r="E538" s="973" t="n"/>
      <c r="F538" s="994" t="n"/>
      <c r="G538" s="994" t="n"/>
      <c r="H538" s="973" t="n"/>
      <c r="I538" s="973" t="n"/>
      <c r="J538" s="973" t="n"/>
      <c r="K538" s="973" t="n"/>
      <c r="L538" s="253" t="n">
        <v>66</v>
      </c>
      <c r="M538" s="254" t="inlineStr">
        <is>
          <t>Z002992</t>
        </is>
      </c>
      <c r="N538" s="254" t="inlineStr">
        <is>
          <t>MSD</t>
        </is>
      </c>
      <c r="O538" s="1183" t="inlineStr">
        <is>
          <t>15/01/2027</t>
        </is>
      </c>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73" t="n"/>
      <c r="E539" s="973" t="n"/>
      <c r="F539" s="994" t="n"/>
      <c r="G539" s="994" t="n"/>
      <c r="H539" s="973" t="n"/>
      <c r="I539" s="973" t="n"/>
      <c r="J539" s="973" t="n"/>
      <c r="K539" s="973" t="n"/>
      <c r="L539" s="253" t="n">
        <v>18</v>
      </c>
      <c r="M539" s="254" t="inlineStr">
        <is>
          <t>Y018866</t>
        </is>
      </c>
      <c r="N539" s="254" t="inlineStr">
        <is>
          <t>MSD</t>
        </is>
      </c>
      <c r="O539" s="1183" t="inlineStr">
        <is>
          <t>13/11/2026</t>
        </is>
      </c>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73" t="n"/>
      <c r="E540" s="973" t="n"/>
      <c r="F540" s="994" t="n"/>
      <c r="G540" s="994" t="n"/>
      <c r="H540" s="973" t="n"/>
      <c r="I540" s="973" t="n"/>
      <c r="J540" s="973" t="n"/>
      <c r="K540" s="973" t="n"/>
      <c r="L540" s="253" t="n"/>
      <c r="M540" s="254" t="n"/>
      <c r="N540" s="254" t="inlineStr">
        <is>
          <t>MSD</t>
        </is>
      </c>
      <c r="O540" s="1183" t="inlineStr">
        <is>
          <t>14/01/2027</t>
        </is>
      </c>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73" t="n"/>
      <c r="E541" s="973" t="n"/>
      <c r="F541" s="994" t="n"/>
      <c r="G541" s="994" t="n"/>
      <c r="H541" s="973" t="n"/>
      <c r="I541" s="973" t="n"/>
      <c r="J541" s="973" t="n"/>
      <c r="K541" s="975" t="n"/>
      <c r="L541" s="253" t="n"/>
      <c r="M541" s="254" t="n"/>
      <c r="N541" s="254" t="n"/>
      <c r="O541" s="1183" t="n"/>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75" t="n"/>
      <c r="E542" s="975" t="n"/>
      <c r="F542" s="998" t="n"/>
      <c r="G542" s="998" t="n"/>
      <c r="H542" s="975" t="n"/>
      <c r="I542" s="975" t="n"/>
      <c r="J542" s="975" t="n"/>
      <c r="K542" s="1189">
        <f>K537=L542</f>
        <v/>
      </c>
      <c r="L542" s="491">
        <f>SUM(L537:L541)</f>
        <v/>
      </c>
      <c r="M542" s="1190" t="inlineStr">
        <is>
          <t xml:space="preserve">“Verdadero” indica que la cantidad por lote, coincide con el saldo que inicia al mes siguiente. "Falso" no coinicide. </t>
        </is>
      </c>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413">
        <f>FEBRERO!K543</f>
        <v/>
      </c>
      <c r="E543" s="339">
        <f>H139</f>
        <v/>
      </c>
      <c r="F543" s="338" t="n">
        <v>0</v>
      </c>
      <c r="G543" s="338" t="n">
        <v>0</v>
      </c>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v>0</v>
      </c>
      <c r="AA543" s="648" t="n">
        <v>0</v>
      </c>
      <c r="AB543" s="649">
        <f>+Z543+AA543</f>
        <v/>
      </c>
      <c r="AC543" s="648" t="n">
        <v>0</v>
      </c>
      <c r="AD543" s="648" t="n">
        <v>0</v>
      </c>
      <c r="AE543" s="648" t="n">
        <v>0</v>
      </c>
      <c r="AF543" s="648" t="n">
        <v>0</v>
      </c>
      <c r="AG543" s="648" t="n">
        <v>0</v>
      </c>
      <c r="AH543" s="648" t="n">
        <v>0</v>
      </c>
      <c r="AI543" s="648" t="n">
        <v>0</v>
      </c>
      <c r="AJ543" s="648" t="n">
        <v>0</v>
      </c>
      <c r="AK543" s="648" t="n">
        <v>0</v>
      </c>
      <c r="AL543" s="648" t="n">
        <v>0</v>
      </c>
      <c r="AM543" s="421">
        <f>SUM(AB543:AL547)</f>
        <v/>
      </c>
      <c r="AN543" s="726" t="n"/>
      <c r="AQ543" s="1238">
        <f>IFERROR(I543/J543*100,"0")</f>
        <v/>
      </c>
      <c r="AR543" s="343">
        <f>IFERROR(1/(1-(AQ543/100)),"0")</f>
        <v/>
      </c>
      <c r="AS543" s="1239" t="n">
        <v>0</v>
      </c>
      <c r="AT543" s="345" t="n">
        <v>1</v>
      </c>
      <c r="AU543" s="1240" t="n"/>
      <c r="AV543" s="1241" t="n"/>
      <c r="AW543" s="1242">
        <f>+H543-AV543</f>
        <v/>
      </c>
    </row>
    <row r="544" ht="17.25" customHeight="1">
      <c r="A544" s="973" t="n"/>
      <c r="B544" s="971" t="n"/>
      <c r="C544" s="972" t="n"/>
      <c r="D544" s="973"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73"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73"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73"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75" t="n"/>
      <c r="E548" s="975" t="n"/>
      <c r="F548" s="998" t="n"/>
      <c r="G548" s="998" t="n"/>
      <c r="H548" s="975" t="n"/>
      <c r="I548" s="975" t="n"/>
      <c r="J548" s="975" t="n"/>
      <c r="K548" s="1189">
        <f>K543=L548</f>
        <v/>
      </c>
      <c r="L548" s="491">
        <f>SUM(L543:L547)</f>
        <v/>
      </c>
      <c r="M548" s="1190" t="inlineStr">
        <is>
          <t xml:space="preserve">“Verdadero” indica que la cantidad por lote, coincide con el saldo que inicia al mes siguiente. "Falso" no coinicide. </t>
        </is>
      </c>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413">
        <f>FEBRERO!K549</f>
        <v/>
      </c>
      <c r="E549" s="339">
        <f>H145</f>
        <v/>
      </c>
      <c r="F549" s="338" t="n">
        <v>1305</v>
      </c>
      <c r="G549" s="338" t="n">
        <v>24</v>
      </c>
      <c r="H549" s="1235">
        <f>+F549+G549</f>
        <v/>
      </c>
      <c r="I549" s="340">
        <f>+AM549</f>
        <v/>
      </c>
      <c r="J549" s="341">
        <f>+H549+I549</f>
        <v/>
      </c>
      <c r="K549" s="583">
        <f>+(D549+E549)-(J549)</f>
        <v/>
      </c>
      <c r="L549" s="253" t="n">
        <v>1367</v>
      </c>
      <c r="M549" s="254" t="inlineStr">
        <is>
          <t>2334L016E</t>
        </is>
      </c>
      <c r="N549" s="254" t="inlineStr">
        <is>
          <t>Serum</t>
        </is>
      </c>
      <c r="O549" s="1183" t="inlineStr">
        <is>
          <t>31/03/2027</t>
        </is>
      </c>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v>93</v>
      </c>
      <c r="AA549" s="648" t="n">
        <v>145</v>
      </c>
      <c r="AB549" s="649">
        <f>+Z549+AA549</f>
        <v/>
      </c>
      <c r="AC549" s="648" t="n">
        <v>0</v>
      </c>
      <c r="AD549" s="648" t="n">
        <v>0</v>
      </c>
      <c r="AE549" s="648" t="n">
        <v>0</v>
      </c>
      <c r="AF549" s="648" t="n">
        <v>0</v>
      </c>
      <c r="AG549" s="648" t="n">
        <v>0</v>
      </c>
      <c r="AH549" s="648" t="n">
        <v>0</v>
      </c>
      <c r="AI549" s="648" t="n">
        <v>0</v>
      </c>
      <c r="AJ549" s="648" t="n">
        <v>2</v>
      </c>
      <c r="AK549" s="648" t="n">
        <v>0</v>
      </c>
      <c r="AL549" s="648" t="n">
        <v>0</v>
      </c>
      <c r="AM549" s="421">
        <f>SUM(AB549:AL553)</f>
        <v/>
      </c>
      <c r="AN549" s="726" t="n"/>
      <c r="AQ549" s="1238">
        <f>IFERROR(I549/J549*100,"0")</f>
        <v/>
      </c>
      <c r="AR549" s="343">
        <f>IFERROR(1/(1-(AQ549/100)),"0")</f>
        <v/>
      </c>
      <c r="AS549" s="1239" t="n">
        <v>15</v>
      </c>
      <c r="AT549" s="345" t="n">
        <v>10</v>
      </c>
      <c r="AU549" s="1240" t="n"/>
      <c r="AV549" s="1241" t="n"/>
      <c r="AW549" s="1242">
        <f>+H549-AV549</f>
        <v/>
      </c>
    </row>
    <row r="550" ht="17.25" customHeight="1">
      <c r="A550" s="973" t="n"/>
      <c r="B550" s="971" t="n"/>
      <c r="C550" s="972" t="n"/>
      <c r="D550" s="973" t="n"/>
      <c r="E550" s="973" t="n"/>
      <c r="F550" s="994" t="n"/>
      <c r="G550" s="994" t="n"/>
      <c r="H550" s="973" t="n"/>
      <c r="I550" s="973" t="n"/>
      <c r="J550" s="973" t="n"/>
      <c r="K550" s="973" t="n"/>
      <c r="L550" s="253" t="n">
        <v>780</v>
      </c>
      <c r="M550" s="254" t="inlineStr">
        <is>
          <t>2334L010B</t>
        </is>
      </c>
      <c r="N550" s="254" t="inlineStr">
        <is>
          <t>Serum</t>
        </is>
      </c>
      <c r="O550" s="1183" t="inlineStr">
        <is>
          <t>31/01/2027</t>
        </is>
      </c>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73" t="n"/>
      <c r="E551" s="973" t="n"/>
      <c r="F551" s="994" t="n"/>
      <c r="G551" s="994" t="n"/>
      <c r="H551" s="973" t="n"/>
      <c r="I551" s="973" t="n"/>
      <c r="J551" s="973" t="n"/>
      <c r="K551" s="973" t="n"/>
      <c r="L551" s="253" t="n">
        <v>49</v>
      </c>
      <c r="M551" s="254" t="inlineStr">
        <is>
          <t>2333X043B</t>
        </is>
      </c>
      <c r="N551" s="254" t="inlineStr">
        <is>
          <t>Serum</t>
        </is>
      </c>
      <c r="O551" s="1183" t="inlineStr">
        <is>
          <t>31/10/2026</t>
        </is>
      </c>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73" t="n"/>
      <c r="E552" s="973" t="n"/>
      <c r="F552" s="994" t="n"/>
      <c r="G552" s="994" t="n"/>
      <c r="H552" s="973" t="n"/>
      <c r="I552" s="973" t="n"/>
      <c r="J552" s="973" t="n"/>
      <c r="K552" s="973" t="n"/>
      <c r="L552" s="253" t="n">
        <v>68</v>
      </c>
      <c r="M552" s="254" t="inlineStr">
        <is>
          <t>2334X006A</t>
        </is>
      </c>
      <c r="N552" s="254" t="inlineStr">
        <is>
          <t>Serum</t>
        </is>
      </c>
      <c r="O552" s="1183" t="inlineStr">
        <is>
          <t>31/12/2026</t>
        </is>
      </c>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73" t="n"/>
      <c r="E553" s="973" t="n"/>
      <c r="F553" s="994" t="n"/>
      <c r="G553" s="994" t="n"/>
      <c r="H553" s="973" t="n"/>
      <c r="I553" s="973" t="n"/>
      <c r="J553" s="973" t="n"/>
      <c r="K553" s="975" t="n"/>
      <c r="L553" s="253" t="n"/>
      <c r="M553" s="254" t="n"/>
      <c r="N553" s="254" t="n"/>
      <c r="O553" s="1183" t="n"/>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75" t="n"/>
      <c r="E554" s="975" t="n"/>
      <c r="F554" s="998" t="n"/>
      <c r="G554" s="998" t="n"/>
      <c r="H554" s="975" t="n"/>
      <c r="I554" s="975" t="n"/>
      <c r="J554" s="975" t="n"/>
      <c r="K554" s="1189">
        <f>K549=L554</f>
        <v/>
      </c>
      <c r="L554" s="491">
        <f>SUM(L549:L553)</f>
        <v/>
      </c>
      <c r="M554" s="1190" t="inlineStr">
        <is>
          <t xml:space="preserve">“Verdadero” indica que la cantidad por lote, coincide con el saldo que inicia al mes siguiente. "Falso" no coinicide. </t>
        </is>
      </c>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413">
        <f>FEBRERO!K555</f>
        <v/>
      </c>
      <c r="E555" s="339">
        <f>H151</f>
        <v/>
      </c>
      <c r="F555" s="338" t="n">
        <v>587</v>
      </c>
      <c r="G555" s="338" t="n">
        <v>26</v>
      </c>
      <c r="H555" s="1235">
        <f>+F555+G555</f>
        <v/>
      </c>
      <c r="I555" s="340">
        <f>+AM555</f>
        <v/>
      </c>
      <c r="J555" s="341">
        <f>+H555+I555</f>
        <v/>
      </c>
      <c r="K555" s="583">
        <f>+(D555+E555)-(J555)</f>
        <v/>
      </c>
      <c r="L555" s="253" t="n">
        <v>738</v>
      </c>
      <c r="M555" s="254" t="inlineStr">
        <is>
          <t>3CA50C1</t>
        </is>
      </c>
      <c r="N555" s="254" t="inlineStr">
        <is>
          <t>Sanofi Pasteur</t>
        </is>
      </c>
      <c r="O555" s="1183" t="inlineStr">
        <is>
          <t>30/09/2027</t>
        </is>
      </c>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v>9</v>
      </c>
      <c r="AA555" s="648" t="n">
        <v>0</v>
      </c>
      <c r="AB555" s="649">
        <f>+Z555+AA555</f>
        <v/>
      </c>
      <c r="AC555" s="648" t="n">
        <v>0</v>
      </c>
      <c r="AD555" s="648" t="n">
        <v>0</v>
      </c>
      <c r="AE555" s="648" t="n">
        <v>0</v>
      </c>
      <c r="AF555" s="648" t="n">
        <v>0</v>
      </c>
      <c r="AG555" s="648" t="n">
        <v>0</v>
      </c>
      <c r="AH555" s="648" t="n">
        <v>0</v>
      </c>
      <c r="AI555" s="648" t="n">
        <v>0</v>
      </c>
      <c r="AJ555" s="648" t="n">
        <v>0</v>
      </c>
      <c r="AK555" s="648" t="n">
        <v>0</v>
      </c>
      <c r="AL555" s="648" t="n">
        <v>0</v>
      </c>
      <c r="AM555" s="421">
        <f>SUM(AB555:AL559)</f>
        <v/>
      </c>
      <c r="AN555" s="726" t="n"/>
      <c r="AQ555" s="1238">
        <f>IFERROR(I555/J555*100,"0")</f>
        <v/>
      </c>
      <c r="AR555" s="343">
        <f>IFERROR(1/(1-(AQ555/100)),"0")</f>
        <v/>
      </c>
      <c r="AS555" s="1239" t="n">
        <v>0</v>
      </c>
      <c r="AT555" s="345" t="n">
        <v>1</v>
      </c>
      <c r="AU555" s="1240" t="n"/>
      <c r="AV555" s="1241" t="n"/>
      <c r="AW555" s="1242">
        <f>+H555-AV555</f>
        <v/>
      </c>
    </row>
    <row r="556" ht="17.25" customHeight="1">
      <c r="A556" s="973" t="n"/>
      <c r="B556" s="971" t="n"/>
      <c r="C556" s="972" t="n"/>
      <c r="D556" s="973" t="n"/>
      <c r="E556" s="973" t="n"/>
      <c r="F556" s="994" t="n"/>
      <c r="G556" s="994" t="n"/>
      <c r="H556" s="973" t="n"/>
      <c r="I556" s="973" t="n"/>
      <c r="J556" s="973" t="n"/>
      <c r="K556" s="973" t="n"/>
      <c r="L556" s="253" t="n">
        <v>254</v>
      </c>
      <c r="M556" s="254" t="inlineStr">
        <is>
          <t>5DA79D1</t>
        </is>
      </c>
      <c r="N556" s="254" t="inlineStr">
        <is>
          <t>Sanofi Pasteur</t>
        </is>
      </c>
      <c r="O556" s="1183" t="inlineStr">
        <is>
          <t>30/09/2028</t>
        </is>
      </c>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73" t="n"/>
      <c r="E557" s="973" t="n"/>
      <c r="F557" s="994" t="n"/>
      <c r="G557" s="994" t="n"/>
      <c r="H557" s="973" t="n"/>
      <c r="I557" s="973" t="n"/>
      <c r="J557" s="973" t="n"/>
      <c r="K557" s="973" t="n"/>
      <c r="L557" s="253" t="n">
        <v>57</v>
      </c>
      <c r="M557" s="254" t="inlineStr">
        <is>
          <t>AC37B466AA</t>
        </is>
      </c>
      <c r="N557" s="254" t="inlineStr">
        <is>
          <t>Glaxo SmithKline</t>
        </is>
      </c>
      <c r="O557" s="1183" t="inlineStr">
        <is>
          <t>31/03/2027</t>
        </is>
      </c>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73" t="n"/>
      <c r="E558" s="973" t="n"/>
      <c r="F558" s="994" t="n"/>
      <c r="G558" s="994" t="n"/>
      <c r="H558" s="973" t="n"/>
      <c r="I558" s="973" t="n"/>
      <c r="J558" s="973" t="n"/>
      <c r="K558" s="973" t="n"/>
      <c r="L558" s="253" t="n">
        <v>18</v>
      </c>
      <c r="M558" s="254" t="inlineStr">
        <is>
          <t>UNIDAD</t>
        </is>
      </c>
      <c r="N558" s="254" t="inlineStr">
        <is>
          <t>Imprenta Nacional de Colombia</t>
        </is>
      </c>
      <c r="O558" s="1183" t="inlineStr">
        <is>
          <t>31/03/2026</t>
        </is>
      </c>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73" t="n"/>
      <c r="E559" s="973" t="n"/>
      <c r="F559" s="994" t="n"/>
      <c r="G559" s="994" t="n"/>
      <c r="H559" s="973" t="n"/>
      <c r="I559" s="973" t="n"/>
      <c r="J559" s="973" t="n"/>
      <c r="K559" s="975" t="n"/>
      <c r="L559" s="253" t="n"/>
      <c r="M559" s="254" t="inlineStr">
        <is>
          <t>2CA78C1</t>
        </is>
      </c>
      <c r="N559" s="254" t="inlineStr">
        <is>
          <t>Sanofi Pasteur</t>
        </is>
      </c>
      <c r="O559" s="1183" t="inlineStr">
        <is>
          <t>30/06/2026</t>
        </is>
      </c>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75" t="n"/>
      <c r="E560" s="975" t="n"/>
      <c r="F560" s="998" t="n"/>
      <c r="G560" s="998" t="n"/>
      <c r="H560" s="975" t="n"/>
      <c r="I560" s="975" t="n"/>
      <c r="J560" s="975" t="n"/>
      <c r="K560" s="1189">
        <f>K555=L560</f>
        <v/>
      </c>
      <c r="L560" s="491">
        <f>SUM(L555:L559)</f>
        <v/>
      </c>
      <c r="M560" s="1190" t="inlineStr">
        <is>
          <t xml:space="preserve">“Verdadero” indica que la cantidad por lote, coincide con el saldo que inicia al mes siguiente. "Falso" no coinicide. </t>
        </is>
      </c>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66">
        <f>FEBRERO!K561</f>
        <v/>
      </c>
      <c r="E561" s="339">
        <f>H157</f>
        <v/>
      </c>
      <c r="F561" s="338" t="n">
        <v>332</v>
      </c>
      <c r="G561" s="338" t="n">
        <v>8</v>
      </c>
      <c r="H561" s="1235">
        <f>+F561+G561</f>
        <v/>
      </c>
      <c r="I561" s="340">
        <f>+AM561</f>
        <v/>
      </c>
      <c r="J561" s="341">
        <f>+H561+I561</f>
        <v/>
      </c>
      <c r="K561" s="583">
        <f>+(D561-D564+D565)+E561-J561</f>
        <v/>
      </c>
      <c r="L561" s="253" t="n"/>
      <c r="M561" s="254" t="n"/>
      <c r="N561" s="254" t="n"/>
      <c r="O561" s="1183" t="n"/>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v>278</v>
      </c>
      <c r="AA561" s="648">
        <f>114+216</f>
        <v/>
      </c>
      <c r="AB561" s="649">
        <f>+Z561+AA561</f>
        <v/>
      </c>
      <c r="AC561" s="648" t="n">
        <v>0</v>
      </c>
      <c r="AD561" s="648" t="n">
        <v>0</v>
      </c>
      <c r="AE561" s="648" t="n">
        <v>0</v>
      </c>
      <c r="AF561" s="648" t="n">
        <v>0</v>
      </c>
      <c r="AG561" s="648" t="n">
        <v>2986</v>
      </c>
      <c r="AH561" s="648" t="n">
        <v>0</v>
      </c>
      <c r="AI561" s="648" t="n">
        <v>0</v>
      </c>
      <c r="AJ561" s="648" t="n">
        <v>0</v>
      </c>
      <c r="AK561" s="648" t="n">
        <v>0</v>
      </c>
      <c r="AL561" s="648" t="n">
        <v>0</v>
      </c>
      <c r="AM561" s="421">
        <f>SUM(AB561:AL565)</f>
        <v/>
      </c>
      <c r="AN561" s="726" t="n"/>
      <c r="AQ561" s="1238">
        <f>IFERROR(I561/J561*100,"0")</f>
        <v/>
      </c>
      <c r="AR561" s="343">
        <f>IFERROR(1/(1-(AQ561/100)),"0")</f>
        <v/>
      </c>
      <c r="AS561" s="1239" t="n">
        <v>15</v>
      </c>
      <c r="AT561" s="345" t="n">
        <v>20</v>
      </c>
      <c r="AU561" s="1240" t="n"/>
      <c r="AV561" s="1241" t="n"/>
      <c r="AW561" s="1242">
        <f>+H561-AV561</f>
        <v/>
      </c>
    </row>
    <row r="562" ht="19.5" customHeight="1">
      <c r="A562" s="973" t="n"/>
      <c r="B562" s="971" t="n"/>
      <c r="C562" s="972" t="n"/>
      <c r="D562" s="973" t="n"/>
      <c r="E562" s="973" t="n"/>
      <c r="F562" s="994" t="n"/>
      <c r="G562" s="994" t="n"/>
      <c r="H562" s="973" t="n"/>
      <c r="I562" s="973" t="n"/>
      <c r="J562" s="973" t="n"/>
      <c r="K562" s="973" t="n"/>
      <c r="L562" s="253" t="n"/>
      <c r="M562" s="254" t="n"/>
      <c r="N562" s="254" t="n"/>
      <c r="O562" s="1183" t="n"/>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75" t="n"/>
      <c r="E563" s="973" t="n"/>
      <c r="F563" s="994" t="n"/>
      <c r="G563" s="994" t="n"/>
      <c r="H563" s="973" t="n"/>
      <c r="I563" s="973" t="n"/>
      <c r="J563" s="973" t="n"/>
      <c r="K563" s="973" t="n"/>
      <c r="L563" s="253" t="n"/>
      <c r="M563" s="254" t="n"/>
      <c r="N563" s="254" t="n"/>
      <c r="O563" s="1183" t="n"/>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v>64</v>
      </c>
      <c r="E564" s="973" t="n"/>
      <c r="F564" s="994" t="n"/>
      <c r="G564" s="994" t="n"/>
      <c r="H564" s="973" t="n"/>
      <c r="I564" s="973" t="n"/>
      <c r="J564" s="973" t="n"/>
      <c r="K564" s="973" t="n"/>
      <c r="L564" s="253" t="n"/>
      <c r="M564" s="254" t="n"/>
      <c r="N564" s="254" t="n"/>
      <c r="O564" s="1183" t="n"/>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inlineStr">
        <is>
          <t xml:space="preserve">“Verdadero” indica que la cantidad por lote, coincide con el saldo que inicia al mes siguiente. "Falso" no coinicide. </t>
        </is>
      </c>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66">
        <f>FEBRERO!K567</f>
        <v/>
      </c>
      <c r="E567" s="1244">
        <f>H163</f>
        <v/>
      </c>
      <c r="F567" s="338" t="n">
        <v>32</v>
      </c>
      <c r="G567" s="338" t="n">
        <v>0</v>
      </c>
      <c r="H567" s="1235">
        <f>+F567+G567</f>
        <v/>
      </c>
      <c r="I567" s="340">
        <f>+AM567</f>
        <v/>
      </c>
      <c r="J567" s="341">
        <f>+H567+I567</f>
        <v/>
      </c>
      <c r="K567" s="583">
        <f>(D567-D570+D571+E567)-(J567)</f>
        <v/>
      </c>
      <c r="L567" s="253" t="n"/>
      <c r="M567" s="254" t="n"/>
      <c r="N567" s="254" t="n"/>
      <c r="O567" s="1183" t="n"/>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v>0</v>
      </c>
      <c r="AA567" s="648" t="n">
        <v>0</v>
      </c>
      <c r="AB567" s="649">
        <f>+Z567+AA567</f>
        <v/>
      </c>
      <c r="AC567" s="648" t="n">
        <v>0</v>
      </c>
      <c r="AD567" s="648" t="n">
        <v>0</v>
      </c>
      <c r="AE567" s="648" t="n">
        <v>0</v>
      </c>
      <c r="AF567" s="648" t="n">
        <v>0</v>
      </c>
      <c r="AG567" s="648" t="n">
        <v>0</v>
      </c>
      <c r="AH567" s="648" t="n">
        <v>0</v>
      </c>
      <c r="AI567" s="648" t="n">
        <v>0</v>
      </c>
      <c r="AJ567" s="648" t="n">
        <v>0</v>
      </c>
      <c r="AK567" s="648" t="n">
        <v>0</v>
      </c>
      <c r="AL567" s="648" t="n">
        <v>0</v>
      </c>
      <c r="AM567" s="421">
        <f>SUM(AB567:AL571)</f>
        <v/>
      </c>
      <c r="AN567" s="726" t="n"/>
      <c r="AQ567" s="1238">
        <f>IFERROR(I567/J567*100,"0")</f>
        <v/>
      </c>
      <c r="AR567" s="343">
        <f>IFERROR(1/(1-(AQ567/100)),"0")</f>
        <v/>
      </c>
      <c r="AS567" s="1239" t="n">
        <v>10</v>
      </c>
      <c r="AT567" s="345" t="n">
        <v>10</v>
      </c>
      <c r="AU567" s="1240" t="n"/>
      <c r="AV567" s="1241" t="n"/>
      <c r="AW567" s="1242">
        <f>+H567-AV567</f>
        <v/>
      </c>
    </row>
    <row r="568" ht="19.5" customHeight="1">
      <c r="A568" s="973" t="n"/>
      <c r="B568" s="971" t="n"/>
      <c r="C568" s="972" t="n"/>
      <c r="D568" s="973" t="n"/>
      <c r="E568" s="973" t="n"/>
      <c r="F568" s="994" t="n"/>
      <c r="G568" s="994" t="n"/>
      <c r="H568" s="973" t="n"/>
      <c r="I568" s="973" t="n"/>
      <c r="J568" s="973" t="n"/>
      <c r="K568" s="973" t="n"/>
      <c r="L568" s="253" t="n"/>
      <c r="M568" s="254" t="n"/>
      <c r="N568" s="254" t="n"/>
      <c r="O568" s="1183" t="n"/>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75" t="n"/>
      <c r="E569" s="973" t="n"/>
      <c r="F569" s="994" t="n"/>
      <c r="G569" s="994" t="n"/>
      <c r="H569" s="973" t="n"/>
      <c r="I569" s="973" t="n"/>
      <c r="J569" s="973" t="n"/>
      <c r="K569" s="973" t="n"/>
      <c r="L569" s="253" t="n"/>
      <c r="M569" s="254" t="n"/>
      <c r="N569" s="254" t="n"/>
      <c r="O569" s="1183" t="n"/>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c r="M570" s="254" t="n"/>
      <c r="N570" s="254" t="n"/>
      <c r="O570" s="1183" t="n"/>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inlineStr">
        <is>
          <t xml:space="preserve">“Verdadero” indica que la cantidad por lote, coincide con el saldo que inicia al mes siguiente. "Falso" no coinicide. </t>
        </is>
      </c>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413">
        <f>FEBRERO!K573</f>
        <v/>
      </c>
      <c r="E573" s="339">
        <f>H169</f>
        <v/>
      </c>
      <c r="F573" s="338" t="n">
        <v>496</v>
      </c>
      <c r="G573" s="338" t="n">
        <v>19</v>
      </c>
      <c r="H573" s="1235">
        <f>+F573+G573</f>
        <v/>
      </c>
      <c r="I573" s="340">
        <f>+AM573</f>
        <v/>
      </c>
      <c r="J573" s="341">
        <f>+H573+I573</f>
        <v/>
      </c>
      <c r="K573" s="583">
        <f>+(D573+E573)-(J573)</f>
        <v/>
      </c>
      <c r="L573" s="253" t="n">
        <v>290</v>
      </c>
      <c r="M573" s="254" t="inlineStr">
        <is>
          <t>NC6343</t>
        </is>
      </c>
      <c r="N573" s="254" t="inlineStr">
        <is>
          <t>PFIZER</t>
        </is>
      </c>
      <c r="O573" s="1183" t="inlineStr">
        <is>
          <t>31/10/2027</t>
        </is>
      </c>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v>0</v>
      </c>
      <c r="AA573" s="648" t="n">
        <v>0</v>
      </c>
      <c r="AB573" s="649">
        <f>+Z573+AA573</f>
        <v/>
      </c>
      <c r="AC573" s="648" t="n">
        <v>0</v>
      </c>
      <c r="AD573" s="648" t="n">
        <v>0</v>
      </c>
      <c r="AE573" s="648" t="n">
        <v>0</v>
      </c>
      <c r="AF573" s="648" t="n">
        <v>0</v>
      </c>
      <c r="AG573" s="648" t="n">
        <v>0</v>
      </c>
      <c r="AH573" s="648" t="n">
        <v>0</v>
      </c>
      <c r="AI573" s="648" t="n">
        <v>0</v>
      </c>
      <c r="AJ573" s="648" t="n">
        <v>0</v>
      </c>
      <c r="AK573" s="648" t="n">
        <v>0</v>
      </c>
      <c r="AL573" s="648" t="n">
        <v>0</v>
      </c>
      <c r="AM573" s="421">
        <f>SUM(AB573:AL577)</f>
        <v/>
      </c>
      <c r="AN573" s="726" t="n"/>
      <c r="AQ573" s="1238">
        <f>IFERROR(I573/J573*100,"0")</f>
        <v/>
      </c>
      <c r="AR573" s="343">
        <f>IFERROR(1/(1-(AQ573/100)),"0")</f>
        <v/>
      </c>
      <c r="AS573" s="1239" t="n">
        <v>0</v>
      </c>
      <c r="AT573" s="345" t="n">
        <v>1</v>
      </c>
      <c r="AU573" s="1240" t="n"/>
      <c r="AV573" s="1241" t="n"/>
      <c r="AW573" s="1242">
        <f>+H573-AV573</f>
        <v/>
      </c>
    </row>
    <row r="574" ht="17.25" customHeight="1">
      <c r="A574" s="973" t="n"/>
      <c r="B574" s="971" t="n"/>
      <c r="C574" s="972" t="n"/>
      <c r="D574" s="973" t="n"/>
      <c r="E574" s="973" t="n"/>
      <c r="F574" s="994" t="n"/>
      <c r="G574" s="994" t="n"/>
      <c r="H574" s="973" t="n"/>
      <c r="I574" s="973" t="n"/>
      <c r="J574" s="973" t="n"/>
      <c r="K574" s="973" t="n"/>
      <c r="L574" s="253" t="n">
        <v>115</v>
      </c>
      <c r="M574" s="254" t="inlineStr">
        <is>
          <t>MH8217</t>
        </is>
      </c>
      <c r="N574" s="254" t="inlineStr">
        <is>
          <t>PFIZER</t>
        </is>
      </c>
      <c r="O574" s="1183" t="inlineStr">
        <is>
          <t>30/06/2027</t>
        </is>
      </c>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73" t="n"/>
      <c r="E575" s="973" t="n"/>
      <c r="F575" s="994" t="n"/>
      <c r="G575" s="994" t="n"/>
      <c r="H575" s="973" t="n"/>
      <c r="I575" s="973" t="n"/>
      <c r="J575" s="973" t="n"/>
      <c r="K575" s="973" t="n"/>
      <c r="L575" s="253" t="n">
        <v>8</v>
      </c>
      <c r="M575" s="254" t="inlineStr">
        <is>
          <t>PAPELERA</t>
        </is>
      </c>
      <c r="N575" s="254" t="inlineStr">
        <is>
          <t>Imprenta Nacional de Colombia</t>
        </is>
      </c>
      <c r="O575" s="1183" t="inlineStr">
        <is>
          <t>31/12/2026</t>
        </is>
      </c>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73" t="n"/>
      <c r="E576" s="973" t="n"/>
      <c r="F576" s="994" t="n"/>
      <c r="G576" s="994" t="n"/>
      <c r="H576" s="973" t="n"/>
      <c r="I576" s="973" t="n"/>
      <c r="J576" s="973" t="n"/>
      <c r="K576" s="973" t="n"/>
      <c r="L576" s="253" t="n">
        <v>34</v>
      </c>
      <c r="M576" s="254" t="n"/>
      <c r="N576" s="254" t="n"/>
      <c r="O576" s="1183" t="n"/>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73" t="n"/>
      <c r="E577" s="973" t="n"/>
      <c r="F577" s="994" t="n"/>
      <c r="G577" s="994" t="n"/>
      <c r="H577" s="973" t="n"/>
      <c r="I577" s="973" t="n"/>
      <c r="J577" s="973" t="n"/>
      <c r="K577" s="975" t="n"/>
      <c r="L577" s="253" t="n"/>
      <c r="M577" s="254" t="n"/>
      <c r="N577" s="254" t="n"/>
      <c r="O577" s="1183" t="n"/>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75" t="n"/>
      <c r="E578" s="975" t="n"/>
      <c r="F578" s="998" t="n"/>
      <c r="G578" s="998" t="n"/>
      <c r="H578" s="975" t="n"/>
      <c r="I578" s="975" t="n"/>
      <c r="J578" s="975" t="n"/>
      <c r="K578" s="1189">
        <f>K573=L578</f>
        <v/>
      </c>
      <c r="L578" s="491">
        <f>SUM(L573:L577)</f>
        <v/>
      </c>
      <c r="M578" s="1190" t="inlineStr">
        <is>
          <t xml:space="preserve">“Verdadero” indica que la cantidad por lote, coincide con el saldo que inicia al mes siguiente. "Falso" no coinicide. </t>
        </is>
      </c>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413">
        <f>FEBRERO!K579</f>
        <v/>
      </c>
      <c r="E579" s="339">
        <f>H175</f>
        <v/>
      </c>
      <c r="F579" s="338" t="n">
        <v>1479</v>
      </c>
      <c r="G579" s="338" t="n">
        <v>59</v>
      </c>
      <c r="H579" s="1235">
        <f>+F579+G579</f>
        <v/>
      </c>
      <c r="I579" s="340">
        <f>+AM579</f>
        <v/>
      </c>
      <c r="J579" s="341">
        <f>+H579+I579</f>
        <v/>
      </c>
      <c r="K579" s="583">
        <f>+(D579+E579)-(J579)</f>
        <v/>
      </c>
      <c r="L579" s="253" t="n">
        <v>2777</v>
      </c>
      <c r="M579" s="254" t="inlineStr">
        <is>
          <t>Y014828</t>
        </is>
      </c>
      <c r="N579" s="254" t="inlineStr">
        <is>
          <t>MERCK SHARP DOHME</t>
        </is>
      </c>
      <c r="O579" s="1183" t="inlineStr">
        <is>
          <t>31/05/2027</t>
        </is>
      </c>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v>0</v>
      </c>
      <c r="AA579" s="648" t="n">
        <v>0</v>
      </c>
      <c r="AB579" s="649">
        <f>+Z579+AA579</f>
        <v/>
      </c>
      <c r="AC579" s="648" t="n">
        <v>0</v>
      </c>
      <c r="AD579" s="648" t="n">
        <v>0</v>
      </c>
      <c r="AE579" s="648" t="n">
        <v>0</v>
      </c>
      <c r="AF579" s="648" t="n">
        <v>0</v>
      </c>
      <c r="AG579" s="648" t="n">
        <v>0</v>
      </c>
      <c r="AH579" s="648" t="n">
        <v>0</v>
      </c>
      <c r="AI579" s="648" t="n">
        <v>0</v>
      </c>
      <c r="AJ579" s="648" t="n">
        <v>0</v>
      </c>
      <c r="AK579" s="648" t="n">
        <v>0</v>
      </c>
      <c r="AL579" s="648" t="n">
        <v>0</v>
      </c>
      <c r="AM579" s="421">
        <f>SUM(AB579:AL583)</f>
        <v/>
      </c>
      <c r="AN579" s="726" t="n"/>
      <c r="AQ579" s="1238">
        <f>IFERROR(I579/J579*100,"0")</f>
        <v/>
      </c>
      <c r="AR579" s="343">
        <f>IFERROR(1/(1-(AQ579/100)),"0")</f>
        <v/>
      </c>
      <c r="AS579" s="1239" t="n">
        <v>0</v>
      </c>
      <c r="AT579" s="345" t="n">
        <v>1</v>
      </c>
      <c r="AU579" s="1240" t="n"/>
      <c r="AV579" s="1241" t="n"/>
      <c r="AW579" s="1242">
        <f>+H579-AV579</f>
        <v/>
      </c>
    </row>
    <row r="580" ht="17.25" customHeight="1">
      <c r="A580" s="973" t="n"/>
      <c r="B580" s="971" t="n"/>
      <c r="C580" s="972" t="n"/>
      <c r="D580" s="973" t="n"/>
      <c r="E580" s="973" t="n"/>
      <c r="F580" s="994" t="n"/>
      <c r="G580" s="994" t="n"/>
      <c r="H580" s="973" t="n"/>
      <c r="I580" s="973" t="n"/>
      <c r="J580" s="973" t="n"/>
      <c r="K580" s="973" t="n"/>
      <c r="L580" s="253" t="n">
        <v>24</v>
      </c>
      <c r="M580" s="254" t="inlineStr">
        <is>
          <t>Y011071</t>
        </is>
      </c>
      <c r="N580" s="254" t="inlineStr">
        <is>
          <t>MERCK SHARP DOHME</t>
        </is>
      </c>
      <c r="O580" s="1183" t="inlineStr">
        <is>
          <t>31/05/2026</t>
        </is>
      </c>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73" t="n"/>
      <c r="E581" s="973" t="n"/>
      <c r="F581" s="994" t="n"/>
      <c r="G581" s="994" t="n"/>
      <c r="H581" s="973" t="n"/>
      <c r="I581" s="973" t="n"/>
      <c r="J581" s="973" t="n"/>
      <c r="K581" s="973" t="n"/>
      <c r="L581" s="253" t="n"/>
      <c r="M581" s="254" t="n"/>
      <c r="N581" s="254" t="n"/>
      <c r="O581" s="1183" t="n"/>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73" t="n"/>
      <c r="E582" s="973" t="n"/>
      <c r="F582" s="994" t="n"/>
      <c r="G582" s="994" t="n"/>
      <c r="H582" s="973" t="n"/>
      <c r="I582" s="973" t="n"/>
      <c r="J582" s="973" t="n"/>
      <c r="K582" s="973" t="n"/>
      <c r="L582" s="253" t="n"/>
      <c r="M582" s="254" t="n"/>
      <c r="N582" s="254" t="n"/>
      <c r="O582" s="1183" t="n"/>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73"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75" t="n"/>
      <c r="E584" s="975" t="n"/>
      <c r="F584" s="998" t="n"/>
      <c r="G584" s="998" t="n"/>
      <c r="H584" s="975" t="n"/>
      <c r="I584" s="975" t="n"/>
      <c r="J584" s="975" t="n"/>
      <c r="K584" s="1189">
        <f>K579=L584</f>
        <v/>
      </c>
      <c r="L584" s="491">
        <f>SUM(L579:L583)</f>
        <v/>
      </c>
      <c r="M584" s="1190" t="inlineStr">
        <is>
          <t xml:space="preserve">“Verdadero” indica que la cantidad por lote, coincide con el saldo que inicia al mes siguiente. "Falso" no coinicide. </t>
        </is>
      </c>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413">
        <f>FEBRERO!K585</f>
        <v/>
      </c>
      <c r="E585" s="339">
        <f>H181</f>
        <v/>
      </c>
      <c r="F585" s="338" t="n">
        <v>0</v>
      </c>
      <c r="G585" s="338" t="n">
        <v>0</v>
      </c>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v>0</v>
      </c>
      <c r="AA585" s="648" t="n">
        <v>0</v>
      </c>
      <c r="AB585" s="649">
        <f>+Z585+AA585</f>
        <v/>
      </c>
      <c r="AC585" s="648" t="n">
        <v>0</v>
      </c>
      <c r="AD585" s="648" t="n">
        <v>0</v>
      </c>
      <c r="AE585" s="648" t="n">
        <v>0</v>
      </c>
      <c r="AF585" s="648" t="n">
        <v>0</v>
      </c>
      <c r="AG585" s="648" t="n">
        <v>0</v>
      </c>
      <c r="AH585" s="648" t="n">
        <v>0</v>
      </c>
      <c r="AI585" s="648" t="n">
        <v>0</v>
      </c>
      <c r="AJ585" s="648" t="n">
        <v>0</v>
      </c>
      <c r="AK585" s="648" t="n">
        <v>0</v>
      </c>
      <c r="AL585" s="648" t="n">
        <v>0</v>
      </c>
      <c r="AM585" s="421">
        <f>SUM(AB585:AL589)</f>
        <v/>
      </c>
      <c r="AN585" s="726" t="n"/>
      <c r="AQ585" s="1238">
        <f>IFERROR(I585/J585*100,"0")</f>
        <v/>
      </c>
      <c r="AR585" s="343">
        <f>IFERROR(1/(1-(AQ585/100)),"0")</f>
        <v/>
      </c>
      <c r="AS585" s="1239" t="n">
        <v>0</v>
      </c>
      <c r="AT585" s="345" t="n">
        <v>1</v>
      </c>
      <c r="AU585" s="1240" t="n"/>
      <c r="AV585" s="1241" t="n"/>
      <c r="AW585" s="1242">
        <f>+H585-AV585</f>
        <v/>
      </c>
    </row>
    <row r="586" ht="17.25" customHeight="1">
      <c r="A586" s="973" t="n"/>
      <c r="B586" s="971" t="n"/>
      <c r="C586" s="972" t="n"/>
      <c r="D586" s="973"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73"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73"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73"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75" t="n"/>
      <c r="E590" s="975" t="n"/>
      <c r="F590" s="998" t="n"/>
      <c r="G590" s="998" t="n"/>
      <c r="H590" s="975" t="n"/>
      <c r="I590" s="975" t="n"/>
      <c r="J590" s="975" t="n"/>
      <c r="K590" s="1189">
        <f>K585=L590</f>
        <v/>
      </c>
      <c r="L590" s="491">
        <f>SUM(L585:L589)</f>
        <v/>
      </c>
      <c r="M590" s="1190" t="inlineStr">
        <is>
          <t xml:space="preserve">“Verdadero” indica que la cantidad por lote, coincide con el saldo que inicia al mes siguiente. "Falso" no coinicide. </t>
        </is>
      </c>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413">
        <f>FEBRERO!K591</f>
        <v/>
      </c>
      <c r="E591" s="339">
        <f>H187</f>
        <v/>
      </c>
      <c r="F591" s="338" t="n">
        <v>300</v>
      </c>
      <c r="G591" s="338" t="n">
        <v>1</v>
      </c>
      <c r="H591" s="1235">
        <f>+F591+G591</f>
        <v/>
      </c>
      <c r="I591" s="340">
        <f>+AM591</f>
        <v/>
      </c>
      <c r="J591" s="341">
        <f>+H591+I591</f>
        <v/>
      </c>
      <c r="K591" s="583">
        <f>+(D591+E591)-(J591)</f>
        <v/>
      </c>
      <c r="L591" s="253" t="n">
        <v>348</v>
      </c>
      <c r="M591" s="254" t="inlineStr">
        <is>
          <t>1485T007</t>
        </is>
      </c>
      <c r="N591" s="254" t="inlineStr">
        <is>
          <t>Serum</t>
        </is>
      </c>
      <c r="O591" s="1183" t="inlineStr">
        <is>
          <t>31/01/2028</t>
        </is>
      </c>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v>0</v>
      </c>
      <c r="AA591" s="648" t="n">
        <v>0</v>
      </c>
      <c r="AB591" s="649">
        <f>+Z591+AA591</f>
        <v/>
      </c>
      <c r="AC591" s="648" t="n">
        <v>0</v>
      </c>
      <c r="AD591" s="648" t="n">
        <v>0</v>
      </c>
      <c r="AE591" s="648" t="n">
        <v>0</v>
      </c>
      <c r="AF591" s="648" t="n">
        <v>1</v>
      </c>
      <c r="AG591" s="648" t="n">
        <v>0</v>
      </c>
      <c r="AH591" s="648" t="n">
        <v>0</v>
      </c>
      <c r="AI591" s="648" t="n">
        <v>0</v>
      </c>
      <c r="AJ591" s="648" t="n">
        <v>0</v>
      </c>
      <c r="AK591" s="648" t="n">
        <v>0</v>
      </c>
      <c r="AL591" s="648" t="n">
        <v>0</v>
      </c>
      <c r="AM591" s="421">
        <f>SUM(AB591:AL595)</f>
        <v/>
      </c>
      <c r="AN591" s="726" t="n"/>
      <c r="AQ591" s="1238">
        <f>IFERROR(I591/J591*100,"0")</f>
        <v/>
      </c>
      <c r="AR591" s="343">
        <f>IFERROR(1/(1-(AQ591/100)),"0")</f>
        <v/>
      </c>
      <c r="AS591" s="1239" t="n">
        <v>0</v>
      </c>
      <c r="AT591" s="345" t="n">
        <v>1</v>
      </c>
      <c r="AU591" s="1240" t="n"/>
      <c r="AV591" s="1241" t="n"/>
      <c r="AW591" s="1242">
        <f>+H591-AV591</f>
        <v/>
      </c>
    </row>
    <row r="592" ht="17.25" customHeight="1">
      <c r="A592" s="973" t="n"/>
      <c r="B592" s="971" t="n"/>
      <c r="C592" s="972" t="n"/>
      <c r="D592" s="973" t="n"/>
      <c r="E592" s="973" t="n"/>
      <c r="F592" s="994" t="n"/>
      <c r="G592" s="994" t="n"/>
      <c r="H592" s="973" t="n"/>
      <c r="I592" s="973" t="n"/>
      <c r="J592" s="973" t="n"/>
      <c r="K592" s="973" t="n"/>
      <c r="L592" s="253" t="n">
        <v>209</v>
      </c>
      <c r="M592" s="254" t="inlineStr">
        <is>
          <t>1484T128</t>
        </is>
      </c>
      <c r="N592" s="254" t="inlineStr">
        <is>
          <t>Serum</t>
        </is>
      </c>
      <c r="O592" s="1183" t="inlineStr">
        <is>
          <t>31/10/2027</t>
        </is>
      </c>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73" t="n"/>
      <c r="E593" s="973" t="n"/>
      <c r="F593" s="994" t="n"/>
      <c r="G593" s="994" t="n"/>
      <c r="H593" s="973" t="n"/>
      <c r="I593" s="973" t="n"/>
      <c r="J593" s="973" t="n"/>
      <c r="K593" s="973" t="n"/>
      <c r="L593" s="253" t="n">
        <v>75</v>
      </c>
      <c r="M593" s="254" t="inlineStr">
        <is>
          <t>PAPELERIA</t>
        </is>
      </c>
      <c r="N593" s="254" t="inlineStr">
        <is>
          <t>Imprenta Nacional de Colombia</t>
        </is>
      </c>
      <c r="O593" s="1183" t="inlineStr">
        <is>
          <t>31/12/2030</t>
        </is>
      </c>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73" t="n"/>
      <c r="E594" s="973" t="n"/>
      <c r="F594" s="994" t="n"/>
      <c r="G594" s="994" t="n"/>
      <c r="H594" s="973" t="n"/>
      <c r="I594" s="973" t="n"/>
      <c r="J594" s="973" t="n"/>
      <c r="K594" s="973" t="n"/>
      <c r="L594" s="253" t="n">
        <v>9</v>
      </c>
      <c r="M594" s="254" t="inlineStr">
        <is>
          <t>Y1A06</t>
        </is>
      </c>
      <c r="N594" s="254" t="inlineStr">
        <is>
          <t>Sanofi Pasteur</t>
        </is>
      </c>
      <c r="O594" s="1183" t="inlineStr">
        <is>
          <t>31/12/2026</t>
        </is>
      </c>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73" t="n"/>
      <c r="E595" s="973" t="n"/>
      <c r="F595" s="994" t="n"/>
      <c r="G595" s="994" t="n"/>
      <c r="H595" s="973" t="n"/>
      <c r="I595" s="973" t="n"/>
      <c r="J595" s="973" t="n"/>
      <c r="K595" s="975" t="n"/>
      <c r="L595" s="253" t="n">
        <v>14</v>
      </c>
      <c r="M595" s="254" t="inlineStr">
        <is>
          <t>08AR25015</t>
        </is>
      </c>
      <c r="N595" s="254" t="inlineStr">
        <is>
          <t>VINS BIOPRODUCTS LIMITED</t>
        </is>
      </c>
      <c r="O595" s="1183" t="inlineStr">
        <is>
          <t>31/05/2027</t>
        </is>
      </c>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75" t="n"/>
      <c r="E596" s="975" t="n"/>
      <c r="F596" s="998" t="n"/>
      <c r="G596" s="998" t="n"/>
      <c r="H596" s="975" t="n"/>
      <c r="I596" s="975" t="n"/>
      <c r="J596" s="975" t="n"/>
      <c r="K596" s="1189">
        <f>K591=L596</f>
        <v/>
      </c>
      <c r="L596" s="491">
        <f>SUM(L591:L595)</f>
        <v/>
      </c>
      <c r="M596" s="1190" t="inlineStr">
        <is>
          <t xml:space="preserve">“Verdadero” indica que la cantidad por lote, coincide con el saldo que inicia al mes siguiente. "Falso" no coinicide. </t>
        </is>
      </c>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413">
        <f>FEBRERO!K597</f>
        <v/>
      </c>
      <c r="E597" s="339">
        <f>H193</f>
        <v/>
      </c>
      <c r="F597" s="338" t="n">
        <v>4</v>
      </c>
      <c r="G597" s="338" t="n">
        <v>0</v>
      </c>
      <c r="H597" s="1235">
        <f>+F597+G597</f>
        <v/>
      </c>
      <c r="I597" s="340">
        <f>+AM597</f>
        <v/>
      </c>
      <c r="J597" s="341">
        <f>+H597+I597</f>
        <v/>
      </c>
      <c r="K597" s="583">
        <f>+(D597+E597)-(J597)</f>
        <v/>
      </c>
      <c r="L597" s="253" t="n">
        <v>12</v>
      </c>
      <c r="M597" s="254" t="inlineStr">
        <is>
          <t>P100819448</t>
        </is>
      </c>
      <c r="N597" s="254" t="inlineStr">
        <is>
          <t>CSL BEHRING</t>
        </is>
      </c>
      <c r="O597" s="1183" t="inlineStr">
        <is>
          <t>24/03/2028</t>
        </is>
      </c>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v>0</v>
      </c>
      <c r="AA597" s="648" t="n">
        <v>0</v>
      </c>
      <c r="AB597" s="649">
        <f>+Z597+AA597</f>
        <v/>
      </c>
      <c r="AC597" s="648" t="n">
        <v>0</v>
      </c>
      <c r="AD597" s="648" t="n">
        <v>0</v>
      </c>
      <c r="AE597" s="648" t="n">
        <v>0</v>
      </c>
      <c r="AF597" s="648" t="n">
        <v>0</v>
      </c>
      <c r="AG597" s="648" t="n">
        <v>0</v>
      </c>
      <c r="AH597" s="648" t="n">
        <v>0</v>
      </c>
      <c r="AI597" s="648" t="n">
        <v>0</v>
      </c>
      <c r="AJ597" s="648" t="n">
        <v>0</v>
      </c>
      <c r="AK597" s="648" t="n">
        <v>0</v>
      </c>
      <c r="AL597" s="648" t="n">
        <v>0</v>
      </c>
      <c r="AM597" s="421">
        <f>SUM(AB597:AL601)</f>
        <v/>
      </c>
      <c r="AN597" s="726" t="n"/>
      <c r="AQ597" s="1238">
        <f>IFERROR(I597/J597*100,"0")</f>
        <v/>
      </c>
      <c r="AR597" s="343">
        <f>IFERROR(1/(1-(AQ597/100)),"0")</f>
        <v/>
      </c>
      <c r="AS597" s="1239" t="n">
        <v>0</v>
      </c>
      <c r="AT597" s="345" t="n">
        <v>1</v>
      </c>
      <c r="AU597" s="1240" t="n"/>
      <c r="AV597" s="1241" t="n"/>
      <c r="AW597" s="1242">
        <f>+H597-AV597</f>
        <v/>
      </c>
    </row>
    <row r="598" ht="17.25" customHeight="1">
      <c r="A598" s="973" t="n"/>
      <c r="B598" s="971" t="n"/>
      <c r="C598" s="972" t="n"/>
      <c r="D598" s="973" t="n"/>
      <c r="E598" s="973" t="n"/>
      <c r="F598" s="994" t="n"/>
      <c r="G598" s="994" t="n"/>
      <c r="H598" s="973" t="n"/>
      <c r="I598" s="973" t="n"/>
      <c r="J598" s="973" t="n"/>
      <c r="K598" s="973" t="n"/>
      <c r="L598" s="253" t="n">
        <v>8</v>
      </c>
      <c r="M598" s="254" t="inlineStr">
        <is>
          <t>1484T128</t>
        </is>
      </c>
      <c r="N598" s="254" t="inlineStr">
        <is>
          <t>Serum</t>
        </is>
      </c>
      <c r="O598" s="1183" t="inlineStr">
        <is>
          <t>31/10/2027</t>
        </is>
      </c>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73" t="n"/>
      <c r="E599" s="973" t="n"/>
      <c r="F599" s="994" t="n"/>
      <c r="G599" s="994" t="n"/>
      <c r="H599" s="973" t="n"/>
      <c r="I599" s="973" t="n"/>
      <c r="J599" s="973" t="n"/>
      <c r="K599" s="973" t="n"/>
      <c r="L599" s="253" t="n">
        <v>6</v>
      </c>
      <c r="M599" s="254" t="inlineStr">
        <is>
          <t>08AR25015</t>
        </is>
      </c>
      <c r="N599" s="254" t="inlineStr">
        <is>
          <t>VINS BIOPRODUCTS LIMITED</t>
        </is>
      </c>
      <c r="O599" s="1183" t="inlineStr">
        <is>
          <t>31/05/2027</t>
        </is>
      </c>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73"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73"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75" t="n"/>
      <c r="E602" s="975" t="n"/>
      <c r="F602" s="998" t="n"/>
      <c r="G602" s="998" t="n"/>
      <c r="H602" s="975" t="n"/>
      <c r="I602" s="975" t="n"/>
      <c r="J602" s="975" t="n"/>
      <c r="K602" s="1189">
        <f>K597=L602</f>
        <v/>
      </c>
      <c r="L602" s="491">
        <f>SUM(L597:L601)</f>
        <v/>
      </c>
      <c r="M602" s="1190" t="inlineStr">
        <is>
          <t xml:space="preserve">“Verdadero” indica que la cantidad por lote, coincide con el saldo que inicia al mes siguiente. "Falso" no coinicide. </t>
        </is>
      </c>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413">
        <f>FEBRERO!K603</f>
        <v/>
      </c>
      <c r="E603" s="339">
        <f>H199</f>
        <v/>
      </c>
      <c r="F603" s="338" t="n">
        <v>97</v>
      </c>
      <c r="G603" s="338" t="n">
        <v>0</v>
      </c>
      <c r="H603" s="1235">
        <f>+F603+G603</f>
        <v/>
      </c>
      <c r="I603" s="340">
        <f>+AM603</f>
        <v/>
      </c>
      <c r="J603" s="341">
        <f>+H603+I603</f>
        <v/>
      </c>
      <c r="K603" s="583">
        <f>+(D603+E603)-(J603)</f>
        <v/>
      </c>
      <c r="L603" s="253" t="n">
        <v>220</v>
      </c>
      <c r="M603" s="254" t="inlineStr">
        <is>
          <t>08AR25015</t>
        </is>
      </c>
      <c r="N603" s="254" t="inlineStr">
        <is>
          <t>VINS BIOPRODUCTS LIMITED</t>
        </is>
      </c>
      <c r="O603" s="1183" t="inlineStr">
        <is>
          <t>31/05/2027</t>
        </is>
      </c>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v>0</v>
      </c>
      <c r="AA603" s="648" t="n">
        <v>0</v>
      </c>
      <c r="AB603" s="649">
        <f>+Z603+AA603</f>
        <v/>
      </c>
      <c r="AC603" s="648" t="n">
        <v>0</v>
      </c>
      <c r="AD603" s="648" t="n">
        <v>0</v>
      </c>
      <c r="AE603" s="648" t="n">
        <v>0</v>
      </c>
      <c r="AF603" s="648" t="n">
        <v>0</v>
      </c>
      <c r="AG603" s="648" t="n">
        <v>0</v>
      </c>
      <c r="AH603" s="648" t="n">
        <v>0</v>
      </c>
      <c r="AI603" s="648" t="n">
        <v>0</v>
      </c>
      <c r="AJ603" s="648" t="n">
        <v>0</v>
      </c>
      <c r="AK603" s="648" t="n">
        <v>0</v>
      </c>
      <c r="AL603" s="648" t="n">
        <v>0</v>
      </c>
      <c r="AM603" s="421">
        <f>SUM(AB603:AL607)</f>
        <v/>
      </c>
      <c r="AN603" s="726" t="n"/>
      <c r="AQ603" s="1238">
        <f>IFERROR(I603/J603*100,"0")</f>
        <v/>
      </c>
      <c r="AR603" s="343">
        <f>IFERROR(1/(1-(AQ603/100)),"0")</f>
        <v/>
      </c>
      <c r="AS603" s="1239" t="n">
        <v>0</v>
      </c>
      <c r="AT603" s="345" t="n">
        <v>1</v>
      </c>
      <c r="AU603" s="1240" t="n"/>
      <c r="AV603" s="1241" t="n"/>
      <c r="AW603" s="1242">
        <f>+H603-AV603</f>
        <v/>
      </c>
    </row>
    <row r="604" ht="17.25" customHeight="1">
      <c r="A604" s="973" t="n"/>
      <c r="B604" s="971" t="n"/>
      <c r="C604" s="972" t="n"/>
      <c r="D604" s="973" t="n"/>
      <c r="E604" s="973" t="n"/>
      <c r="F604" s="994" t="n"/>
      <c r="G604" s="994" t="n"/>
      <c r="H604" s="973" t="n"/>
      <c r="I604" s="973" t="n"/>
      <c r="J604" s="973" t="n"/>
      <c r="K604" s="973" t="n"/>
      <c r="L604" s="253" t="n"/>
      <c r="M604" s="254" t="n"/>
      <c r="N604" s="254" t="n"/>
      <c r="O604" s="1183" t="n"/>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73" t="n"/>
      <c r="E605" s="973" t="n"/>
      <c r="F605" s="994" t="n"/>
      <c r="G605" s="994" t="n"/>
      <c r="H605" s="973" t="n"/>
      <c r="I605" s="973" t="n"/>
      <c r="J605" s="973" t="n"/>
      <c r="K605" s="973" t="n"/>
      <c r="L605" s="253" t="n"/>
      <c r="M605" s="254" t="n"/>
      <c r="N605" s="254" t="n"/>
      <c r="O605" s="1183" t="n"/>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73" t="n"/>
      <c r="E606" s="973" t="n"/>
      <c r="F606" s="994" t="n"/>
      <c r="G606" s="994" t="n"/>
      <c r="H606" s="973" t="n"/>
      <c r="I606" s="973" t="n"/>
      <c r="J606" s="973" t="n"/>
      <c r="K606" s="973" t="n"/>
      <c r="L606" s="253" t="n"/>
      <c r="M606" s="254" t="n"/>
      <c r="N606" s="254" t="n"/>
      <c r="O606" s="1183" t="n"/>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73"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75" t="n"/>
      <c r="E608" s="975" t="n"/>
      <c r="F608" s="998" t="n"/>
      <c r="G608" s="998" t="n"/>
      <c r="H608" s="975" t="n"/>
      <c r="I608" s="975" t="n"/>
      <c r="J608" s="975" t="n"/>
      <c r="K608" s="1189">
        <f>K603=L608</f>
        <v/>
      </c>
      <c r="L608" s="491">
        <f>SUM(L603:L607)</f>
        <v/>
      </c>
      <c r="M608" s="1190" t="inlineStr">
        <is>
          <t xml:space="preserve">“Verdadero” indica que la cantidad por lote, coincide con el saldo que inicia al mes siguiente. "Falso" no coinicide. </t>
        </is>
      </c>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413">
        <f>FEBRERO!K609</f>
        <v/>
      </c>
      <c r="E609" s="339">
        <f>H205</f>
        <v/>
      </c>
      <c r="F609" s="338" t="n">
        <v>28</v>
      </c>
      <c r="G609" s="338" t="n">
        <v>0</v>
      </c>
      <c r="H609" s="1235">
        <f>+F609+G609</f>
        <v/>
      </c>
      <c r="I609" s="340">
        <f>+AM609</f>
        <v/>
      </c>
      <c r="J609" s="341">
        <f>+H609+I609</f>
        <v/>
      </c>
      <c r="K609" s="583">
        <f>+(D609+E609)-(J609)</f>
        <v/>
      </c>
      <c r="L609" s="253" t="n">
        <v>31</v>
      </c>
      <c r="M609" s="254" t="inlineStr">
        <is>
          <t>P100734570</t>
        </is>
      </c>
      <c r="N609" s="254" t="inlineStr">
        <is>
          <t>CSL BEHRING</t>
        </is>
      </c>
      <c r="O609" s="1183" t="inlineStr">
        <is>
          <t>12/02/2027</t>
        </is>
      </c>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v>0</v>
      </c>
      <c r="AA609" s="648" t="n">
        <v>0</v>
      </c>
      <c r="AB609" s="649">
        <f>+Z609+AA609</f>
        <v/>
      </c>
      <c r="AC609" s="648" t="n">
        <v>0</v>
      </c>
      <c r="AD609" s="648" t="n">
        <v>0</v>
      </c>
      <c r="AE609" s="648" t="n">
        <v>0</v>
      </c>
      <c r="AF609" s="648" t="n">
        <v>0</v>
      </c>
      <c r="AG609" s="648" t="n">
        <v>0</v>
      </c>
      <c r="AH609" s="648" t="n">
        <v>0</v>
      </c>
      <c r="AI609" s="648" t="n">
        <v>0</v>
      </c>
      <c r="AJ609" s="648" t="n">
        <v>0</v>
      </c>
      <c r="AK609" s="648" t="n">
        <v>0</v>
      </c>
      <c r="AL609" s="648" t="n">
        <v>0</v>
      </c>
      <c r="AM609" s="421">
        <f>SUM(AB609:AL613)</f>
        <v/>
      </c>
      <c r="AN609" s="726" t="n"/>
      <c r="AQ609" s="1238">
        <f>IFERROR(I609/J609*100,"0")</f>
        <v/>
      </c>
      <c r="AR609" s="343">
        <f>IFERROR(1/(1-(AQ609/100)),"0")</f>
        <v/>
      </c>
      <c r="AS609" s="1239" t="n">
        <v>0</v>
      </c>
      <c r="AT609" s="345" t="n">
        <v>1</v>
      </c>
      <c r="AU609" s="1240" t="n"/>
      <c r="AV609" s="1241" t="n"/>
      <c r="AW609" s="1242">
        <f>+H609-AV609</f>
        <v/>
      </c>
    </row>
    <row r="610" ht="17.25" customHeight="1">
      <c r="A610" s="973" t="n"/>
      <c r="B610" s="971" t="n"/>
      <c r="C610" s="972" t="n"/>
      <c r="D610" s="973" t="n"/>
      <c r="E610" s="973" t="n"/>
      <c r="F610" s="994" t="n"/>
      <c r="G610" s="994" t="n"/>
      <c r="H610" s="973" t="n"/>
      <c r="I610" s="973" t="n"/>
      <c r="J610" s="973" t="n"/>
      <c r="K610" s="973" t="n"/>
      <c r="L610" s="253" t="n">
        <v>31</v>
      </c>
      <c r="M610" s="254" t="inlineStr">
        <is>
          <t>P100756726</t>
        </is>
      </c>
      <c r="N610" s="254" t="inlineStr">
        <is>
          <t>CSL BEHRING</t>
        </is>
      </c>
      <c r="O610" s="1183" t="inlineStr">
        <is>
          <t>09/10/2027</t>
        </is>
      </c>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73" t="n"/>
      <c r="E611" s="973" t="n"/>
      <c r="F611" s="994" t="n"/>
      <c r="G611" s="994" t="n"/>
      <c r="H611" s="973" t="n"/>
      <c r="I611" s="973" t="n"/>
      <c r="J611" s="973" t="n"/>
      <c r="K611" s="973" t="n"/>
      <c r="L611" s="253" t="n">
        <v>15</v>
      </c>
      <c r="M611" s="254" t="inlineStr">
        <is>
          <t>P100700727</t>
        </is>
      </c>
      <c r="N611" s="254" t="inlineStr">
        <is>
          <t>CSL BEHRING</t>
        </is>
      </c>
      <c r="O611" s="1183" t="inlineStr">
        <is>
          <t>08/04/2027</t>
        </is>
      </c>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73" t="n"/>
      <c r="E612" s="973" t="n"/>
      <c r="F612" s="994" t="n"/>
      <c r="G612" s="994" t="n"/>
      <c r="H612" s="973" t="n"/>
      <c r="I612" s="973" t="n"/>
      <c r="J612" s="973" t="n"/>
      <c r="K612" s="973" t="n"/>
      <c r="L612" s="253" t="n">
        <v>6</v>
      </c>
      <c r="M612" s="254" t="inlineStr">
        <is>
          <t>P100666739</t>
        </is>
      </c>
      <c r="N612" s="254" t="inlineStr">
        <is>
          <t>CSL BEHRING</t>
        </is>
      </c>
      <c r="O612" s="1183" t="inlineStr">
        <is>
          <t>12/02/2027</t>
        </is>
      </c>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73" t="n"/>
      <c r="E613" s="973" t="n"/>
      <c r="F613" s="994" t="n"/>
      <c r="G613" s="994" t="n"/>
      <c r="H613" s="973" t="n"/>
      <c r="I613" s="973" t="n"/>
      <c r="J613" s="973" t="n"/>
      <c r="K613" s="975" t="n"/>
      <c r="L613" s="253" t="n">
        <v>6</v>
      </c>
      <c r="M613" s="254" t="inlineStr">
        <is>
          <t>P100646141</t>
        </is>
      </c>
      <c r="N613" s="254" t="inlineStr">
        <is>
          <t>CSL BEHRING</t>
        </is>
      </c>
      <c r="O613" s="1183" t="inlineStr">
        <is>
          <t>27/11/2026</t>
        </is>
      </c>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75" t="n"/>
      <c r="E614" s="975" t="n"/>
      <c r="F614" s="998" t="n"/>
      <c r="G614" s="998" t="n"/>
      <c r="H614" s="975" t="n"/>
      <c r="I614" s="975" t="n"/>
      <c r="J614" s="975" t="n"/>
      <c r="K614" s="1189">
        <f>K609=L614</f>
        <v/>
      </c>
      <c r="L614" s="491">
        <f>SUM(L609:L613)</f>
        <v/>
      </c>
      <c r="M614" s="1190" t="inlineStr">
        <is>
          <t xml:space="preserve">“Verdadero” indica que la cantidad por lote, coincide con el saldo que inicia al mes siguiente. "Falso" no coinicide. </t>
        </is>
      </c>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413">
        <f>FEBRERO!K615</f>
        <v/>
      </c>
      <c r="E615" s="339">
        <f>H211</f>
        <v/>
      </c>
      <c r="F615" s="338" t="n">
        <v>0</v>
      </c>
      <c r="G615" s="338" t="n">
        <v>0</v>
      </c>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v>0</v>
      </c>
      <c r="AA615" s="648" t="n">
        <v>0</v>
      </c>
      <c r="AB615" s="649">
        <f>+Z615+AA615</f>
        <v/>
      </c>
      <c r="AC615" s="648" t="n">
        <v>0</v>
      </c>
      <c r="AD615" s="648" t="n">
        <v>0</v>
      </c>
      <c r="AE615" s="648" t="n">
        <v>0</v>
      </c>
      <c r="AF615" s="648" t="n">
        <v>0</v>
      </c>
      <c r="AG615" s="648" t="n">
        <v>0</v>
      </c>
      <c r="AH615" s="648" t="n">
        <v>0</v>
      </c>
      <c r="AI615" s="648" t="n">
        <v>0</v>
      </c>
      <c r="AJ615" s="648" t="n">
        <v>0</v>
      </c>
      <c r="AK615" s="648" t="n">
        <v>0</v>
      </c>
      <c r="AL615" s="648" t="n">
        <v>0</v>
      </c>
      <c r="AM615" s="421">
        <f>SUM(AB615:AL619)</f>
        <v/>
      </c>
      <c r="AN615" s="726" t="n"/>
      <c r="AQ615" s="1238">
        <f>IFERROR(I615/J615*100,"0")</f>
        <v/>
      </c>
      <c r="AR615" s="343">
        <f>IFERROR(1/(1-(AQ615/100)),"0")</f>
        <v/>
      </c>
      <c r="AS615" s="1239" t="n">
        <v>0</v>
      </c>
      <c r="AT615" s="345" t="n">
        <v>1</v>
      </c>
      <c r="AU615" s="1240" t="n"/>
      <c r="AV615" s="1241" t="n"/>
      <c r="AW615" s="1242">
        <f>+H615-AV615</f>
        <v/>
      </c>
    </row>
    <row r="616" ht="17.25" customHeight="1">
      <c r="A616" s="973" t="n"/>
      <c r="B616" s="971" t="n"/>
      <c r="C616" s="972" t="n"/>
      <c r="D616" s="973"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73"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73"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73"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75" t="n"/>
      <c r="E620" s="975" t="n"/>
      <c r="F620" s="998" t="n"/>
      <c r="G620" s="998" t="n"/>
      <c r="H620" s="975" t="n"/>
      <c r="I620" s="975" t="n"/>
      <c r="J620" s="975" t="n"/>
      <c r="K620" s="1189">
        <f>K615=L620</f>
        <v/>
      </c>
      <c r="L620" s="491">
        <f>SUM(L615:L619)</f>
        <v/>
      </c>
      <c r="M620" s="1190" t="inlineStr">
        <is>
          <t xml:space="preserve">“Verdadero” indica que la cantidad por lote, coincide con el saldo que inicia al mes siguiente. "Falso" no coinicide. </t>
        </is>
      </c>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413">
        <f>FEBRERO!K621</f>
        <v/>
      </c>
      <c r="E621" s="339">
        <f>H217</f>
        <v/>
      </c>
      <c r="F621" s="338" t="n">
        <v>0</v>
      </c>
      <c r="G621" s="338" t="n">
        <v>0</v>
      </c>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v>0</v>
      </c>
      <c r="AA621" s="648" t="n">
        <v>0</v>
      </c>
      <c r="AB621" s="649">
        <f>+Z621+AA621</f>
        <v/>
      </c>
      <c r="AC621" s="648" t="n">
        <v>0</v>
      </c>
      <c r="AD621" s="648" t="n">
        <v>0</v>
      </c>
      <c r="AE621" s="648" t="n">
        <v>0</v>
      </c>
      <c r="AF621" s="648" t="n">
        <v>0</v>
      </c>
      <c r="AG621" s="648" t="n">
        <v>0</v>
      </c>
      <c r="AH621" s="648" t="n">
        <v>0</v>
      </c>
      <c r="AI621" s="648" t="n">
        <v>0</v>
      </c>
      <c r="AJ621" s="648" t="n">
        <v>0</v>
      </c>
      <c r="AK621" s="648" t="n">
        <v>0</v>
      </c>
      <c r="AL621" s="648" t="n">
        <v>0</v>
      </c>
      <c r="AM621" s="421">
        <f>SUM(AB621:AL625)</f>
        <v/>
      </c>
      <c r="AN621" s="726" t="n"/>
      <c r="AQ621" s="1238">
        <f>IFERROR(I621/J621*100,"0")</f>
        <v/>
      </c>
      <c r="AR621" s="343">
        <f>IFERROR(1/(1-(AQ621/100)),"0")</f>
        <v/>
      </c>
      <c r="AS621" s="1239" t="n">
        <v>0</v>
      </c>
      <c r="AT621" s="345" t="n">
        <v>1</v>
      </c>
      <c r="AU621" s="1240" t="n"/>
      <c r="AV621" s="1241" t="n"/>
      <c r="AW621" s="1242">
        <f>+H621-AV621</f>
        <v/>
      </c>
    </row>
    <row r="622" ht="17.25" customHeight="1">
      <c r="A622" s="973" t="n"/>
      <c r="B622" s="971" t="n"/>
      <c r="C622" s="972" t="n"/>
      <c r="D622" s="973"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73"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73"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73"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75" t="n"/>
      <c r="E626" s="975" t="n"/>
      <c r="F626" s="998" t="n"/>
      <c r="G626" s="998" t="n"/>
      <c r="H626" s="975" t="n"/>
      <c r="I626" s="975" t="n"/>
      <c r="J626" s="975" t="n"/>
      <c r="K626" s="1189">
        <f>K621=L626</f>
        <v/>
      </c>
      <c r="L626" s="491">
        <f>SUM(L621:L625)</f>
        <v/>
      </c>
      <c r="M626" s="1190" t="inlineStr">
        <is>
          <t xml:space="preserve">“Verdadero” indica que la cantidad por lote, coincide con el saldo que inicia al mes siguiente. "Falso" no coinicide. </t>
        </is>
      </c>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413">
        <f>FEBRERO!K627</f>
        <v/>
      </c>
      <c r="E627" s="339">
        <f>H223</f>
        <v/>
      </c>
      <c r="F627" s="338" t="n">
        <v>0</v>
      </c>
      <c r="G627" s="338" t="n">
        <v>0</v>
      </c>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v>0</v>
      </c>
      <c r="AA627" s="648" t="n">
        <v>0</v>
      </c>
      <c r="AB627" s="649">
        <f>+Z627+AA627</f>
        <v/>
      </c>
      <c r="AC627" s="648" t="n">
        <v>0</v>
      </c>
      <c r="AD627" s="648" t="n">
        <v>0</v>
      </c>
      <c r="AE627" s="648" t="n">
        <v>0</v>
      </c>
      <c r="AF627" s="648" t="n">
        <v>0</v>
      </c>
      <c r="AG627" s="648" t="n">
        <v>0</v>
      </c>
      <c r="AH627" s="648" t="n">
        <v>0</v>
      </c>
      <c r="AI627" s="648" t="n">
        <v>0</v>
      </c>
      <c r="AJ627" s="648" t="n">
        <v>0</v>
      </c>
      <c r="AK627" s="648" t="n">
        <v>0</v>
      </c>
      <c r="AL627" s="648" t="n">
        <v>0</v>
      </c>
      <c r="AM627" s="421">
        <f>SUM(AB627:AL631)</f>
        <v/>
      </c>
      <c r="AN627" s="726" t="n"/>
      <c r="AQ627" s="1238">
        <f>IFERROR(I627/J627*100,"0")</f>
        <v/>
      </c>
      <c r="AR627" s="343">
        <f>IFERROR(1/(1-(AQ627/100)),"0")</f>
        <v/>
      </c>
      <c r="AS627" s="1239" t="n">
        <v>0</v>
      </c>
      <c r="AT627" s="345" t="n">
        <v>1</v>
      </c>
      <c r="AU627" s="1240" t="n"/>
      <c r="AV627" s="1241" t="n"/>
      <c r="AW627" s="1242">
        <f>+H627-AV627</f>
        <v/>
      </c>
    </row>
    <row r="628" ht="17.25" customHeight="1">
      <c r="A628" s="973" t="n"/>
      <c r="B628" s="971" t="n"/>
      <c r="C628" s="972" t="n"/>
      <c r="D628" s="973"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73"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73"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73"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75" t="n"/>
      <c r="E632" s="975" t="n"/>
      <c r="F632" s="998" t="n"/>
      <c r="G632" s="998" t="n"/>
      <c r="H632" s="975" t="n"/>
      <c r="I632" s="975" t="n"/>
      <c r="J632" s="975" t="n"/>
      <c r="K632" s="1189">
        <f>K627=L632</f>
        <v/>
      </c>
      <c r="L632" s="491">
        <f>SUM(L627:L631)</f>
        <v/>
      </c>
      <c r="M632" s="1190" t="inlineStr">
        <is>
          <t xml:space="preserve">“Verdadero” indica que la cantidad por lote, coincide con el saldo que inicia al mes siguiente. "Falso" no coinicide. </t>
        </is>
      </c>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647"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413">
        <f>FEBRERO!K634</f>
        <v/>
      </c>
      <c r="E634" s="339">
        <f>H230</f>
        <v/>
      </c>
      <c r="F634" s="338" t="n">
        <v>687</v>
      </c>
      <c r="G634" s="338" t="n">
        <v>28</v>
      </c>
      <c r="H634" s="1235">
        <f>+F634+G634</f>
        <v/>
      </c>
      <c r="I634" s="340">
        <f>+AM634</f>
        <v/>
      </c>
      <c r="J634" s="341">
        <f>+H634+I634</f>
        <v/>
      </c>
      <c r="K634" s="583">
        <f>+(D634+E634)-(J634)</f>
        <v/>
      </c>
      <c r="L634" s="253" t="n">
        <v>2065</v>
      </c>
      <c r="M634" s="254" t="inlineStr">
        <is>
          <t>0704S4011</t>
        </is>
      </c>
      <c r="N634" s="254" t="inlineStr">
        <is>
          <t>Serum</t>
        </is>
      </c>
      <c r="O634" s="1183" t="inlineStr">
        <is>
          <t>30/06/2028</t>
        </is>
      </c>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v>971</v>
      </c>
      <c r="AA634" s="648" t="n">
        <v>404</v>
      </c>
      <c r="AB634" s="649">
        <f>+Z634+AA634</f>
        <v/>
      </c>
      <c r="AC634" s="648" t="n">
        <v>0</v>
      </c>
      <c r="AD634" s="648" t="n">
        <v>0</v>
      </c>
      <c r="AE634" s="648" t="n">
        <v>0</v>
      </c>
      <c r="AF634" s="648" t="n">
        <v>0</v>
      </c>
      <c r="AG634" s="648" t="n">
        <v>0</v>
      </c>
      <c r="AH634" s="648" t="n">
        <v>0</v>
      </c>
      <c r="AI634" s="648" t="n">
        <v>0</v>
      </c>
      <c r="AJ634" s="648" t="n">
        <v>0</v>
      </c>
      <c r="AK634" s="648" t="n">
        <v>0</v>
      </c>
      <c r="AL634" s="648" t="n">
        <v>0</v>
      </c>
      <c r="AM634" s="421">
        <f>SUM(AB634:AL638)</f>
        <v/>
      </c>
      <c r="AN634" s="726" t="n"/>
      <c r="AU634" s="1240" t="n"/>
      <c r="AV634" s="1240" t="n"/>
    </row>
    <row r="635" ht="17.1" customHeight="1">
      <c r="A635" s="973" t="n"/>
      <c r="B635" s="971" t="n"/>
      <c r="C635" s="972" t="n"/>
      <c r="D635" s="973" t="n"/>
      <c r="E635" s="973" t="n"/>
      <c r="F635" s="994" t="n"/>
      <c r="G635" s="994" t="n"/>
      <c r="H635" s="973" t="n"/>
      <c r="I635" s="973" t="n"/>
      <c r="J635" s="973" t="n"/>
      <c r="K635" s="973" t="n"/>
      <c r="L635" s="253" t="n">
        <v>300</v>
      </c>
      <c r="M635" s="254" t="inlineStr">
        <is>
          <t>0704S4001</t>
        </is>
      </c>
      <c r="N635" s="254" t="inlineStr">
        <is>
          <t>Serum</t>
        </is>
      </c>
      <c r="O635" s="1183" t="inlineStr">
        <is>
          <t>31/12/2027</t>
        </is>
      </c>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73" t="n"/>
      <c r="E636" s="973" t="n"/>
      <c r="F636" s="994" t="n"/>
      <c r="G636" s="994" t="n"/>
      <c r="H636" s="973" t="n"/>
      <c r="I636" s="973" t="n"/>
      <c r="J636" s="973" t="n"/>
      <c r="K636" s="973" t="n"/>
      <c r="L636" s="253" t="n">
        <v>200</v>
      </c>
      <c r="M636" s="254" t="inlineStr">
        <is>
          <t>0703S1005</t>
        </is>
      </c>
      <c r="N636" s="254" t="inlineStr">
        <is>
          <t>Serum</t>
        </is>
      </c>
      <c r="O636" s="1183" t="inlineStr">
        <is>
          <t>28/02/2027</t>
        </is>
      </c>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73" t="n"/>
      <c r="E637" s="973" t="n"/>
      <c r="F637" s="994" t="n"/>
      <c r="G637" s="994" t="n"/>
      <c r="H637" s="973" t="n"/>
      <c r="I637" s="973" t="n"/>
      <c r="J637" s="973" t="n"/>
      <c r="K637" s="973" t="n"/>
      <c r="L637" s="253" t="n"/>
      <c r="M637" s="254" t="n"/>
      <c r="N637" s="254" t="n"/>
      <c r="O637" s="1183" t="n"/>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73" t="n"/>
      <c r="E638" s="973" t="n"/>
      <c r="F638" s="994" t="n"/>
      <c r="G638" s="994" t="n"/>
      <c r="H638" s="973" t="n"/>
      <c r="I638" s="973" t="n"/>
      <c r="J638" s="973" t="n"/>
      <c r="K638" s="975" t="n"/>
      <c r="L638" s="253" t="n"/>
      <c r="M638" s="254" t="n"/>
      <c r="N638" s="254" t="n"/>
      <c r="O638" s="1183" t="n"/>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75" t="n"/>
      <c r="E639" s="975" t="n"/>
      <c r="F639" s="998" t="n"/>
      <c r="G639" s="998" t="n"/>
      <c r="H639" s="975" t="n"/>
      <c r="I639" s="975" t="n"/>
      <c r="J639" s="975" t="n"/>
      <c r="K639" s="1189">
        <f>K634=L639</f>
        <v/>
      </c>
      <c r="L639" s="491">
        <f>SUM(L634:L638)</f>
        <v/>
      </c>
      <c r="M639" s="1190" t="inlineStr">
        <is>
          <t xml:space="preserve">“Verdadero” indica que la cantidad por lote, coincide con el saldo que inicia al mes siguiente. "Falso" no coinicide. </t>
        </is>
      </c>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413">
        <f>FEBRERO!K640</f>
        <v/>
      </c>
      <c r="E640" s="339">
        <f>H236</f>
        <v/>
      </c>
      <c r="F640" s="338" t="n">
        <v>1452</v>
      </c>
      <c r="G640" s="338" t="n">
        <v>35</v>
      </c>
      <c r="H640" s="1235">
        <f>+F640+G640</f>
        <v/>
      </c>
      <c r="I640" s="340">
        <f>+AM640</f>
        <v/>
      </c>
      <c r="J640" s="341">
        <f>+H640+I640</f>
        <v/>
      </c>
      <c r="K640" s="583">
        <f>+(D640+E640)-(J640)</f>
        <v/>
      </c>
      <c r="L640" s="253" t="n">
        <v>2211</v>
      </c>
      <c r="M640" s="254" t="inlineStr">
        <is>
          <t>0643S1010</t>
        </is>
      </c>
      <c r="N640" s="254" t="inlineStr">
        <is>
          <t>Serum</t>
        </is>
      </c>
      <c r="O640" s="1183" t="inlineStr">
        <is>
          <t>30/04/2028</t>
        </is>
      </c>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v>0</v>
      </c>
      <c r="AA640" s="648" t="n">
        <v>0</v>
      </c>
      <c r="AB640" s="649">
        <f>+Z640+AA640</f>
        <v/>
      </c>
      <c r="AC640" s="648" t="n">
        <v>0</v>
      </c>
      <c r="AD640" s="648" t="n">
        <v>0</v>
      </c>
      <c r="AE640" s="648" t="n">
        <v>0</v>
      </c>
      <c r="AF640" s="648" t="n">
        <v>3</v>
      </c>
      <c r="AG640" s="648" t="n">
        <v>0</v>
      </c>
      <c r="AH640" s="648" t="n">
        <v>0</v>
      </c>
      <c r="AI640" s="648" t="n">
        <v>0</v>
      </c>
      <c r="AJ640" s="648" t="n">
        <v>0</v>
      </c>
      <c r="AK640" s="648" t="n">
        <v>0</v>
      </c>
      <c r="AL640" s="648" t="n">
        <v>0</v>
      </c>
      <c r="AM640" s="421">
        <f>SUM(AB640:AL644)</f>
        <v/>
      </c>
      <c r="AN640" s="726" t="n"/>
      <c r="AU640" s="1240" t="n"/>
      <c r="AV640" s="1240" t="n"/>
    </row>
    <row r="641" ht="17.1" customHeight="1">
      <c r="A641" s="973" t="n"/>
      <c r="B641" s="971" t="n"/>
      <c r="C641" s="972" t="n"/>
      <c r="D641" s="973" t="n"/>
      <c r="E641" s="973" t="n"/>
      <c r="F641" s="994" t="n"/>
      <c r="G641" s="994" t="n"/>
      <c r="H641" s="973" t="n"/>
      <c r="I641" s="973" t="n"/>
      <c r="J641" s="973" t="n"/>
      <c r="K641" s="973" t="n"/>
      <c r="L641" s="253" t="n"/>
      <c r="M641" s="254" t="n"/>
      <c r="N641" s="254" t="n"/>
      <c r="O641" s="1183" t="n"/>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73" t="n"/>
      <c r="E642" s="973" t="n"/>
      <c r="F642" s="994" t="n"/>
      <c r="G642" s="994" t="n"/>
      <c r="H642" s="973" t="n"/>
      <c r="I642" s="973" t="n"/>
      <c r="J642" s="973" t="n"/>
      <c r="K642" s="973" t="n"/>
      <c r="L642" s="253" t="n">
        <v>37</v>
      </c>
      <c r="M642" s="254" t="inlineStr">
        <is>
          <t>0643S4003</t>
        </is>
      </c>
      <c r="N642" s="254" t="inlineStr">
        <is>
          <t>Serum</t>
        </is>
      </c>
      <c r="O642" s="1183" t="inlineStr">
        <is>
          <t>31/08/2028</t>
        </is>
      </c>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73" t="n"/>
      <c r="E643" s="973" t="n"/>
      <c r="F643" s="994" t="n"/>
      <c r="G643" s="994" t="n"/>
      <c r="H643" s="973" t="n"/>
      <c r="I643" s="973" t="n"/>
      <c r="J643" s="973" t="n"/>
      <c r="K643" s="973" t="n"/>
      <c r="L643" s="253" t="n"/>
      <c r="M643" s="254" t="n"/>
      <c r="N643" s="254" t="n"/>
      <c r="O643" s="1183" t="n"/>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73"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75" t="n"/>
      <c r="E645" s="975" t="n"/>
      <c r="F645" s="998" t="n"/>
      <c r="G645" s="998" t="n"/>
      <c r="H645" s="975" t="n"/>
      <c r="I645" s="975" t="n"/>
      <c r="J645" s="975" t="n"/>
      <c r="K645" s="1189">
        <f>K640=L645</f>
        <v/>
      </c>
      <c r="L645" s="491">
        <f>SUM(L640:L644)</f>
        <v/>
      </c>
      <c r="M645" s="1190" t="inlineStr">
        <is>
          <t xml:space="preserve">“Verdadero” indica que la cantidad por lote, coincide con el saldo que inicia al mes siguiente. "Falso" no coinicide. </t>
        </is>
      </c>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413">
        <f>FEBRERO!K646</f>
        <v/>
      </c>
      <c r="E646" s="339">
        <f>H242</f>
        <v/>
      </c>
      <c r="F646" s="338" t="n">
        <v>0</v>
      </c>
      <c r="G646" s="338" t="n">
        <v>0</v>
      </c>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v>0</v>
      </c>
      <c r="AA646" s="648" t="n">
        <v>0</v>
      </c>
      <c r="AB646" s="649">
        <f>+Z646+AA646</f>
        <v/>
      </c>
      <c r="AC646" s="648" t="n">
        <v>0</v>
      </c>
      <c r="AD646" s="648" t="n">
        <v>0</v>
      </c>
      <c r="AE646" s="648" t="n">
        <v>0</v>
      </c>
      <c r="AF646" s="648" t="n">
        <v>0</v>
      </c>
      <c r="AG646" s="648" t="n">
        <v>0</v>
      </c>
      <c r="AH646" s="648" t="n">
        <v>0</v>
      </c>
      <c r="AI646" s="648" t="n">
        <v>0</v>
      </c>
      <c r="AJ646" s="648" t="n">
        <v>0</v>
      </c>
      <c r="AK646" s="648" t="n">
        <v>0</v>
      </c>
      <c r="AL646" s="648" t="n">
        <v>0</v>
      </c>
      <c r="AM646" s="421">
        <f>SUM(AB646:AL650)</f>
        <v/>
      </c>
      <c r="AN646" s="726" t="n"/>
      <c r="AU646" s="1240" t="n"/>
      <c r="AV646" s="1240" t="n"/>
    </row>
    <row r="647" ht="17.1" customHeight="1">
      <c r="A647" s="973" t="n"/>
      <c r="B647" s="971" t="n"/>
      <c r="C647" s="972" t="n"/>
      <c r="D647" s="973"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73"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73"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73"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75" t="n"/>
      <c r="E651" s="975" t="n"/>
      <c r="F651" s="998" t="n"/>
      <c r="G651" s="998" t="n"/>
      <c r="H651" s="975" t="n"/>
      <c r="I651" s="975" t="n"/>
      <c r="J651" s="975" t="n"/>
      <c r="K651" s="1189">
        <f>K646=L651</f>
        <v/>
      </c>
      <c r="L651" s="491">
        <f>SUM(L646:L650)</f>
        <v/>
      </c>
      <c r="M651" s="1190" t="inlineStr">
        <is>
          <t xml:space="preserve">“Verdadero” indica que la cantidad por lote, coincide con el saldo que inicia al mes siguiente. "Falso" no coinicide. </t>
        </is>
      </c>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413">
        <f>FEBRERO!K652</f>
        <v/>
      </c>
      <c r="E652" s="339">
        <f>H248</f>
        <v/>
      </c>
      <c r="F652" s="338" t="n">
        <v>0</v>
      </c>
      <c r="G652" s="338" t="n">
        <v>0</v>
      </c>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v>0</v>
      </c>
      <c r="AA652" s="648" t="n">
        <v>0</v>
      </c>
      <c r="AB652" s="649">
        <f>+Z652+AA652</f>
        <v/>
      </c>
      <c r="AC652" s="648" t="n">
        <v>0</v>
      </c>
      <c r="AD652" s="648" t="n">
        <v>0</v>
      </c>
      <c r="AE652" s="648" t="n">
        <v>0</v>
      </c>
      <c r="AF652" s="648" t="n">
        <v>0</v>
      </c>
      <c r="AG652" s="648" t="n">
        <v>0</v>
      </c>
      <c r="AH652" s="648" t="n">
        <v>0</v>
      </c>
      <c r="AI652" s="648" t="n">
        <v>0</v>
      </c>
      <c r="AJ652" s="648" t="n">
        <v>0</v>
      </c>
      <c r="AK652" s="648" t="n">
        <v>0</v>
      </c>
      <c r="AL652" s="648" t="n">
        <v>0</v>
      </c>
      <c r="AM652" s="421">
        <f>SUM(AB652:AL656)</f>
        <v/>
      </c>
      <c r="AN652" s="726" t="n"/>
      <c r="AU652" s="1240" t="n"/>
      <c r="AV652" s="1240" t="n"/>
    </row>
    <row r="653" ht="17.1" customHeight="1">
      <c r="A653" s="973" t="n"/>
      <c r="B653" s="971" t="n"/>
      <c r="C653" s="972" t="n"/>
      <c r="D653" s="973"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73"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73"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73"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75" t="n"/>
      <c r="E657" s="975" t="n"/>
      <c r="F657" s="998" t="n"/>
      <c r="G657" s="998" t="n"/>
      <c r="H657" s="975" t="n"/>
      <c r="I657" s="975" t="n"/>
      <c r="J657" s="975" t="n"/>
      <c r="K657" s="1189">
        <f>K652=L657</f>
        <v/>
      </c>
      <c r="L657" s="491">
        <f>SUM(L652:L656)</f>
        <v/>
      </c>
      <c r="M657" s="1190" t="inlineStr">
        <is>
          <t xml:space="preserve">“Verdadero” indica que la cantidad por lote, coincide con el saldo que inicia al mes siguiente. "Falso" no coinicide. </t>
        </is>
      </c>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413">
        <f>FEBRERO!K658</f>
        <v/>
      </c>
      <c r="E658" s="339">
        <f>H254</f>
        <v/>
      </c>
      <c r="F658" s="338" t="n">
        <v>1862</v>
      </c>
      <c r="G658" s="338" t="n">
        <v>31</v>
      </c>
      <c r="H658" s="1235">
        <f>+F658+G658</f>
        <v/>
      </c>
      <c r="I658" s="340">
        <f>+AM658</f>
        <v/>
      </c>
      <c r="J658" s="341">
        <f>+H658+I658</f>
        <v/>
      </c>
      <c r="K658" s="583">
        <f>+(D658+E658)-(J658)</f>
        <v/>
      </c>
      <c r="L658" s="253" t="n">
        <v>1617</v>
      </c>
      <c r="M658" s="254" t="inlineStr">
        <is>
          <t>0643S4002</t>
        </is>
      </c>
      <c r="N658" s="254" t="inlineStr">
        <is>
          <t>Serum</t>
        </is>
      </c>
      <c r="O658" s="1183" t="inlineStr">
        <is>
          <t>30/04/2028</t>
        </is>
      </c>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v>0</v>
      </c>
      <c r="AA658" s="648" t="n">
        <v>0</v>
      </c>
      <c r="AB658" s="649">
        <f>+Z658+AA658</f>
        <v/>
      </c>
      <c r="AC658" s="648" t="n">
        <v>0</v>
      </c>
      <c r="AD658" s="648" t="n">
        <v>0</v>
      </c>
      <c r="AE658" s="648" t="n">
        <v>1</v>
      </c>
      <c r="AF658" s="648" t="n">
        <v>0</v>
      </c>
      <c r="AG658" s="648" t="n">
        <v>0</v>
      </c>
      <c r="AH658" s="648" t="n">
        <v>0</v>
      </c>
      <c r="AI658" s="648" t="n">
        <v>0</v>
      </c>
      <c r="AJ658" s="648" t="n">
        <v>0</v>
      </c>
      <c r="AK658" s="648" t="n">
        <v>0</v>
      </c>
      <c r="AL658" s="648" t="n">
        <v>0</v>
      </c>
      <c r="AM658" s="421">
        <f>SUM(AB658:AL662)</f>
        <v/>
      </c>
      <c r="AN658" s="726" t="n"/>
      <c r="AU658" s="1240" t="n"/>
      <c r="AV658" s="1240" t="n"/>
    </row>
    <row r="659" ht="17.1" customHeight="1">
      <c r="A659" s="973" t="n"/>
      <c r="B659" s="971" t="n"/>
      <c r="C659" s="972" t="n"/>
      <c r="D659" s="973" t="n"/>
      <c r="E659" s="973" t="n"/>
      <c r="F659" s="994" t="n"/>
      <c r="G659" s="994" t="n"/>
      <c r="H659" s="973" t="n"/>
      <c r="I659" s="973" t="n"/>
      <c r="J659" s="973" t="n"/>
      <c r="K659" s="973" t="n"/>
      <c r="L659" s="253" t="n">
        <v>523</v>
      </c>
      <c r="M659" s="254" t="inlineStr">
        <is>
          <t>0643S4003</t>
        </is>
      </c>
      <c r="N659" s="254" t="inlineStr">
        <is>
          <t>Serum</t>
        </is>
      </c>
      <c r="O659" s="1183" t="inlineStr">
        <is>
          <t>31/08/2028</t>
        </is>
      </c>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73" t="n"/>
      <c r="E660" s="973" t="n"/>
      <c r="F660" s="994" t="n"/>
      <c r="G660" s="994" t="n"/>
      <c r="H660" s="973" t="n"/>
      <c r="I660" s="973" t="n"/>
      <c r="J660" s="973" t="n"/>
      <c r="K660" s="973" t="n"/>
      <c r="L660" s="253" t="n">
        <v>261</v>
      </c>
      <c r="M660" s="254" t="inlineStr">
        <is>
          <t>0643S1010</t>
        </is>
      </c>
      <c r="N660" s="254" t="inlineStr">
        <is>
          <t>Serum</t>
        </is>
      </c>
      <c r="O660" s="1183" t="inlineStr">
        <is>
          <t>30/04/2028</t>
        </is>
      </c>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73" t="n"/>
      <c r="E661" s="973" t="n"/>
      <c r="F661" s="994" t="n"/>
      <c r="G661" s="994" t="n"/>
      <c r="H661" s="973" t="n"/>
      <c r="I661" s="973" t="n"/>
      <c r="J661" s="973" t="n"/>
      <c r="K661" s="973" t="n"/>
      <c r="L661" s="253" t="n"/>
      <c r="M661" s="254" t="n"/>
      <c r="N661" s="254" t="n"/>
      <c r="O661" s="1183" t="n"/>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73"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75" t="n"/>
      <c r="E663" s="975" t="n"/>
      <c r="F663" s="998" t="n"/>
      <c r="G663" s="998" t="n"/>
      <c r="H663" s="975" t="n"/>
      <c r="I663" s="975" t="n"/>
      <c r="J663" s="975" t="n"/>
      <c r="K663" s="1189">
        <f>K658=L663</f>
        <v/>
      </c>
      <c r="L663" s="491">
        <f>SUM(L658:L662)</f>
        <v/>
      </c>
      <c r="M663" s="1190" t="inlineStr">
        <is>
          <t xml:space="preserve">“Verdadero” indica que la cantidad por lote, coincide con el saldo que inicia al mes siguiente. "Falso" no coinicide. </t>
        </is>
      </c>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413">
        <f>FEBRERO!K664</f>
        <v/>
      </c>
      <c r="E664" s="339">
        <f>H260</f>
        <v/>
      </c>
      <c r="F664" s="338" t="n">
        <v>0</v>
      </c>
      <c r="G664" s="338" t="n">
        <v>0</v>
      </c>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v>0</v>
      </c>
      <c r="AA664" s="648" t="n">
        <v>0</v>
      </c>
      <c r="AB664" s="649">
        <f>+Z664+AA664</f>
        <v/>
      </c>
      <c r="AC664" s="648" t="n">
        <v>0</v>
      </c>
      <c r="AD664" s="648" t="n">
        <v>0</v>
      </c>
      <c r="AE664" s="648" t="n">
        <v>0</v>
      </c>
      <c r="AF664" s="648" t="n">
        <v>0</v>
      </c>
      <c r="AG664" s="648" t="n">
        <v>0</v>
      </c>
      <c r="AH664" s="648" t="n">
        <v>0</v>
      </c>
      <c r="AI664" s="648" t="n">
        <v>0</v>
      </c>
      <c r="AJ664" s="648" t="n">
        <v>0</v>
      </c>
      <c r="AK664" s="648" t="n">
        <v>0</v>
      </c>
      <c r="AL664" s="648" t="n">
        <v>0</v>
      </c>
      <c r="AM664" s="421">
        <f>SUM(AB664:AL668)</f>
        <v/>
      </c>
      <c r="AN664" s="726" t="n"/>
      <c r="AU664" s="1240" t="n"/>
      <c r="AV664" s="1240" t="n"/>
    </row>
    <row r="665" ht="17.1" customHeight="1">
      <c r="A665" s="973" t="n"/>
      <c r="B665" s="971" t="n"/>
      <c r="C665" s="972" t="n"/>
      <c r="D665" s="973"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73"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73"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73"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75" t="n"/>
      <c r="E669" s="975" t="n"/>
      <c r="F669" s="998" t="n"/>
      <c r="G669" s="998" t="n"/>
      <c r="H669" s="975" t="n"/>
      <c r="I669" s="975" t="n"/>
      <c r="J669" s="975" t="n"/>
      <c r="K669" s="1189">
        <f>K664=L669</f>
        <v/>
      </c>
      <c r="L669" s="491">
        <f>SUM(L664:L668)</f>
        <v/>
      </c>
      <c r="M669" s="1190" t="inlineStr">
        <is>
          <t xml:space="preserve">“Verdadero” indica que la cantidad por lote, coincide con el saldo que inicia al mes siguiente. "Falso" no coinicide. </t>
        </is>
      </c>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413">
        <f>FEBRERO!K670</f>
        <v/>
      </c>
      <c r="E670" s="339">
        <f>H266</f>
        <v/>
      </c>
      <c r="F670" s="338" t="n">
        <v>0</v>
      </c>
      <c r="G670" s="338" t="n">
        <v>0</v>
      </c>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v>0</v>
      </c>
      <c r="AA670" s="648" t="n">
        <v>0</v>
      </c>
      <c r="AB670" s="649">
        <f>+Z670+AA670</f>
        <v/>
      </c>
      <c r="AC670" s="648" t="n">
        <v>0</v>
      </c>
      <c r="AD670" s="648" t="n">
        <v>0</v>
      </c>
      <c r="AE670" s="648" t="n">
        <v>0</v>
      </c>
      <c r="AF670" s="648" t="n">
        <v>0</v>
      </c>
      <c r="AG670" s="648" t="n">
        <v>0</v>
      </c>
      <c r="AH670" s="648" t="n">
        <v>0</v>
      </c>
      <c r="AI670" s="648" t="n">
        <v>0</v>
      </c>
      <c r="AJ670" s="648" t="n">
        <v>0</v>
      </c>
      <c r="AK670" s="648" t="n">
        <v>0</v>
      </c>
      <c r="AL670" s="648" t="n">
        <v>0</v>
      </c>
      <c r="AM670" s="421">
        <f>SUM(AB670:AL674)</f>
        <v/>
      </c>
      <c r="AN670" s="726" t="n"/>
      <c r="AU670" s="1240" t="n"/>
      <c r="AV670" s="1240" t="n"/>
    </row>
    <row r="671" ht="17.1" customHeight="1">
      <c r="A671" s="973" t="n"/>
      <c r="B671" s="971" t="n"/>
      <c r="C671" s="972" t="n"/>
      <c r="D671" s="973"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73"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73"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73"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75" t="n"/>
      <c r="E675" s="975" t="n"/>
      <c r="F675" s="998" t="n"/>
      <c r="G675" s="998" t="n"/>
      <c r="H675" s="975" t="n"/>
      <c r="I675" s="975" t="n"/>
      <c r="J675" s="975" t="n"/>
      <c r="K675" s="1189">
        <f>K670=L675</f>
        <v/>
      </c>
      <c r="L675" s="491">
        <f>SUM(L670:L674)</f>
        <v/>
      </c>
      <c r="M675" s="1190" t="inlineStr">
        <is>
          <t xml:space="preserve">“Verdadero” indica que la cantidad por lote, coincide con el saldo que inicia al mes siguiente. "Falso" no coinicide. </t>
        </is>
      </c>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413">
        <f>FEBRERO!K676</f>
        <v/>
      </c>
      <c r="E676" s="339">
        <f>H272</f>
        <v/>
      </c>
      <c r="F676" s="338" t="n">
        <v>2762</v>
      </c>
      <c r="G676" s="338" t="n">
        <v>48</v>
      </c>
      <c r="H676" s="1235">
        <f>+F676+G676</f>
        <v/>
      </c>
      <c r="I676" s="340">
        <f>+AM676</f>
        <v/>
      </c>
      <c r="J676" s="341">
        <f>+H676+I676</f>
        <v/>
      </c>
      <c r="K676" s="583">
        <f>+(D676+E676)-(J676)</f>
        <v/>
      </c>
      <c r="L676" s="253" t="n">
        <v>15609</v>
      </c>
      <c r="M676" s="254" t="inlineStr">
        <is>
          <t>Y4X16</t>
        </is>
      </c>
      <c r="N676" s="254" t="inlineStr">
        <is>
          <t>Sanofi Pasteur</t>
        </is>
      </c>
      <c r="O676" s="1183" t="inlineStr">
        <is>
          <t>30/06/2027</t>
        </is>
      </c>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v>2812</v>
      </c>
      <c r="AA676" s="648" t="n">
        <v>1035</v>
      </c>
      <c r="AB676" s="649">
        <f>+Z676+AA676</f>
        <v/>
      </c>
      <c r="AC676" s="648" t="n">
        <v>0</v>
      </c>
      <c r="AD676" s="648" t="n">
        <v>0</v>
      </c>
      <c r="AE676" s="648" t="n">
        <v>0</v>
      </c>
      <c r="AF676" s="648" t="n">
        <v>0</v>
      </c>
      <c r="AG676" s="648" t="n">
        <v>0</v>
      </c>
      <c r="AH676" s="648" t="n">
        <v>0</v>
      </c>
      <c r="AI676" s="648" t="n">
        <v>0</v>
      </c>
      <c r="AJ676" s="648" t="n">
        <v>0</v>
      </c>
      <c r="AK676" s="648" t="n">
        <v>0</v>
      </c>
      <c r="AL676" s="648" t="n">
        <v>0</v>
      </c>
      <c r="AM676" s="421">
        <f>SUM(AB676:AL680)</f>
        <v/>
      </c>
      <c r="AN676" s="726" t="n"/>
      <c r="AU676" s="1240" t="n"/>
      <c r="AV676" s="1240" t="n"/>
    </row>
    <row r="677" ht="17.1" customHeight="1">
      <c r="A677" s="973" t="n"/>
      <c r="B677" s="971" t="n"/>
      <c r="C677" s="972" t="n"/>
      <c r="D677" s="973" t="n"/>
      <c r="E677" s="973" t="n"/>
      <c r="F677" s="994" t="n"/>
      <c r="G677" s="994" t="n"/>
      <c r="H677" s="973" t="n"/>
      <c r="I677" s="973" t="n"/>
      <c r="J677" s="973" t="n"/>
      <c r="K677" s="973" t="n"/>
      <c r="L677" s="253" t="n">
        <v>1310</v>
      </c>
      <c r="M677" s="254" t="inlineStr">
        <is>
          <t>V4X181V</t>
        </is>
      </c>
      <c r="N677" s="254" t="inlineStr">
        <is>
          <t>Sanofi Pasteur</t>
        </is>
      </c>
      <c r="O677" s="1183" t="inlineStr">
        <is>
          <t>30/11/2024</t>
        </is>
      </c>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73" t="n"/>
      <c r="E678" s="973" t="n"/>
      <c r="F678" s="994" t="n"/>
      <c r="G678" s="994" t="n"/>
      <c r="H678" s="973" t="n"/>
      <c r="I678" s="973" t="n"/>
      <c r="J678" s="973" t="n"/>
      <c r="K678" s="973" t="n"/>
      <c r="L678" s="253" t="n">
        <v>1060</v>
      </c>
      <c r="M678" s="254" t="inlineStr">
        <is>
          <t>Y3D32</t>
        </is>
      </c>
      <c r="N678" s="254" t="inlineStr">
        <is>
          <t>Sanofi Pasteur</t>
        </is>
      </c>
      <c r="O678" s="1183" t="inlineStr">
        <is>
          <t>30/04/2027</t>
        </is>
      </c>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73" t="n"/>
      <c r="E679" s="973" t="n"/>
      <c r="F679" s="994" t="n"/>
      <c r="G679" s="994" t="n"/>
      <c r="H679" s="973" t="n"/>
      <c r="I679" s="973" t="n"/>
      <c r="J679" s="973" t="n"/>
      <c r="K679" s="973" t="n"/>
      <c r="L679" s="253" t="n">
        <v>376</v>
      </c>
      <c r="M679" s="254" t="inlineStr">
        <is>
          <t>063</t>
        </is>
      </c>
      <c r="N679" s="254" t="inlineStr">
        <is>
          <t>CHUMAKOV</t>
        </is>
      </c>
      <c r="O679" s="1183" t="inlineStr">
        <is>
          <t>31/10/2027</t>
        </is>
      </c>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73" t="n"/>
      <c r="E680" s="973" t="n"/>
      <c r="F680" s="994" t="n"/>
      <c r="G680" s="994" t="n"/>
      <c r="H680" s="973" t="n"/>
      <c r="I680" s="973" t="n"/>
      <c r="J680" s="973" t="n"/>
      <c r="K680" s="975" t="n"/>
      <c r="L680" s="253" t="n"/>
      <c r="M680" s="254" t="n"/>
      <c r="N680" s="254" t="n"/>
      <c r="O680" s="1183" t="n"/>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75" t="n"/>
      <c r="E681" s="975" t="n"/>
      <c r="F681" s="998" t="n"/>
      <c r="G681" s="998" t="n"/>
      <c r="H681" s="975" t="n"/>
      <c r="I681" s="975" t="n"/>
      <c r="J681" s="975" t="n"/>
      <c r="K681" s="1189">
        <f>K676=L681</f>
        <v/>
      </c>
      <c r="L681" s="491">
        <f>SUM(L676:L680)</f>
        <v/>
      </c>
      <c r="M681" s="1190" t="inlineStr">
        <is>
          <t xml:space="preserve">“Verdadero” indica que la cantidad por lote, coincide con el saldo que inicia al mes siguiente. "Falso" no coinicide. </t>
        </is>
      </c>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413">
        <f>FEBRERO!K682</f>
        <v/>
      </c>
      <c r="E682" s="339">
        <f>H278</f>
        <v/>
      </c>
      <c r="F682" s="338" t="n">
        <v>1180</v>
      </c>
      <c r="G682" s="338" t="n">
        <v>37</v>
      </c>
      <c r="H682" s="1235">
        <f>+F682+G682</f>
        <v/>
      </c>
      <c r="I682" s="340">
        <f>+AM682</f>
        <v/>
      </c>
      <c r="J682" s="341">
        <f>+H682+I682</f>
        <v/>
      </c>
      <c r="K682" s="583">
        <f>+(D682+E682)-(J682)</f>
        <v/>
      </c>
      <c r="L682" s="253" t="n">
        <v>1577</v>
      </c>
      <c r="M682" s="254" t="inlineStr">
        <is>
          <t>90250603-1</t>
        </is>
      </c>
      <c r="N682" s="254" t="inlineStr">
        <is>
          <t>Sinovac</t>
        </is>
      </c>
      <c r="O682" s="1183" t="inlineStr">
        <is>
          <t>05/06/2029</t>
        </is>
      </c>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v>0</v>
      </c>
      <c r="AA682" s="648" t="n">
        <v>0</v>
      </c>
      <c r="AB682" s="649">
        <f>+Z682+AA682</f>
        <v/>
      </c>
      <c r="AC682" s="648" t="n">
        <v>0</v>
      </c>
      <c r="AD682" s="648" t="n">
        <v>0</v>
      </c>
      <c r="AE682" s="648" t="n">
        <v>0</v>
      </c>
      <c r="AF682" s="648" t="n">
        <v>0</v>
      </c>
      <c r="AG682" s="648" t="n">
        <v>0</v>
      </c>
      <c r="AH682" s="648" t="n">
        <v>0</v>
      </c>
      <c r="AI682" s="648" t="n">
        <v>0</v>
      </c>
      <c r="AJ682" s="648" t="n">
        <v>0</v>
      </c>
      <c r="AK682" s="648" t="n">
        <v>0</v>
      </c>
      <c r="AL682" s="648" t="n">
        <v>0</v>
      </c>
      <c r="AM682" s="421">
        <f>SUM(AB682:AL686)</f>
        <v/>
      </c>
      <c r="AN682" s="726" t="n"/>
      <c r="AU682" s="1240" t="n"/>
      <c r="AV682" s="1240" t="n"/>
    </row>
    <row r="683" ht="17.1" customHeight="1">
      <c r="A683" s="973" t="n"/>
      <c r="B683" s="971" t="n"/>
      <c r="C683" s="972" t="n"/>
      <c r="D683" s="973" t="n"/>
      <c r="E683" s="973" t="n"/>
      <c r="F683" s="994" t="n"/>
      <c r="G683" s="994" t="n"/>
      <c r="H683" s="973" t="n"/>
      <c r="I683" s="973" t="n"/>
      <c r="J683" s="973" t="n"/>
      <c r="K683" s="973" t="n"/>
      <c r="L683" s="253" t="n">
        <v>15</v>
      </c>
      <c r="M683" s="254" t="inlineStr">
        <is>
          <t>Y016553</t>
        </is>
      </c>
      <c r="N683" s="254" t="inlineStr">
        <is>
          <t>MSD</t>
        </is>
      </c>
      <c r="O683" s="1183" t="inlineStr">
        <is>
          <t>16/10/2026</t>
        </is>
      </c>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73" t="n"/>
      <c r="E684" s="973" t="n"/>
      <c r="F684" s="994" t="n"/>
      <c r="G684" s="994" t="n"/>
      <c r="H684" s="973" t="n"/>
      <c r="I684" s="973" t="n"/>
      <c r="J684" s="973" t="n"/>
      <c r="K684" s="973" t="n"/>
      <c r="L684" s="253" t="n">
        <v>30</v>
      </c>
      <c r="M684" s="254" t="inlineStr">
        <is>
          <t>Y018532</t>
        </is>
      </c>
      <c r="N684" s="254" t="inlineStr">
        <is>
          <t>MSD</t>
        </is>
      </c>
      <c r="O684" s="1183" t="inlineStr">
        <is>
          <t>03/06/2027</t>
        </is>
      </c>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73"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73"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75" t="n"/>
      <c r="E687" s="975" t="n"/>
      <c r="F687" s="998" t="n"/>
      <c r="G687" s="998" t="n"/>
      <c r="H687" s="975" t="n"/>
      <c r="I687" s="975" t="n"/>
      <c r="J687" s="975" t="n"/>
      <c r="K687" s="1189">
        <f>K682=L687</f>
        <v/>
      </c>
      <c r="L687" s="491">
        <f>SUM(L682:L686)</f>
        <v/>
      </c>
      <c r="M687" s="1190" t="inlineStr">
        <is>
          <t xml:space="preserve">“Verdadero” indica que la cantidad por lote, coincide con el saldo que inicia al mes siguiente. "Falso" no coinicide. </t>
        </is>
      </c>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413">
        <f>FEBRERO!K688</f>
        <v/>
      </c>
      <c r="E688" s="339">
        <f>H284</f>
        <v/>
      </c>
      <c r="F688" s="338" t="n"/>
      <c r="G688" s="338" t="n">
        <v>0</v>
      </c>
      <c r="H688" s="1235">
        <f>+F688+G688</f>
        <v/>
      </c>
      <c r="I688" s="340">
        <f>+AM688</f>
        <v/>
      </c>
      <c r="J688" s="341">
        <f>+H688+I688</f>
        <v/>
      </c>
      <c r="K688" s="583">
        <f>+(D688+E688)-(J688)</f>
        <v/>
      </c>
      <c r="L688" s="253" t="n">
        <v>87</v>
      </c>
      <c r="M688" s="254" t="n"/>
      <c r="N688" s="254" t="n"/>
      <c r="O688" s="1183" t="n"/>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v>0</v>
      </c>
      <c r="AA688" s="648" t="n">
        <v>0</v>
      </c>
      <c r="AB688" s="649">
        <f>+Z688+AA688</f>
        <v/>
      </c>
      <c r="AC688" s="648" t="n">
        <v>0</v>
      </c>
      <c r="AD688" s="648" t="n">
        <v>0</v>
      </c>
      <c r="AE688" s="648" t="n">
        <v>0</v>
      </c>
      <c r="AF688" s="648" t="n">
        <v>0</v>
      </c>
      <c r="AG688" s="648" t="n">
        <v>0</v>
      </c>
      <c r="AH688" s="648" t="n">
        <v>0</v>
      </c>
      <c r="AI688" s="648" t="n">
        <v>0</v>
      </c>
      <c r="AJ688" s="648" t="n">
        <v>0</v>
      </c>
      <c r="AK688" s="648" t="n">
        <v>0</v>
      </c>
      <c r="AL688" s="648" t="n">
        <v>0</v>
      </c>
      <c r="AM688" s="421">
        <f>SUM(AB688:AL692)</f>
        <v/>
      </c>
      <c r="AN688" s="726" t="n"/>
      <c r="AU688" s="1240" t="n"/>
      <c r="AV688" s="1240" t="n"/>
    </row>
    <row r="689" ht="17.1" customHeight="1">
      <c r="A689" s="973" t="n"/>
      <c r="B689" s="971" t="n"/>
      <c r="C689" s="972" t="n"/>
      <c r="D689" s="973" t="n"/>
      <c r="E689" s="973" t="n"/>
      <c r="F689" s="994" t="n"/>
      <c r="G689" s="994" t="n"/>
      <c r="H689" s="973" t="n"/>
      <c r="I689" s="973" t="n"/>
      <c r="J689" s="973" t="n"/>
      <c r="K689" s="973" t="n"/>
      <c r="L689" s="253" t="n"/>
      <c r="M689" s="254" t="n"/>
      <c r="N689" s="254" t="n"/>
      <c r="O689" s="1183" t="n"/>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73" t="n"/>
      <c r="E690" s="973" t="n"/>
      <c r="F690" s="994" t="n"/>
      <c r="G690" s="994" t="n"/>
      <c r="H690" s="973" t="n"/>
      <c r="I690" s="973" t="n"/>
      <c r="J690" s="973" t="n"/>
      <c r="K690" s="973" t="n"/>
      <c r="L690" s="253" t="n"/>
      <c r="M690" s="254" t="n"/>
      <c r="N690" s="254" t="n"/>
      <c r="O690" s="1183" t="n"/>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73" t="n"/>
      <c r="E691" s="973" t="n"/>
      <c r="F691" s="994" t="n"/>
      <c r="G691" s="994" t="n"/>
      <c r="H691" s="973" t="n"/>
      <c r="I691" s="973" t="n"/>
      <c r="J691" s="973" t="n"/>
      <c r="K691" s="973" t="n"/>
      <c r="L691" s="253" t="n"/>
      <c r="M691" s="254" t="n"/>
      <c r="N691" s="254" t="n"/>
      <c r="O691" s="1183" t="n"/>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73" t="n"/>
      <c r="E692" s="973" t="n"/>
      <c r="F692" s="994" t="n"/>
      <c r="G692" s="994" t="n"/>
      <c r="H692" s="973" t="n"/>
      <c r="I692" s="973" t="n"/>
      <c r="J692" s="973" t="n"/>
      <c r="K692" s="975" t="n"/>
      <c r="L692" s="253" t="n"/>
      <c r="M692" s="254" t="n"/>
      <c r="N692" s="254" t="n"/>
      <c r="O692" s="1183" t="n"/>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75" t="n"/>
      <c r="E693" s="975" t="n"/>
      <c r="F693" s="998" t="n"/>
      <c r="G693" s="998" t="n"/>
      <c r="H693" s="975" t="n"/>
      <c r="I693" s="975" t="n"/>
      <c r="J693" s="975" t="n"/>
      <c r="K693" s="1189">
        <f>K688=L693</f>
        <v/>
      </c>
      <c r="L693" s="491">
        <f>SUM(L688:L692)</f>
        <v/>
      </c>
      <c r="M693" s="1190" t="inlineStr">
        <is>
          <t xml:space="preserve">“Verdadero” indica que la cantidad por lote, coincide con el saldo que inicia al mes siguiente. "Falso" no coinicide. </t>
        </is>
      </c>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413">
        <f>FEBRERO!K694</f>
        <v/>
      </c>
      <c r="E694" s="339">
        <f>H290</f>
        <v/>
      </c>
      <c r="F694" s="338" t="n">
        <v>283</v>
      </c>
      <c r="G694" s="338" t="n">
        <v>1</v>
      </c>
      <c r="H694" s="1235">
        <f>+F694+G694</f>
        <v/>
      </c>
      <c r="I694" s="340">
        <f>+AM694</f>
        <v/>
      </c>
      <c r="J694" s="341">
        <f>+H694+I694</f>
        <v/>
      </c>
      <c r="K694" s="583">
        <f>+(D694+E694)-(J694)</f>
        <v/>
      </c>
      <c r="L694" s="253" t="n">
        <v>289</v>
      </c>
      <c r="M694" s="254" t="inlineStr">
        <is>
          <t>0654S4016</t>
        </is>
      </c>
      <c r="N694" s="254" t="inlineStr">
        <is>
          <t>Serum</t>
        </is>
      </c>
      <c r="O694" s="1183" t="inlineStr">
        <is>
          <t>31/07/2029</t>
        </is>
      </c>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v>0</v>
      </c>
      <c r="AA694" s="648" t="n">
        <v>0</v>
      </c>
      <c r="AB694" s="649">
        <f>+Z694+AA694</f>
        <v/>
      </c>
      <c r="AC694" s="648" t="n">
        <v>0</v>
      </c>
      <c r="AD694" s="648" t="n">
        <v>0</v>
      </c>
      <c r="AE694" s="648" t="n">
        <v>0</v>
      </c>
      <c r="AF694" s="648" t="n">
        <v>1</v>
      </c>
      <c r="AG694" s="648" t="n">
        <v>0</v>
      </c>
      <c r="AH694" s="648" t="n">
        <v>0</v>
      </c>
      <c r="AI694" s="648" t="n">
        <v>0</v>
      </c>
      <c r="AJ694" s="648" t="n">
        <v>0</v>
      </c>
      <c r="AK694" s="648" t="n">
        <v>0</v>
      </c>
      <c r="AL694" s="648" t="n">
        <v>0</v>
      </c>
      <c r="AM694" s="421">
        <f>SUM(AB694:AL698)</f>
        <v/>
      </c>
      <c r="AN694" s="726" t="n"/>
      <c r="AU694" s="1240" t="n"/>
      <c r="AV694" s="1240" t="n"/>
    </row>
    <row r="695" ht="17.1" customHeight="1">
      <c r="A695" s="973" t="n"/>
      <c r="B695" s="971" t="n"/>
      <c r="C695" s="972" t="n"/>
      <c r="D695" s="973" t="n"/>
      <c r="E695" s="973" t="n"/>
      <c r="F695" s="994" t="n"/>
      <c r="G695" s="994" t="n"/>
      <c r="H695" s="973" t="n"/>
      <c r="I695" s="973" t="n"/>
      <c r="J695" s="973" t="n"/>
      <c r="K695" s="973" t="n"/>
      <c r="L695" s="253" t="n">
        <v>186</v>
      </c>
      <c r="M695" s="254" t="inlineStr">
        <is>
          <t>0654S4015</t>
        </is>
      </c>
      <c r="N695" s="254" t="inlineStr">
        <is>
          <t>Serum</t>
        </is>
      </c>
      <c r="O695" s="1183" t="inlineStr">
        <is>
          <t>31/07/2029</t>
        </is>
      </c>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73" t="n"/>
      <c r="E696" s="973" t="n"/>
      <c r="F696" s="994" t="n"/>
      <c r="G696" s="994" t="n"/>
      <c r="H696" s="973" t="n"/>
      <c r="I696" s="973" t="n"/>
      <c r="J696" s="973" t="n"/>
      <c r="K696" s="973" t="n"/>
      <c r="L696" s="253" t="n">
        <v>181</v>
      </c>
      <c r="M696" s="254" t="inlineStr">
        <is>
          <t>1484T128</t>
        </is>
      </c>
      <c r="N696" s="254" t="inlineStr">
        <is>
          <t>Serum</t>
        </is>
      </c>
      <c r="O696" s="1183" t="inlineStr">
        <is>
          <t>31/10/2027</t>
        </is>
      </c>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73" t="n"/>
      <c r="E697" s="973" t="n"/>
      <c r="F697" s="994" t="n"/>
      <c r="G697" s="994" t="n"/>
      <c r="H697" s="973" t="n"/>
      <c r="I697" s="973" t="n"/>
      <c r="J697" s="973" t="n"/>
      <c r="K697" s="973" t="n"/>
      <c r="L697" s="253" t="n">
        <v>9</v>
      </c>
      <c r="M697" s="254" t="inlineStr">
        <is>
          <t>X3H80</t>
        </is>
      </c>
      <c r="N697" s="254" t="inlineStr">
        <is>
          <t>Sanofi Pasteur</t>
        </is>
      </c>
      <c r="O697" s="1183" t="inlineStr">
        <is>
          <t>30/06/2026</t>
        </is>
      </c>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73" t="n"/>
      <c r="E698" s="973" t="n"/>
      <c r="F698" s="994" t="n"/>
      <c r="G698" s="994" t="n"/>
      <c r="H698" s="973" t="n"/>
      <c r="I698" s="973" t="n"/>
      <c r="J698" s="973" t="n"/>
      <c r="K698" s="975" t="n"/>
      <c r="L698" s="253" t="n">
        <v>8</v>
      </c>
      <c r="M698" s="254" t="inlineStr">
        <is>
          <t>08AR25015</t>
        </is>
      </c>
      <c r="N698" s="254" t="inlineStr">
        <is>
          <t>VINS BIOPRODUCTS LIMITED</t>
        </is>
      </c>
      <c r="O698" s="1183" t="inlineStr">
        <is>
          <t>31/05/2027</t>
        </is>
      </c>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75" t="n"/>
      <c r="E699" s="975" t="n"/>
      <c r="F699" s="998" t="n"/>
      <c r="G699" s="998" t="n"/>
      <c r="H699" s="975" t="n"/>
      <c r="I699" s="975" t="n"/>
      <c r="J699" s="975" t="n"/>
      <c r="K699" s="1189">
        <f>K694=L699</f>
        <v/>
      </c>
      <c r="L699" s="491">
        <f>SUM(L694:L698)</f>
        <v/>
      </c>
      <c r="M699" s="1190" t="inlineStr">
        <is>
          <t xml:space="preserve">“Verdadero” indica que la cantidad por lote, coincide con el saldo que inicia al mes siguiente. "Falso" no coinicide. </t>
        </is>
      </c>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413">
        <f>FEBRERO!K700</f>
        <v/>
      </c>
      <c r="E700" s="339">
        <f>H296</f>
        <v/>
      </c>
      <c r="F700" s="338" t="n">
        <v>0</v>
      </c>
      <c r="G700" s="338" t="n">
        <v>0</v>
      </c>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v>0</v>
      </c>
      <c r="AA700" s="648" t="n">
        <v>0</v>
      </c>
      <c r="AB700" s="649">
        <f>+Z700+AA700</f>
        <v/>
      </c>
      <c r="AC700" s="648" t="n">
        <v>0</v>
      </c>
      <c r="AD700" s="648" t="n">
        <v>0</v>
      </c>
      <c r="AE700" s="648" t="n">
        <v>0</v>
      </c>
      <c r="AF700" s="648" t="n">
        <v>0</v>
      </c>
      <c r="AG700" s="648" t="n">
        <v>0</v>
      </c>
      <c r="AH700" s="648" t="n">
        <v>0</v>
      </c>
      <c r="AI700" s="648" t="n">
        <v>0</v>
      </c>
      <c r="AJ700" s="648" t="n">
        <v>0</v>
      </c>
      <c r="AK700" s="648" t="n">
        <v>0</v>
      </c>
      <c r="AL700" s="648" t="n">
        <v>0</v>
      </c>
      <c r="AM700" s="421">
        <f>SUM(AB700:AL704)</f>
        <v/>
      </c>
      <c r="AN700" s="726" t="n"/>
      <c r="AU700" s="1240" t="n"/>
      <c r="AV700" s="1240" t="n"/>
    </row>
    <row r="701" ht="17.1" customHeight="1">
      <c r="A701" s="973" t="n"/>
      <c r="B701" s="971" t="n"/>
      <c r="C701" s="972" t="n"/>
      <c r="D701" s="973"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73"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73"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73"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75" t="n"/>
      <c r="E705" s="975" t="n"/>
      <c r="F705" s="998" t="n"/>
      <c r="G705" s="998" t="n"/>
      <c r="H705" s="975" t="n"/>
      <c r="I705" s="975" t="n"/>
      <c r="J705" s="975" t="n"/>
      <c r="K705" s="1189">
        <f>K700=L705</f>
        <v/>
      </c>
      <c r="L705" s="491">
        <f>SUM(L700:L704)</f>
        <v/>
      </c>
      <c r="M705" s="1190" t="inlineStr">
        <is>
          <t xml:space="preserve">“Verdadero” indica que la cantidad por lote, coincide con el saldo que inicia al mes siguiente. "Falso" no coinicide. </t>
        </is>
      </c>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647"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413">
        <f>FEBRERO!K707</f>
        <v/>
      </c>
      <c r="E707" s="339">
        <f>H303</f>
        <v/>
      </c>
      <c r="F707" s="338" t="n">
        <v>1980</v>
      </c>
      <c r="G707" s="338" t="n">
        <v>36</v>
      </c>
      <c r="H707" s="1235">
        <f>+F707+G707</f>
        <v/>
      </c>
      <c r="I707" s="340">
        <f>+AM707</f>
        <v/>
      </c>
      <c r="J707" s="341">
        <f>+H707+I707</f>
        <v/>
      </c>
      <c r="K707" s="583">
        <f>+(D707+E707)-(J707)</f>
        <v/>
      </c>
      <c r="L707" s="253" t="n">
        <v>9380</v>
      </c>
      <c r="M707" s="254" t="inlineStr">
        <is>
          <t>252216</t>
        </is>
      </c>
      <c r="N707" s="254" t="inlineStr">
        <is>
          <t>Fabricante</t>
        </is>
      </c>
      <c r="O707" s="1183" t="inlineStr">
        <is>
          <t>30/08/2027</t>
        </is>
      </c>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v>37</v>
      </c>
      <c r="AA707" s="648" t="n">
        <v>0</v>
      </c>
      <c r="AB707" s="649">
        <f>+Z707+AA707</f>
        <v/>
      </c>
      <c r="AC707" s="648" t="n">
        <v>0</v>
      </c>
      <c r="AD707" s="648" t="n">
        <v>0</v>
      </c>
      <c r="AE707" s="648" t="n">
        <v>0</v>
      </c>
      <c r="AF707" s="648" t="n">
        <v>0</v>
      </c>
      <c r="AG707" s="648" t="n">
        <v>2</v>
      </c>
      <c r="AH707" s="648" t="n">
        <v>2</v>
      </c>
      <c r="AI707" s="648" t="n">
        <v>0</v>
      </c>
      <c r="AJ707" s="648" t="n">
        <v>0</v>
      </c>
      <c r="AK707" s="648" t="n">
        <v>0</v>
      </c>
      <c r="AL707" s="648" t="n">
        <v>0</v>
      </c>
      <c r="AM707" s="421">
        <f>SUM(AB707:AL712)</f>
        <v/>
      </c>
      <c r="AN707" s="726" t="n"/>
      <c r="AU707" s="1240" t="n"/>
      <c r="AV707" s="1240" t="n"/>
    </row>
    <row r="708" ht="17.1" customHeight="1">
      <c r="A708" s="973" t="n"/>
      <c r="B708" s="971" t="n"/>
      <c r="C708" s="972" t="n"/>
      <c r="D708" s="973" t="n"/>
      <c r="E708" s="973" t="n"/>
      <c r="F708" s="994" t="n"/>
      <c r="G708" s="994" t="n"/>
      <c r="H708" s="973" t="n"/>
      <c r="I708" s="973" t="n"/>
      <c r="J708" s="973" t="n"/>
      <c r="K708" s="973" t="n"/>
      <c r="L708" s="253" t="n">
        <v>2739</v>
      </c>
      <c r="M708" s="254" t="inlineStr">
        <is>
          <t>AR13095</t>
        </is>
      </c>
      <c r="N708" s="254" t="inlineStr">
        <is>
          <t>NUBENCO</t>
        </is>
      </c>
      <c r="O708" s="1183" t="inlineStr">
        <is>
          <t>30/09/2026</t>
        </is>
      </c>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73" t="n"/>
      <c r="E709" s="973" t="n"/>
      <c r="F709" s="994" t="n"/>
      <c r="G709" s="994" t="n"/>
      <c r="H709" s="973" t="n"/>
      <c r="I709" s="973" t="n"/>
      <c r="J709" s="973" t="n"/>
      <c r="K709" s="973" t="n"/>
      <c r="L709" s="253" t="n">
        <v>1874</v>
      </c>
      <c r="M709" s="254" t="inlineStr">
        <is>
          <t>AR13158</t>
        </is>
      </c>
      <c r="N709" s="254" t="inlineStr">
        <is>
          <t>NUBENCO</t>
        </is>
      </c>
      <c r="O709" s="1183" t="inlineStr">
        <is>
          <t>31/03/2027</t>
        </is>
      </c>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73"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73" t="n"/>
      <c r="E711" s="973" t="n"/>
      <c r="F711" s="994" t="n"/>
      <c r="G711" s="994" t="n"/>
      <c r="H711" s="973" t="n"/>
      <c r="I711" s="973" t="n"/>
      <c r="J711" s="973" t="n"/>
      <c r="K711" s="973" t="n"/>
      <c r="L711" s="253" t="n"/>
      <c r="M711" s="254" t="n"/>
      <c r="N711" s="254" t="n"/>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73"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75" t="n"/>
      <c r="E713" s="975" t="n"/>
      <c r="F713" s="998" t="n"/>
      <c r="G713" s="998" t="n"/>
      <c r="H713" s="975" t="n"/>
      <c r="I713" s="975" t="n"/>
      <c r="J713" s="975" t="n"/>
      <c r="K713" s="1189">
        <f>K707=L713</f>
        <v/>
      </c>
      <c r="L713" s="491">
        <f>SUM(L707:L712)</f>
        <v/>
      </c>
      <c r="M713" s="1190" t="inlineStr">
        <is>
          <t xml:space="preserve">“Verdadero” indica que la cantidad por lote, coincide con el saldo que inicia al mes siguiente. "Falso" no coinicide. </t>
        </is>
      </c>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413">
        <f>FEBRERO!K714</f>
        <v/>
      </c>
      <c r="E714" s="339">
        <f>H310</f>
        <v/>
      </c>
      <c r="F714" s="338" t="n">
        <v>0</v>
      </c>
      <c r="G714" s="338" t="n">
        <v>0</v>
      </c>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v>0</v>
      </c>
      <c r="AA714" s="648" t="n">
        <v>0</v>
      </c>
      <c r="AB714" s="649">
        <f>+Z714+AA714</f>
        <v/>
      </c>
      <c r="AC714" s="648" t="n">
        <v>0</v>
      </c>
      <c r="AD714" s="648" t="n">
        <v>0</v>
      </c>
      <c r="AE714" s="648" t="n">
        <v>0</v>
      </c>
      <c r="AF714" s="648" t="n">
        <v>0</v>
      </c>
      <c r="AG714" s="648" t="n">
        <v>0</v>
      </c>
      <c r="AH714" s="648" t="n">
        <v>0</v>
      </c>
      <c r="AI714" s="648" t="n">
        <v>0</v>
      </c>
      <c r="AJ714" s="648" t="n">
        <v>0</v>
      </c>
      <c r="AK714" s="648" t="n">
        <v>0</v>
      </c>
      <c r="AL714" s="648" t="n">
        <v>0</v>
      </c>
      <c r="AM714" s="421">
        <f>SUM(AB714:AL719)</f>
        <v/>
      </c>
      <c r="AN714" s="726" t="n"/>
      <c r="AU714" s="1240" t="n"/>
      <c r="AV714" s="1240" t="n"/>
    </row>
    <row r="715" ht="17.1" customHeight="1">
      <c r="A715" s="973" t="n"/>
      <c r="B715" s="971" t="n"/>
      <c r="C715" s="972" t="n"/>
      <c r="D715" s="973"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73"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73"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73"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73"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75"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413">
        <f>FEBRERO!K721</f>
        <v/>
      </c>
      <c r="E721" s="339">
        <f>H317</f>
        <v/>
      </c>
      <c r="F721" s="338" t="n">
        <v>838</v>
      </c>
      <c r="G721" s="338" t="n">
        <v>9</v>
      </c>
      <c r="H721" s="1235">
        <f>+F721+G721</f>
        <v/>
      </c>
      <c r="I721" s="340">
        <f>+AM721</f>
        <v/>
      </c>
      <c r="J721" s="341">
        <f>+H721+I721</f>
        <v/>
      </c>
      <c r="K721" s="583">
        <f>+(D721+E721)-(J721)</f>
        <v/>
      </c>
      <c r="L721" s="253" t="n">
        <v>9298</v>
      </c>
      <c r="M721" s="254" t="inlineStr">
        <is>
          <t>CW13132-5</t>
        </is>
      </c>
      <c r="N721" s="254" t="inlineStr">
        <is>
          <t>NUBENCO</t>
        </is>
      </c>
      <c r="O721" s="1183" t="inlineStr">
        <is>
          <t>31/01/2027</t>
        </is>
      </c>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v>0</v>
      </c>
      <c r="AA721" s="648" t="n">
        <v>0</v>
      </c>
      <c r="AB721" s="649">
        <f>+Z721+AA721</f>
        <v/>
      </c>
      <c r="AC721" s="648" t="n">
        <v>0</v>
      </c>
      <c r="AD721" s="648" t="n">
        <v>0</v>
      </c>
      <c r="AE721" s="648" t="n">
        <v>0</v>
      </c>
      <c r="AF721" s="648" t="n">
        <v>0</v>
      </c>
      <c r="AG721" s="648" t="n">
        <v>0</v>
      </c>
      <c r="AH721" s="648" t="n">
        <v>143</v>
      </c>
      <c r="AI721" s="648" t="n">
        <v>0</v>
      </c>
      <c r="AJ721" s="648" t="n">
        <v>0</v>
      </c>
      <c r="AK721" s="648" t="n">
        <v>0</v>
      </c>
      <c r="AL721" s="648" t="n">
        <v>0</v>
      </c>
      <c r="AM721" s="421">
        <f>SUM(AB721:AL726)</f>
        <v/>
      </c>
      <c r="AN721" s="726" t="n"/>
      <c r="AU721" s="1240" t="n"/>
      <c r="AV721" s="1240" t="n"/>
    </row>
    <row r="722" ht="17.1" customHeight="1">
      <c r="A722" s="973" t="n"/>
      <c r="B722" s="971" t="n"/>
      <c r="C722" s="972" t="n"/>
      <c r="D722" s="973" t="n"/>
      <c r="E722" s="973" t="n"/>
      <c r="F722" s="994" t="n"/>
      <c r="G722" s="994" t="n"/>
      <c r="H722" s="973" t="n"/>
      <c r="I722" s="973" t="n"/>
      <c r="J722" s="973" t="n"/>
      <c r="K722" s="973" t="n"/>
      <c r="L722" s="253" t="n">
        <v>2983</v>
      </c>
      <c r="M722" s="254" t="inlineStr">
        <is>
          <t>AR13158</t>
        </is>
      </c>
      <c r="N722" s="254" t="inlineStr">
        <is>
          <t>NUBENCO</t>
        </is>
      </c>
      <c r="O722" s="1183" t="inlineStr">
        <is>
          <t>31/03/2027</t>
        </is>
      </c>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73" t="n"/>
      <c r="E723" s="973" t="n"/>
      <c r="F723" s="994" t="n"/>
      <c r="G723" s="994" t="n"/>
      <c r="H723" s="973" t="n"/>
      <c r="I723" s="973" t="n"/>
      <c r="J723" s="973" t="n"/>
      <c r="K723" s="973" t="n"/>
      <c r="L723" s="253" t="n">
        <v>1747</v>
      </c>
      <c r="M723" s="254" t="inlineStr">
        <is>
          <t>AR13095</t>
        </is>
      </c>
      <c r="N723" s="254" t="inlineStr">
        <is>
          <t>NUBENCO</t>
        </is>
      </c>
      <c r="O723" s="1183" t="inlineStr">
        <is>
          <t>30/09/2026</t>
        </is>
      </c>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73" t="n"/>
      <c r="E724" s="973" t="n"/>
      <c r="F724" s="994" t="n"/>
      <c r="G724" s="994" t="n"/>
      <c r="H724" s="973" t="n"/>
      <c r="I724" s="973" t="n"/>
      <c r="J724" s="973" t="n"/>
      <c r="K724" s="973" t="n"/>
      <c r="L724" s="253" t="n">
        <v>479</v>
      </c>
      <c r="M724" s="254" t="inlineStr">
        <is>
          <t>252216</t>
        </is>
      </c>
      <c r="N724" s="254" t="inlineStr">
        <is>
          <t>Fabricante</t>
        </is>
      </c>
      <c r="O724" s="1183" t="inlineStr">
        <is>
          <t>30/08/2027</t>
        </is>
      </c>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73" t="n"/>
      <c r="E725" s="973" t="n"/>
      <c r="F725" s="994" t="n"/>
      <c r="G725" s="994" t="n"/>
      <c r="H725" s="973" t="n"/>
      <c r="I725" s="973" t="n"/>
      <c r="J725" s="973" t="n"/>
      <c r="K725" s="973" t="n"/>
      <c r="L725" s="253" t="n">
        <v>159</v>
      </c>
      <c r="M725" s="254" t="inlineStr">
        <is>
          <t>20220110</t>
        </is>
      </c>
      <c r="N725" s="254" t="inlineStr">
        <is>
          <t>YIXIN China</t>
        </is>
      </c>
      <c r="O725" s="1183" t="inlineStr">
        <is>
          <t>09/01/2027</t>
        </is>
      </c>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73" t="n"/>
      <c r="E726" s="973" t="n"/>
      <c r="F726" s="994" t="n"/>
      <c r="G726" s="994" t="n"/>
      <c r="H726" s="973" t="n"/>
      <c r="I726" s="973" t="n"/>
      <c r="J726" s="973" t="n"/>
      <c r="K726" s="975" t="n"/>
      <c r="L726" s="253" t="n"/>
      <c r="M726" s="254" t="n"/>
      <c r="N726" s="254" t="n"/>
      <c r="O726" s="1183" t="n"/>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75" t="n"/>
      <c r="E727" s="975" t="n"/>
      <c r="F727" s="998" t="n"/>
      <c r="G727" s="998" t="n"/>
      <c r="H727" s="975" t="n"/>
      <c r="I727" s="975" t="n"/>
      <c r="J727" s="975" t="n"/>
      <c r="K727" s="1189">
        <f>K721=L727</f>
        <v/>
      </c>
      <c r="L727" s="491">
        <f>SUM(L721:L726)</f>
        <v/>
      </c>
      <c r="M727" s="1190" t="inlineStr">
        <is>
          <t xml:space="preserve">“Verdadero” indica que la cantidad por lote, coincide con el saldo que inicia al mes siguiente. "Falso" no coinicide. </t>
        </is>
      </c>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413">
        <f>FEBRERO!K728</f>
        <v/>
      </c>
      <c r="E728" s="339">
        <f>H324</f>
        <v/>
      </c>
      <c r="F728" s="338" t="n">
        <v>76</v>
      </c>
      <c r="G728" s="338" t="n">
        <v>0</v>
      </c>
      <c r="H728" s="1235">
        <f>+F728+G728</f>
        <v/>
      </c>
      <c r="I728" s="340">
        <f>+AM728</f>
        <v/>
      </c>
      <c r="J728" s="341">
        <f>+H728+I728</f>
        <v/>
      </c>
      <c r="K728" s="583">
        <f>+(D728+E728)-(J728)</f>
        <v/>
      </c>
      <c r="L728" s="253" t="n">
        <v>400</v>
      </c>
      <c r="M728" s="254" t="inlineStr">
        <is>
          <t>AR13158</t>
        </is>
      </c>
      <c r="N728" s="254" t="inlineStr">
        <is>
          <t>NUBENCO</t>
        </is>
      </c>
      <c r="O728" s="1183" t="inlineStr">
        <is>
          <t>31/03/2027</t>
        </is>
      </c>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v>0</v>
      </c>
      <c r="AA728" s="648" t="n">
        <v>0</v>
      </c>
      <c r="AB728" s="649">
        <f>+Z728+AA728</f>
        <v/>
      </c>
      <c r="AC728" s="648" t="n">
        <v>0</v>
      </c>
      <c r="AD728" s="648" t="n">
        <v>0</v>
      </c>
      <c r="AE728" s="648" t="n">
        <v>0</v>
      </c>
      <c r="AF728" s="648" t="n">
        <v>0</v>
      </c>
      <c r="AG728" s="648" t="n">
        <v>0</v>
      </c>
      <c r="AH728" s="648" t="n">
        <v>0</v>
      </c>
      <c r="AI728" s="648" t="n">
        <v>0</v>
      </c>
      <c r="AJ728" s="648" t="n">
        <v>0</v>
      </c>
      <c r="AK728" s="648" t="n">
        <v>0</v>
      </c>
      <c r="AL728" s="648" t="n">
        <v>0</v>
      </c>
      <c r="AM728" s="421">
        <f>SUM(AB728:AL733)</f>
        <v/>
      </c>
      <c r="AN728" s="726" t="n"/>
      <c r="AU728" s="1240" t="n"/>
      <c r="AV728" s="1240" t="n"/>
    </row>
    <row r="729" ht="17.1" customHeight="1">
      <c r="A729" s="973" t="n"/>
      <c r="B729" s="971" t="n"/>
      <c r="C729" s="972" t="n"/>
      <c r="D729" s="973" t="n"/>
      <c r="E729" s="973" t="n"/>
      <c r="F729" s="994" t="n"/>
      <c r="G729" s="994" t="n"/>
      <c r="H729" s="973" t="n"/>
      <c r="I729" s="973" t="n"/>
      <c r="J729" s="973" t="n"/>
      <c r="K729" s="973" t="n"/>
      <c r="L729" s="253" t="n">
        <v>117</v>
      </c>
      <c r="M729" s="254" t="inlineStr">
        <is>
          <t>252216</t>
        </is>
      </c>
      <c r="N729" s="254" t="inlineStr">
        <is>
          <t>Fabricante</t>
        </is>
      </c>
      <c r="O729" s="1183" t="inlineStr">
        <is>
          <t>30/08/2027</t>
        </is>
      </c>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73"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73"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73"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73"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75" t="n"/>
      <c r="E734" s="975" t="n"/>
      <c r="F734" s="998" t="n"/>
      <c r="G734" s="998" t="n"/>
      <c r="H734" s="975" t="n"/>
      <c r="I734" s="975" t="n"/>
      <c r="J734" s="975" t="n"/>
      <c r="K734" s="1189">
        <f>K728=L734</f>
        <v/>
      </c>
      <c r="L734" s="491">
        <f>SUM(L728:L733)</f>
        <v/>
      </c>
      <c r="M734" s="1190" t="inlineStr">
        <is>
          <t xml:space="preserve">“Verdadero” indica que la cantidad por lote, coincide con el saldo que inicia al mes siguiente. "Falso" no coinicide. </t>
        </is>
      </c>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413">
        <f>FEBRERO!K735</f>
        <v/>
      </c>
      <c r="E735" s="339">
        <f>H331</f>
        <v/>
      </c>
      <c r="F735" s="338" t="n">
        <v>0</v>
      </c>
      <c r="G735" s="338" t="n">
        <v>0</v>
      </c>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v>0</v>
      </c>
      <c r="AA735" s="648" t="n">
        <v>0</v>
      </c>
      <c r="AB735" s="649">
        <f>+Z735+AA735</f>
        <v/>
      </c>
      <c r="AC735" s="648" t="n">
        <v>0</v>
      </c>
      <c r="AD735" s="648" t="n">
        <v>0</v>
      </c>
      <c r="AE735" s="648" t="n">
        <v>0</v>
      </c>
      <c r="AF735" s="648" t="n">
        <v>0</v>
      </c>
      <c r="AG735" s="648" t="n">
        <v>0</v>
      </c>
      <c r="AH735" s="648" t="n">
        <v>0</v>
      </c>
      <c r="AI735" s="648" t="n">
        <v>0</v>
      </c>
      <c r="AJ735" s="648" t="n">
        <v>0</v>
      </c>
      <c r="AK735" s="648" t="n">
        <v>0</v>
      </c>
      <c r="AL735" s="648" t="n">
        <v>0</v>
      </c>
      <c r="AM735" s="421">
        <f>SUM(AB735:AL740)</f>
        <v/>
      </c>
      <c r="AN735" s="726" t="n"/>
      <c r="AU735" s="1240" t="n"/>
      <c r="AV735" s="1240" t="n"/>
    </row>
    <row r="736" ht="17.1" customHeight="1">
      <c r="A736" s="973" t="n"/>
      <c r="B736" s="971" t="n"/>
      <c r="C736" s="972" t="n"/>
      <c r="D736" s="973"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73"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73"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73"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73"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75" t="n"/>
      <c r="E741" s="975" t="n"/>
      <c r="F741" s="998" t="n"/>
      <c r="G741" s="998" t="n"/>
      <c r="H741" s="975" t="n"/>
      <c r="I741" s="975" t="n"/>
      <c r="J741" s="975" t="n"/>
      <c r="K741" s="1189">
        <f>K735=L741</f>
        <v/>
      </c>
      <c r="L741" s="491">
        <f>SUM(L735:L740)</f>
        <v/>
      </c>
      <c r="M741" s="1190" t="inlineStr">
        <is>
          <t xml:space="preserve">“Verdadero” indica que la cantidad por lote, coincide con el saldo que inicia al mes siguiente. "Falso" no coinicide. </t>
        </is>
      </c>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413">
        <f>FEBRERO!K742</f>
        <v/>
      </c>
      <c r="E742" s="339">
        <f>H338</f>
        <v/>
      </c>
      <c r="F742" s="338" t="n">
        <v>10961</v>
      </c>
      <c r="G742" s="338" t="n">
        <v>153</v>
      </c>
      <c r="H742" s="1235">
        <f>+F742+G742</f>
        <v/>
      </c>
      <c r="I742" s="340">
        <f>+AM742</f>
        <v/>
      </c>
      <c r="J742" s="341">
        <f>+H742+I742</f>
        <v/>
      </c>
      <c r="K742" s="583">
        <f>+(D742+E742)-(J742)</f>
        <v/>
      </c>
      <c r="L742" s="253" t="n">
        <v>4416</v>
      </c>
      <c r="M742" s="254" t="inlineStr">
        <is>
          <t>CW13132-5</t>
        </is>
      </c>
      <c r="N742" s="254" t="inlineStr">
        <is>
          <t>NUBENCO</t>
        </is>
      </c>
      <c r="O742" s="1183" t="inlineStr">
        <is>
          <t>31/01/2027</t>
        </is>
      </c>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v>61</v>
      </c>
      <c r="AA742" s="648" t="n">
        <v>0</v>
      </c>
      <c r="AB742" s="649">
        <f>+Z742+AA742</f>
        <v/>
      </c>
      <c r="AC742" s="648" t="n">
        <v>0</v>
      </c>
      <c r="AD742" s="648" t="n">
        <v>3</v>
      </c>
      <c r="AE742" s="648" t="n">
        <v>0</v>
      </c>
      <c r="AF742" s="648" t="n">
        <v>0</v>
      </c>
      <c r="AG742" s="648" t="n">
        <v>0</v>
      </c>
      <c r="AH742" s="648" t="n">
        <v>0</v>
      </c>
      <c r="AI742" s="648" t="n">
        <v>60</v>
      </c>
      <c r="AJ742" s="648" t="n">
        <v>0</v>
      </c>
      <c r="AK742" s="648" t="n">
        <v>0</v>
      </c>
      <c r="AL742" s="648" t="n">
        <v>0</v>
      </c>
      <c r="AM742" s="421">
        <f>SUM(AB742:AL747)</f>
        <v/>
      </c>
      <c r="AN742" s="726" t="n"/>
      <c r="AU742" s="1240" t="n"/>
      <c r="AV742" s="1240" t="n"/>
    </row>
    <row r="743" ht="17.1" customHeight="1">
      <c r="A743" s="973" t="n"/>
      <c r="B743" s="971" t="n"/>
      <c r="C743" s="972" t="n"/>
      <c r="D743" s="973" t="n"/>
      <c r="E743" s="973" t="n"/>
      <c r="F743" s="994" t="n"/>
      <c r="G743" s="994" t="n"/>
      <c r="H743" s="973" t="n"/>
      <c r="I743" s="973" t="n"/>
      <c r="J743" s="973" t="n"/>
      <c r="K743" s="973" t="n"/>
      <c r="L743" s="253" t="n">
        <v>2060</v>
      </c>
      <c r="M743" s="254" t="inlineStr">
        <is>
          <t>CW13132-4</t>
        </is>
      </c>
      <c r="N743" s="254" t="inlineStr">
        <is>
          <t>NUBENCO</t>
        </is>
      </c>
      <c r="O743" s="1183" t="inlineStr">
        <is>
          <t>31/01/2027</t>
        </is>
      </c>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73" t="n"/>
      <c r="E744" s="973" t="n"/>
      <c r="F744" s="994" t="n"/>
      <c r="G744" s="994" t="n"/>
      <c r="H744" s="973" t="n"/>
      <c r="I744" s="973" t="n"/>
      <c r="J744" s="973" t="n"/>
      <c r="K744" s="973" t="n"/>
      <c r="L744" s="253" t="n">
        <v>1455</v>
      </c>
      <c r="M744" s="254" t="inlineStr">
        <is>
          <t>AR13133-7</t>
        </is>
      </c>
      <c r="N744" s="254" t="inlineStr">
        <is>
          <t>Fabricante</t>
        </is>
      </c>
      <c r="O744" s="1183" t="inlineStr">
        <is>
          <t>28/02/2027</t>
        </is>
      </c>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73" t="n"/>
      <c r="E745" s="973" t="n"/>
      <c r="F745" s="994" t="n"/>
      <c r="G745" s="994" t="n"/>
      <c r="H745" s="973" t="n"/>
      <c r="I745" s="973" t="n"/>
      <c r="J745" s="973" t="n"/>
      <c r="K745" s="973" t="n"/>
      <c r="L745" s="253" t="n">
        <v>992</v>
      </c>
      <c r="M745" s="254" t="inlineStr">
        <is>
          <t>AR13133-8</t>
        </is>
      </c>
      <c r="N745" s="254" t="inlineStr">
        <is>
          <t>JIANGXI SANXIN MEDTEC</t>
        </is>
      </c>
      <c r="O745" s="1183" t="inlineStr">
        <is>
          <t>31/03/2027</t>
        </is>
      </c>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73" t="n"/>
      <c r="E746" s="973" t="n"/>
      <c r="F746" s="994" t="n"/>
      <c r="G746" s="994" t="n"/>
      <c r="H746" s="973" t="n"/>
      <c r="I746" s="973" t="n"/>
      <c r="J746" s="973" t="n"/>
      <c r="K746" s="973" t="n"/>
      <c r="L746" s="253" t="n">
        <v>335</v>
      </c>
      <c r="M746" s="254" t="inlineStr">
        <is>
          <t>AR13095</t>
        </is>
      </c>
      <c r="N746" s="254" t="inlineStr">
        <is>
          <t>NUBENCO</t>
        </is>
      </c>
      <c r="O746" s="1183" t="inlineStr">
        <is>
          <t>30/09/2026</t>
        </is>
      </c>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73" t="n"/>
      <c r="E747" s="973" t="n"/>
      <c r="F747" s="994" t="n"/>
      <c r="G747" s="994" t="n"/>
      <c r="H747" s="973" t="n"/>
      <c r="I747" s="973" t="n"/>
      <c r="J747" s="973" t="n"/>
      <c r="K747" s="975" t="n"/>
      <c r="L747" s="253" t="n"/>
      <c r="M747" s="254" t="n"/>
      <c r="N747" s="254" t="n"/>
      <c r="O747" s="1183" t="n"/>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75" t="n"/>
      <c r="E748" s="975" t="n"/>
      <c r="F748" s="998" t="n"/>
      <c r="G748" s="998" t="n"/>
      <c r="H748" s="975" t="n"/>
      <c r="I748" s="975" t="n"/>
      <c r="J748" s="975" t="n"/>
      <c r="K748" s="1189">
        <f>K742=L748</f>
        <v/>
      </c>
      <c r="L748" s="491">
        <f>SUM(L742:L747)</f>
        <v/>
      </c>
      <c r="M748" s="1190" t="inlineStr">
        <is>
          <t xml:space="preserve">“Verdadero” indica que la cantidad por lote, coincide con el saldo que inicia al mes siguiente. "Falso" no coinicide. </t>
        </is>
      </c>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413">
        <f>FEBRERO!K749</f>
        <v/>
      </c>
      <c r="E749" s="339">
        <f>H345</f>
        <v/>
      </c>
      <c r="F749" s="338" t="n"/>
      <c r="G749" s="338" t="n">
        <v>0</v>
      </c>
      <c r="H749" s="1235">
        <f>+F749+G749</f>
        <v/>
      </c>
      <c r="I749" s="340">
        <f>+AM749</f>
        <v/>
      </c>
      <c r="J749" s="341">
        <f>+H749+I749</f>
        <v/>
      </c>
      <c r="K749" s="583">
        <f>+(D749+E749)-(J749)</f>
        <v/>
      </c>
      <c r="L749" s="323" t="n"/>
      <c r="M749" s="323" t="n"/>
      <c r="N749" s="323" t="n"/>
      <c r="O749" s="323" t="n"/>
      <c r="P749" s="256">
        <f>IF(O760=0," ",IFERROR(IF(DATEDIF(TODAY(),O760,"M")&lt;=5,"ROJO",IF(DATEDIF(TODAY(),O760,"M")&gt;=12,"VERDE",IF(AND(DATEDIF(TODAY(),O760,"M")&gt;=6,DATEDIF(TODAY(),O760,"M")&lt;=11),"AMARILLO"))),Q749))</f>
        <v/>
      </c>
      <c r="Q749" s="256">
        <f>IF(O760=0," ",IF(O760&lt;=$L$6,"VENCIDO","NO VENCIDO"))</f>
        <v/>
      </c>
      <c r="R749" s="257" t="n"/>
      <c r="S749" s="258" t="n"/>
      <c r="T749" s="258" t="n"/>
      <c r="U749" s="1184" t="n"/>
      <c r="V749" s="1184" t="n"/>
      <c r="W749" s="1236">
        <f>+AR749</f>
        <v/>
      </c>
      <c r="X749" s="1237" t="n"/>
      <c r="Y749" s="232" t="n"/>
      <c r="Z749" s="648" t="n">
        <v>0</v>
      </c>
      <c r="AA749" s="648" t="n">
        <v>0</v>
      </c>
      <c r="AB749" s="649">
        <f>+Z749+AA749</f>
        <v/>
      </c>
      <c r="AC749" s="648" t="n">
        <v>0</v>
      </c>
      <c r="AD749" s="648" t="n">
        <v>0</v>
      </c>
      <c r="AE749" s="648" t="n">
        <v>0</v>
      </c>
      <c r="AF749" s="648" t="n">
        <v>0</v>
      </c>
      <c r="AG749" s="648" t="n">
        <v>0</v>
      </c>
      <c r="AH749" s="648" t="n">
        <v>0</v>
      </c>
      <c r="AI749" s="648" t="n">
        <v>0</v>
      </c>
      <c r="AJ749" s="648" t="n">
        <v>0</v>
      </c>
      <c r="AK749" s="648" t="n">
        <v>0</v>
      </c>
      <c r="AL749" s="648" t="n">
        <v>0</v>
      </c>
      <c r="AM749" s="421">
        <f>SUM(AB749:AL754)</f>
        <v/>
      </c>
      <c r="AN749" s="726" t="n"/>
      <c r="AU749" s="1240" t="n"/>
      <c r="AV749" s="1240" t="n"/>
    </row>
    <row r="750" ht="17.1" customHeight="1">
      <c r="A750" s="973" t="n"/>
      <c r="B750" s="971" t="n"/>
      <c r="C750" s="972" t="n"/>
      <c r="D750" s="973"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73"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73"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73"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73"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75" t="n"/>
      <c r="E755" s="975" t="n"/>
      <c r="F755" s="998" t="n"/>
      <c r="G755" s="998" t="n"/>
      <c r="H755" s="975" t="n"/>
      <c r="I755" s="975" t="n"/>
      <c r="J755" s="975" t="n"/>
      <c r="K755" s="1189">
        <f>K749=L755</f>
        <v/>
      </c>
      <c r="L755" s="491">
        <f>SUM(L749:L754)</f>
        <v/>
      </c>
      <c r="M755" s="1190" t="inlineStr">
        <is>
          <t xml:space="preserve">“Verdadero” indica que la cantidad por lote, coincide con el saldo que inicia al mes siguiente. "Falso" no coinicide. </t>
        </is>
      </c>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413">
        <f>FEBRERO!K756</f>
        <v/>
      </c>
      <c r="E756" s="339">
        <f>H352</f>
        <v/>
      </c>
      <c r="F756" s="338" t="n">
        <v>7208</v>
      </c>
      <c r="G756" s="338" t="n">
        <v>92</v>
      </c>
      <c r="H756" s="1235">
        <f>+F756+G756</f>
        <v/>
      </c>
      <c r="I756" s="340">
        <f>+AM756</f>
        <v/>
      </c>
      <c r="J756" s="341">
        <f>+H756+I756</f>
        <v/>
      </c>
      <c r="K756" s="583">
        <f>+(D756+E756)-(J756)</f>
        <v/>
      </c>
      <c r="L756" s="253" t="n">
        <v>11264</v>
      </c>
      <c r="M756" s="254" t="inlineStr">
        <is>
          <t>23FA1</t>
        </is>
      </c>
      <c r="N756" s="254" t="inlineStr">
        <is>
          <t>Fabricante</t>
        </is>
      </c>
      <c r="O756" s="1183" t="inlineStr">
        <is>
          <t>31/05/2028</t>
        </is>
      </c>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v>72</v>
      </c>
      <c r="AA756" s="648" t="n">
        <v>0</v>
      </c>
      <c r="AB756" s="649">
        <f>+Z756+AA756</f>
        <v/>
      </c>
      <c r="AC756" s="648" t="n">
        <v>0</v>
      </c>
      <c r="AD756" s="648" t="n">
        <v>1</v>
      </c>
      <c r="AE756" s="648" t="n">
        <v>0</v>
      </c>
      <c r="AF756" s="648" t="n">
        <v>0</v>
      </c>
      <c r="AG756" s="648" t="n">
        <v>0</v>
      </c>
      <c r="AH756" s="648" t="n">
        <v>16</v>
      </c>
      <c r="AI756" s="648" t="n">
        <v>278</v>
      </c>
      <c r="AJ756" s="648" t="n">
        <v>0</v>
      </c>
      <c r="AK756" s="648" t="n">
        <v>0</v>
      </c>
      <c r="AL756" s="648" t="n">
        <v>0</v>
      </c>
      <c r="AM756" s="421">
        <f>SUM(AB756:AL761)</f>
        <v/>
      </c>
      <c r="AN756" s="726" t="n"/>
      <c r="AU756" s="1240" t="n"/>
      <c r="AV756" s="1240" t="n"/>
    </row>
    <row r="757" ht="17.1" customHeight="1">
      <c r="A757" s="973" t="n"/>
      <c r="B757" s="971" t="n"/>
      <c r="C757" s="972" t="n"/>
      <c r="D757" s="973" t="n"/>
      <c r="E757" s="973" t="n"/>
      <c r="F757" s="994" t="n"/>
      <c r="G757" s="994" t="n"/>
      <c r="H757" s="973" t="n"/>
      <c r="I757" s="973" t="n"/>
      <c r="J757" s="973" t="n"/>
      <c r="K757" s="973" t="n"/>
      <c r="L757" s="253" t="n">
        <v>11052</v>
      </c>
      <c r="M757" s="254" t="inlineStr">
        <is>
          <t>20250903</t>
        </is>
      </c>
      <c r="N757" s="254" t="inlineStr">
        <is>
          <t>YIXIN China</t>
        </is>
      </c>
      <c r="O757" s="1183" t="inlineStr">
        <is>
          <t>02/09/2030</t>
        </is>
      </c>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73" t="n"/>
      <c r="E758" s="973" t="n"/>
      <c r="F758" s="994" t="n"/>
      <c r="G758" s="994" t="n"/>
      <c r="H758" s="973" t="n"/>
      <c r="I758" s="973" t="n"/>
      <c r="J758" s="973" t="n"/>
      <c r="K758" s="973" t="n"/>
      <c r="L758" s="253" t="n">
        <v>308</v>
      </c>
      <c r="M758" s="254" t="inlineStr">
        <is>
          <t>552212</t>
        </is>
      </c>
      <c r="N758" s="254" t="inlineStr">
        <is>
          <t>Fabricante</t>
        </is>
      </c>
      <c r="O758" s="1183" t="inlineStr">
        <is>
          <t>30/06/2027</t>
        </is>
      </c>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73" t="n"/>
      <c r="E759" s="973" t="n"/>
      <c r="F759" s="994" t="n"/>
      <c r="G759" s="994" t="n"/>
      <c r="H759" s="973" t="n"/>
      <c r="I759" s="973" t="n"/>
      <c r="J759" s="973" t="n"/>
      <c r="K759" s="973" t="n"/>
      <c r="L759" s="253" t="n">
        <v>260</v>
      </c>
      <c r="M759" s="254" t="inlineStr">
        <is>
          <t>552214</t>
        </is>
      </c>
      <c r="N759" s="254" t="inlineStr">
        <is>
          <t>Fabricante</t>
        </is>
      </c>
      <c r="O759" s="1183" t="inlineStr">
        <is>
          <t>30/06/2027</t>
        </is>
      </c>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73" t="n"/>
      <c r="E760" s="973" t="n"/>
      <c r="F760" s="994" t="n"/>
      <c r="G760" s="994" t="n"/>
      <c r="H760" s="973" t="n"/>
      <c r="I760" s="973" t="n"/>
      <c r="J760" s="973" t="n"/>
      <c r="K760" s="973" t="n"/>
      <c r="L760" s="253" t="n">
        <v>2609</v>
      </c>
      <c r="M760" s="254" t="inlineStr">
        <is>
          <t>20250903</t>
        </is>
      </c>
      <c r="N760" s="254" t="inlineStr">
        <is>
          <t>YIXIN China</t>
        </is>
      </c>
      <c r="O760" s="1183" t="inlineStr">
        <is>
          <t>02/09/2030</t>
        </is>
      </c>
      <c r="P760" s="256">
        <f>IF(#REF!=0," ",IFERROR(IF(DATEDIF(TODAY(),#REF!,"M")&lt;=5,"ROJO",IF(DATEDIF(TODAY(),#REF!,"M")&gt;=12,"VERDE",IF(AND(DATEDIF(TODAY(),#REF!,"M")&gt;=6,DATEDIF(TODAY(),#REF!,"M")&lt;=11),"AMARILLO"))),Q760))</f>
        <v/>
      </c>
      <c r="Q760" s="256">
        <f>IF(#REF!=0," ",IF(#REF!&lt;=$L$6,"VENCIDO","NO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73"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75"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413">
        <f>FEBRERO!K763</f>
        <v/>
      </c>
      <c r="E763" s="339">
        <f>H359</f>
        <v/>
      </c>
      <c r="F763" s="338" t="n">
        <v>679</v>
      </c>
      <c r="G763" s="338" t="n">
        <v>28</v>
      </c>
      <c r="H763" s="1235">
        <f>+F763+G763</f>
        <v/>
      </c>
      <c r="I763" s="340">
        <f>+AM763</f>
        <v/>
      </c>
      <c r="J763" s="341">
        <f>+H763+I763</f>
        <v/>
      </c>
      <c r="K763" s="583">
        <f>+(D763+E763)-(J763)</f>
        <v/>
      </c>
      <c r="L763" s="253" t="n">
        <v>1888</v>
      </c>
      <c r="M763" s="254" t="inlineStr">
        <is>
          <t>622204</t>
        </is>
      </c>
      <c r="N763" s="254" t="inlineStr">
        <is>
          <t>Fabricante</t>
        </is>
      </c>
      <c r="O763" s="1183" t="inlineStr">
        <is>
          <t>28/02/2027</t>
        </is>
      </c>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v>39</v>
      </c>
      <c r="AA763" s="648" t="n">
        <v>44</v>
      </c>
      <c r="AB763" s="649">
        <f>+Z763+AA763</f>
        <v/>
      </c>
      <c r="AC763" s="648" t="n">
        <v>0</v>
      </c>
      <c r="AD763" s="648" t="n">
        <v>2</v>
      </c>
      <c r="AE763" s="648" t="n">
        <v>0</v>
      </c>
      <c r="AF763" s="648" t="n">
        <v>0</v>
      </c>
      <c r="AG763" s="648" t="n">
        <v>0</v>
      </c>
      <c r="AH763" s="648" t="n">
        <v>3</v>
      </c>
      <c r="AI763" s="648" t="n">
        <v>0</v>
      </c>
      <c r="AJ763" s="648" t="n">
        <v>0</v>
      </c>
      <c r="AK763" s="648" t="n">
        <v>0</v>
      </c>
      <c r="AL763" s="648" t="n">
        <v>0</v>
      </c>
      <c r="AM763" s="421">
        <f>SUM(AB763:AL768)</f>
        <v/>
      </c>
      <c r="AN763" s="726" t="n"/>
      <c r="AU763" s="1240" t="n"/>
      <c r="AV763" s="1240" t="n"/>
    </row>
    <row r="764" ht="17.1" customHeight="1">
      <c r="A764" s="973" t="n"/>
      <c r="B764" s="971" t="n"/>
      <c r="C764" s="972" t="n"/>
      <c r="D764" s="973" t="n"/>
      <c r="E764" s="973" t="n"/>
      <c r="F764" s="994" t="n"/>
      <c r="G764" s="994" t="n"/>
      <c r="H764" s="973" t="n"/>
      <c r="I764" s="973" t="n"/>
      <c r="J764" s="973" t="n"/>
      <c r="K764" s="973" t="n"/>
      <c r="L764" s="253" t="n">
        <v>1282</v>
      </c>
      <c r="M764" s="254" t="inlineStr">
        <is>
          <t>662202</t>
        </is>
      </c>
      <c r="N764" s="254" t="inlineStr">
        <is>
          <t>Fabricante</t>
        </is>
      </c>
      <c r="O764" s="1183" t="inlineStr">
        <is>
          <t>30/09/2027</t>
        </is>
      </c>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73" t="n"/>
      <c r="E765" s="973" t="n"/>
      <c r="F765" s="994" t="n"/>
      <c r="G765" s="994" t="n"/>
      <c r="H765" s="973" t="n"/>
      <c r="I765" s="973" t="n"/>
      <c r="J765" s="973" t="n"/>
      <c r="K765" s="973" t="n"/>
      <c r="L765" s="253" t="n">
        <v>689</v>
      </c>
      <c r="M765" s="254" t="inlineStr">
        <is>
          <t>662203</t>
        </is>
      </c>
      <c r="N765" s="254" t="inlineStr">
        <is>
          <t>Fabricante</t>
        </is>
      </c>
      <c r="O765" s="1183" t="inlineStr">
        <is>
          <t>30/09/2027</t>
        </is>
      </c>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73" t="n"/>
      <c r="E766" s="973" t="n"/>
      <c r="F766" s="994" t="n"/>
      <c r="G766" s="994" t="n"/>
      <c r="H766" s="973" t="n"/>
      <c r="I766" s="973" t="n"/>
      <c r="J766" s="973" t="n"/>
      <c r="K766" s="973" t="n"/>
      <c r="L766" s="253" t="n">
        <v>138</v>
      </c>
      <c r="M766" s="254" t="inlineStr">
        <is>
          <t>ME0450</t>
        </is>
      </c>
      <c r="N766" s="254" t="inlineStr">
        <is>
          <t>PFIZER</t>
        </is>
      </c>
      <c r="O766" s="1183" t="inlineStr">
        <is>
          <t>31/07/2026</t>
        </is>
      </c>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73" t="n"/>
      <c r="E767" s="973" t="n"/>
      <c r="F767" s="994" t="n"/>
      <c r="G767" s="994" t="n"/>
      <c r="H767" s="973" t="n"/>
      <c r="I767" s="973" t="n"/>
      <c r="J767" s="973" t="n"/>
      <c r="K767" s="973" t="n"/>
      <c r="L767" s="253" t="n">
        <v>88</v>
      </c>
      <c r="M767" s="254" t="inlineStr">
        <is>
          <t>582101</t>
        </is>
      </c>
      <c r="N767" s="254" t="inlineStr">
        <is>
          <t>MEDECO</t>
        </is>
      </c>
      <c r="O767" s="1183" t="inlineStr">
        <is>
          <t>31/05/2026</t>
        </is>
      </c>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73"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75" t="n"/>
      <c r="E769" s="975" t="n"/>
      <c r="F769" s="998" t="n"/>
      <c r="G769" s="998" t="n"/>
      <c r="H769" s="975" t="n"/>
      <c r="I769" s="975" t="n"/>
      <c r="J769" s="975" t="n"/>
      <c r="K769" s="1189">
        <f>K763=L769</f>
        <v/>
      </c>
      <c r="L769" s="491">
        <f>SUM(L763:L768)</f>
        <v/>
      </c>
      <c r="M769" s="1190" t="inlineStr">
        <is>
          <t xml:space="preserve">“Verdadero” indica que la cantidad por lote, coincide con el saldo que inicia al mes siguiente. "Falso" no coinicide. </t>
        </is>
      </c>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413">
        <f>FEBRERO!K770</f>
        <v/>
      </c>
      <c r="E770" s="339">
        <f>H366</f>
        <v/>
      </c>
      <c r="F770" s="338" t="n">
        <v>0</v>
      </c>
      <c r="G770" s="338" t="n">
        <v>0</v>
      </c>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v>0</v>
      </c>
      <c r="AA770" s="648" t="n">
        <v>0</v>
      </c>
      <c r="AB770" s="649">
        <f>+Z770+AA770</f>
        <v/>
      </c>
      <c r="AC770" s="648" t="n">
        <v>0</v>
      </c>
      <c r="AD770" s="648" t="n">
        <v>0</v>
      </c>
      <c r="AE770" s="648" t="n">
        <v>0</v>
      </c>
      <c r="AF770" s="648" t="n">
        <v>0</v>
      </c>
      <c r="AG770" s="648" t="n">
        <v>0</v>
      </c>
      <c r="AH770" s="648" t="n">
        <v>0</v>
      </c>
      <c r="AI770" s="648" t="n">
        <v>0</v>
      </c>
      <c r="AJ770" s="648" t="n">
        <v>0</v>
      </c>
      <c r="AK770" s="648" t="n">
        <v>0</v>
      </c>
      <c r="AL770" s="648" t="n">
        <v>0</v>
      </c>
      <c r="AM770" s="421">
        <f>SUM(AB770:AL775)</f>
        <v/>
      </c>
      <c r="AN770" s="726" t="n"/>
      <c r="AU770" s="1240" t="n"/>
      <c r="AV770" s="1240" t="n"/>
    </row>
    <row r="771" ht="17.1" customHeight="1">
      <c r="A771" s="973" t="n"/>
      <c r="B771" s="971" t="n"/>
      <c r="C771" s="972" t="n"/>
      <c r="D771" s="973"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73"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73"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73"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73"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75" t="n"/>
      <c r="E776" s="975" t="n"/>
      <c r="F776" s="998" t="n"/>
      <c r="G776" s="998" t="n"/>
      <c r="H776" s="975" t="n"/>
      <c r="I776" s="975" t="n"/>
      <c r="J776" s="975" t="n"/>
      <c r="K776" s="1189">
        <f>K770=L776</f>
        <v/>
      </c>
      <c r="L776" s="491">
        <f>SUM(L770:L775)</f>
        <v/>
      </c>
      <c r="M776" s="1190" t="inlineStr">
        <is>
          <t xml:space="preserve">“Verdadero” indica que la cantidad por lote, coincide con el saldo que inicia al mes siguiente. "Falso" no coinicide. </t>
        </is>
      </c>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413">
        <f>FEBRERO!K777</f>
        <v/>
      </c>
      <c r="E777" s="339">
        <f>H373</f>
        <v/>
      </c>
      <c r="F777" s="338" t="n">
        <v>652</v>
      </c>
      <c r="G777" s="338" t="n">
        <v>31</v>
      </c>
      <c r="H777" s="576">
        <f>+F777+G777</f>
        <v/>
      </c>
      <c r="I777" s="340">
        <f>+AM777</f>
        <v/>
      </c>
      <c r="J777" s="341">
        <f>+H777+I777</f>
        <v/>
      </c>
      <c r="K777" s="584">
        <f>+(D777+E777)-(J777)</f>
        <v/>
      </c>
      <c r="L777" s="253" t="n"/>
      <c r="M777" s="254" t="n"/>
      <c r="N777" s="254" t="n"/>
      <c r="O777" s="1183" t="n"/>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v>6</v>
      </c>
      <c r="AA777" s="648" t="n">
        <v>0</v>
      </c>
      <c r="AB777" s="649">
        <f>+Z777+AA777</f>
        <v/>
      </c>
      <c r="AC777" s="648" t="n">
        <v>0</v>
      </c>
      <c r="AD777" s="648" t="n">
        <v>0</v>
      </c>
      <c r="AE777" s="648" t="n">
        <v>0</v>
      </c>
      <c r="AF777" s="648" t="n">
        <v>0</v>
      </c>
      <c r="AG777" s="648" t="n">
        <v>0</v>
      </c>
      <c r="AH777" s="648" t="n">
        <v>0</v>
      </c>
      <c r="AI777" s="648" t="n">
        <v>0</v>
      </c>
      <c r="AJ777" s="648" t="n">
        <v>0</v>
      </c>
      <c r="AK777" s="648" t="n">
        <v>0</v>
      </c>
      <c r="AL777" s="648" t="n">
        <v>0</v>
      </c>
      <c r="AM777" s="382">
        <f>SUM(AB777:AL777)</f>
        <v/>
      </c>
      <c r="AN777" s="726" t="n"/>
      <c r="AU777" s="1240" t="n"/>
      <c r="AV777" s="1240" t="n"/>
    </row>
    <row r="778" ht="30" customHeight="1">
      <c r="A778" s="585">
        <f>A777+1</f>
        <v/>
      </c>
      <c r="B778" s="629" t="inlineStr">
        <is>
          <t>Carnet de vacunación adultos</t>
        </is>
      </c>
      <c r="C778" s="967" t="n"/>
      <c r="D778" s="413">
        <f>FEBRERO!K778</f>
        <v/>
      </c>
      <c r="E778" s="339">
        <f>H374</f>
        <v/>
      </c>
      <c r="F778" s="338" t="n">
        <v>3868</v>
      </c>
      <c r="G778" s="338" t="n">
        <v>165</v>
      </c>
      <c r="H778" s="576">
        <f>+F778+G778</f>
        <v/>
      </c>
      <c r="I778" s="340">
        <f>+AM778</f>
        <v/>
      </c>
      <c r="J778" s="341">
        <f>+H778+I778</f>
        <v/>
      </c>
      <c r="K778" s="584">
        <f>+(D778+E778)-(J778)</f>
        <v/>
      </c>
      <c r="L778" s="253" t="n"/>
      <c r="M778" s="254" t="n"/>
      <c r="N778" s="254" t="n"/>
      <c r="O778" s="1183" t="n"/>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v>1</v>
      </c>
      <c r="AA778" s="648" t="n">
        <v>0</v>
      </c>
      <c r="AB778" s="649">
        <f>+Z778+AA778</f>
        <v/>
      </c>
      <c r="AC778" s="648" t="n">
        <v>0</v>
      </c>
      <c r="AD778" s="648" t="n">
        <v>0</v>
      </c>
      <c r="AE778" s="648" t="n">
        <v>0</v>
      </c>
      <c r="AF778" s="648" t="n">
        <v>0</v>
      </c>
      <c r="AG778" s="648" t="n">
        <v>0</v>
      </c>
      <c r="AH778" s="648" t="n">
        <v>0</v>
      </c>
      <c r="AI778" s="648" t="n">
        <v>0</v>
      </c>
      <c r="AJ778" s="648" t="n">
        <v>0</v>
      </c>
      <c r="AK778" s="648" t="n">
        <v>0</v>
      </c>
      <c r="AL778" s="648" t="n">
        <v>0</v>
      </c>
      <c r="AM778" s="382">
        <f>SUM(AB778:AL778)</f>
        <v/>
      </c>
      <c r="AN778" s="726" t="n"/>
      <c r="AU778" s="1240" t="n"/>
      <c r="AV778" s="1240" t="n"/>
    </row>
    <row r="779" ht="30" customHeight="1">
      <c r="A779" s="585">
        <f>A778+1</f>
        <v/>
      </c>
      <c r="B779" s="629" t="inlineStr">
        <is>
          <t>Carnet/Certificado de vacunación (Covid-19)</t>
        </is>
      </c>
      <c r="C779" s="967" t="n"/>
      <c r="D779" s="413">
        <f>FEBRERO!K779</f>
        <v/>
      </c>
      <c r="E779" s="339">
        <f>H375</f>
        <v/>
      </c>
      <c r="F779" s="338" t="n">
        <v>20</v>
      </c>
      <c r="G779" s="338" t="n">
        <v>44</v>
      </c>
      <c r="H779" s="576">
        <f>+F779+G779</f>
        <v/>
      </c>
      <c r="I779" s="340">
        <f>+AM779</f>
        <v/>
      </c>
      <c r="J779" s="341">
        <f>+H779+I779</f>
        <v/>
      </c>
      <c r="K779" s="584">
        <f>+(D779+E779)-(J779)</f>
        <v/>
      </c>
      <c r="L779" s="253" t="n"/>
      <c r="M779" s="254" t="n"/>
      <c r="N779" s="254" t="n"/>
      <c r="O779" s="1183" t="n"/>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v>0</v>
      </c>
      <c r="AA779" s="648" t="n">
        <v>0</v>
      </c>
      <c r="AB779" s="649">
        <f>+Z779+AA779</f>
        <v/>
      </c>
      <c r="AC779" s="648" t="n">
        <v>0</v>
      </c>
      <c r="AD779" s="648" t="n">
        <v>0</v>
      </c>
      <c r="AE779" s="648" t="n">
        <v>0</v>
      </c>
      <c r="AF779" s="648" t="n">
        <v>0</v>
      </c>
      <c r="AG779" s="648" t="n">
        <v>0</v>
      </c>
      <c r="AH779" s="648" t="n">
        <v>0</v>
      </c>
      <c r="AI779" s="648" t="n">
        <v>0</v>
      </c>
      <c r="AJ779" s="648" t="n">
        <v>0</v>
      </c>
      <c r="AK779" s="648" t="n">
        <v>0</v>
      </c>
      <c r="AL779" s="648" t="n">
        <v>0</v>
      </c>
      <c r="AM779" s="382">
        <f>SUM(AB779:AL779)</f>
        <v/>
      </c>
      <c r="AN779" s="726" t="n"/>
      <c r="AU779" s="1240" t="n"/>
      <c r="AV779" s="1240" t="n"/>
    </row>
    <row r="780" ht="30" customHeight="1">
      <c r="A780" s="585">
        <f>A779+1</f>
        <v/>
      </c>
      <c r="B780" s="629" t="inlineStr">
        <is>
          <t>Carne/certificado internacional de vacunación</t>
        </is>
      </c>
      <c r="C780" s="967" t="n"/>
      <c r="D780" s="413">
        <f>FEBRERO!K780</f>
        <v/>
      </c>
      <c r="E780" s="339">
        <f>H376</f>
        <v/>
      </c>
      <c r="F780" s="338" t="n">
        <v>703</v>
      </c>
      <c r="G780" s="338" t="n">
        <v>7</v>
      </c>
      <c r="H780" s="576">
        <f>+F780+G780</f>
        <v/>
      </c>
      <c r="I780" s="340">
        <f>+AM780</f>
        <v/>
      </c>
      <c r="J780" s="341">
        <f>+H780+I780</f>
        <v/>
      </c>
      <c r="K780" s="584">
        <f>+(D780+E780)-(J780)</f>
        <v/>
      </c>
      <c r="L780" s="253" t="n"/>
      <c r="M780" s="254" t="n"/>
      <c r="N780" s="254" t="n"/>
      <c r="O780" s="1183" t="n"/>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v>1</v>
      </c>
      <c r="AA780" s="648" t="n">
        <v>0</v>
      </c>
      <c r="AB780" s="649">
        <f>+Z780+AA780</f>
        <v/>
      </c>
      <c r="AC780" s="648" t="n">
        <v>0</v>
      </c>
      <c r="AD780" s="648" t="n">
        <v>0</v>
      </c>
      <c r="AE780" s="648" t="n">
        <v>0</v>
      </c>
      <c r="AF780" s="648" t="n">
        <v>0</v>
      </c>
      <c r="AG780" s="648" t="n">
        <v>0</v>
      </c>
      <c r="AH780" s="648" t="n">
        <v>0</v>
      </c>
      <c r="AI780" s="648" t="n">
        <v>0</v>
      </c>
      <c r="AJ780" s="648" t="n">
        <v>0</v>
      </c>
      <c r="AK780" s="648" t="n">
        <v>0</v>
      </c>
      <c r="AL780" s="648" t="n">
        <v>0</v>
      </c>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413">
        <f>FEBRERO!K781</f>
        <v/>
      </c>
      <c r="E781" s="339">
        <f>H377</f>
        <v/>
      </c>
      <c r="F781" s="338" t="n">
        <v>0</v>
      </c>
      <c r="G781" s="338" t="n">
        <v>0</v>
      </c>
      <c r="H781" s="576">
        <f>+F781+G781</f>
        <v/>
      </c>
      <c r="I781" s="340">
        <f>+AM781</f>
        <v/>
      </c>
      <c r="J781" s="341">
        <f>+H781+I781</f>
        <v/>
      </c>
      <c r="K781" s="584">
        <f>+(D781+E781)-(J781)</f>
        <v/>
      </c>
      <c r="L781" s="253" t="n"/>
      <c r="M781" s="254" t="n"/>
      <c r="N781" s="254" t="n"/>
      <c r="O781" s="1183" t="n"/>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v>0</v>
      </c>
      <c r="AA781" s="648" t="n">
        <v>0</v>
      </c>
      <c r="AB781" s="649">
        <f>+Z781+AA781</f>
        <v/>
      </c>
      <c r="AC781" s="648" t="n">
        <v>0</v>
      </c>
      <c r="AD781" s="648" t="n">
        <v>0</v>
      </c>
      <c r="AE781" s="648" t="n">
        <v>0</v>
      </c>
      <c r="AF781" s="648" t="n">
        <v>0</v>
      </c>
      <c r="AG781" s="648" t="n">
        <v>0</v>
      </c>
      <c r="AH781" s="648" t="n">
        <v>0</v>
      </c>
      <c r="AI781" s="648" t="n">
        <v>0</v>
      </c>
      <c r="AJ781" s="648" t="n">
        <v>0</v>
      </c>
      <c r="AK781" s="648" t="n">
        <v>0</v>
      </c>
      <c r="AL781" s="648" t="n">
        <v>0</v>
      </c>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413">
        <f>FEBRERO!K782</f>
        <v/>
      </c>
      <c r="E782" s="339">
        <f>H378</f>
        <v/>
      </c>
      <c r="F782" s="338" t="n">
        <v>1</v>
      </c>
      <c r="G782" s="338" t="n">
        <v>0</v>
      </c>
      <c r="H782" s="576">
        <f>+F782+G782</f>
        <v/>
      </c>
      <c r="I782" s="340">
        <f>+AM782</f>
        <v/>
      </c>
      <c r="J782" s="341">
        <f>+H782+I782</f>
        <v/>
      </c>
      <c r="K782" s="584">
        <f>+(D782+E782)-(J782)</f>
        <v/>
      </c>
      <c r="L782" s="253" t="n"/>
      <c r="M782" s="254" t="n"/>
      <c r="N782" s="254" t="n"/>
      <c r="O782" s="1183" t="n"/>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v>0</v>
      </c>
      <c r="AA782" s="648" t="n">
        <v>0</v>
      </c>
      <c r="AB782" s="649">
        <f>+Z782+AA782</f>
        <v/>
      </c>
      <c r="AC782" s="648" t="n">
        <v>0</v>
      </c>
      <c r="AD782" s="648" t="n">
        <v>0</v>
      </c>
      <c r="AE782" s="648" t="n">
        <v>0</v>
      </c>
      <c r="AF782" s="648" t="n">
        <v>0</v>
      </c>
      <c r="AG782" s="648" t="n">
        <v>0</v>
      </c>
      <c r="AH782" s="648" t="n">
        <v>0</v>
      </c>
      <c r="AI782" s="648" t="n">
        <v>0</v>
      </c>
      <c r="AJ782" s="648" t="n">
        <v>0</v>
      </c>
      <c r="AK782" s="648" t="n">
        <v>0</v>
      </c>
      <c r="AL782" s="648" t="n">
        <v>0</v>
      </c>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413">
        <f>FEBRERO!K783</f>
        <v/>
      </c>
      <c r="E783" s="339">
        <f>H379</f>
        <v/>
      </c>
      <c r="F783" s="338" t="n">
        <v>0</v>
      </c>
      <c r="G783" s="338" t="n">
        <v>0</v>
      </c>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v>0</v>
      </c>
      <c r="AA783" s="648" t="n">
        <v>0</v>
      </c>
      <c r="AB783" s="649">
        <f>+Z783+AA783</f>
        <v/>
      </c>
      <c r="AC783" s="648" t="n">
        <v>0</v>
      </c>
      <c r="AD783" s="648" t="n">
        <v>0</v>
      </c>
      <c r="AE783" s="648" t="n">
        <v>0</v>
      </c>
      <c r="AF783" s="648" t="n">
        <v>0</v>
      </c>
      <c r="AG783" s="648" t="n">
        <v>0</v>
      </c>
      <c r="AH783" s="648" t="n">
        <v>0</v>
      </c>
      <c r="AI783" s="648" t="n">
        <v>0</v>
      </c>
      <c r="AJ783" s="648" t="n">
        <v>0</v>
      </c>
      <c r="AK783" s="648" t="n">
        <v>0</v>
      </c>
      <c r="AL783" s="648" t="n">
        <v>0</v>
      </c>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569" t="inlineStr">
        <is>
          <t>ÍTEM</t>
        </is>
      </c>
      <c r="B785" s="569" t="inlineStr">
        <is>
          <t>VACUNA COVID-19</t>
        </is>
      </c>
      <c r="C785" s="965" t="n"/>
      <c r="D785" s="1231" t="inlineStr">
        <is>
          <t>SALDO MES ANTERIOR</t>
        </is>
      </c>
      <c r="E785" s="961" t="inlineStr">
        <is>
          <t>BIOLÓGICO RECIBIDO DEL CENTRO DE ACOPIO DEPARTAMENTAL / DISTRITAL</t>
        </is>
      </c>
      <c r="F785" s="1231" t="inlineStr">
        <is>
          <t>DOSIS APLICADAS</t>
        </is>
      </c>
      <c r="G785" s="967" t="n"/>
      <c r="H785" s="1232" t="inlineStr">
        <is>
          <t>TOTAL DOSIS APLICADAS</t>
        </is>
      </c>
      <c r="I785" s="961" t="inlineStr">
        <is>
          <t>DOSIS PERDIDAS</t>
        </is>
      </c>
      <c r="J785" s="1231" t="inlineStr">
        <is>
          <t>TOTAL DOSIS ÚTILIZADAS EN EL MES</t>
        </is>
      </c>
      <c r="K785" s="623" t="inlineStr">
        <is>
          <t>SALDO QUE INICIA EL MES SIGUIENTE (SOLO MUNICIPIOS)</t>
        </is>
      </c>
      <c r="L785" s="623" t="n"/>
      <c r="M785" s="623" t="n"/>
      <c r="N785" s="623" t="n"/>
      <c r="O785" s="623" t="n"/>
      <c r="P785" s="623" t="inlineStr">
        <is>
          <t>SEMAFORIZACION VIDA  ÚTIL DEL BIOLÓGICO</t>
        </is>
      </c>
      <c r="Q785" s="623" t="inlineStr">
        <is>
          <t>CONDICIÓN FINAL DEL BIOLÓGICO, DILUYENTE Y CARNET</t>
        </is>
      </c>
      <c r="R785" s="613" t="inlineStr">
        <is>
          <t>DOSIS EN CUARENTENA</t>
        </is>
      </c>
      <c r="S785" s="613" t="inlineStr">
        <is>
          <t>LABORATORIO</t>
        </is>
      </c>
      <c r="T785" s="613" t="inlineStr">
        <is>
          <t>No. LOTE</t>
        </is>
      </c>
      <c r="U785" s="613" t="inlineStr">
        <is>
          <t>FECHA DE VENCIMEINTO</t>
        </is>
      </c>
      <c r="V785" s="613" t="inlineStr">
        <is>
          <t>FECHA DE INICIO CUARENTENA</t>
        </is>
      </c>
      <c r="W785" s="613" t="inlineStr">
        <is>
          <t>OBSERVACIONES</t>
        </is>
      </c>
      <c r="X785" s="351" t="n"/>
      <c r="Y785" s="232" t="n"/>
      <c r="Z785" s="1221" t="inlineStr">
        <is>
          <t>MOTIVOS DE NO USO DE VACUNAS CONTRA LA COVID-19
RESOLUCIÓN 0118 DEL 27 DE ENERO DE 2026
DISPONIBLE EN EL SIGUIENTE LINK: https://www.minsalud.gov.co/Normatividad_Nuevo/Resolucion%20No%20118%20de%202026.pdf</t>
        </is>
      </c>
      <c r="AA785" s="968" t="n"/>
      <c r="AB785" s="968" t="n"/>
      <c r="AC785" s="968" t="n"/>
      <c r="AD785" s="968" t="n"/>
      <c r="AE785" s="968" t="n"/>
      <c r="AF785" s="968" t="n"/>
      <c r="AG785" s="968" t="n"/>
      <c r="AH785" s="968" t="n"/>
      <c r="AI785" s="968" t="n"/>
      <c r="AJ785" s="968" t="n"/>
      <c r="AK785" s="968" t="n"/>
      <c r="AL785" s="967" t="n"/>
      <c r="AM785" s="532" t="inlineStr">
        <is>
          <t xml:space="preserve">TOTAL DOSIS PERDIDAS        </t>
        </is>
      </c>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inlineStr">
        <is>
          <t>POLÍTICA DE FRASCOS ABIERTO</t>
        </is>
      </c>
      <c r="AA787" s="967" t="n"/>
      <c r="AB787" s="1222" t="inlineStr">
        <is>
          <t>INTERRUPCIÓN DE LA CADENA DE FRÍO</t>
        </is>
      </c>
      <c r="AC787" s="537" t="inlineStr">
        <is>
          <t>CONTAMINACIÓN DEL BIOLÓGICO</t>
        </is>
      </c>
      <c r="AD787" s="1222" t="inlineStr">
        <is>
          <t>ERROR EN LA MANIPULACIÓN</t>
        </is>
      </c>
      <c r="AE787" s="537" t="inlineStr">
        <is>
          <t>ERROR EN LA RECONSTITUCIÓN/DILUCIÓN</t>
        </is>
      </c>
      <c r="AF787" s="1222" t="inlineStr">
        <is>
          <t>ERROR EN LA DOSIFICACIÓN</t>
        </is>
      </c>
      <c r="AG787" s="537" t="inlineStr">
        <is>
          <t>VACUNA QUE EXCEDE EL TIEMPO DE ALMACENAMIENTO EN REFRIGERACIÓN</t>
        </is>
      </c>
      <c r="AH787" s="1222" t="inlineStr">
        <is>
          <t>VENCIMIENTO DEL BIOLÓGICO</t>
        </is>
      </c>
      <c r="AI787" s="537" t="inlineStr">
        <is>
          <t>FRASCO VIAL ROTO</t>
        </is>
      </c>
      <c r="AJ787" s="1222" t="inlineStr">
        <is>
          <t>FALLAS DE FABRICACIÓN/CALIDAD</t>
        </is>
      </c>
      <c r="AK787" s="537" t="inlineStr">
        <is>
          <t>SINIESTRO / ACCIDENTE</t>
        </is>
      </c>
      <c r="AL787" s="1222" t="inlineStr">
        <is>
          <t>ROBO/HURTO BIOLÓGICO</t>
        </is>
      </c>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inlineStr">
        <is>
          <t>INSTITUCIONAL</t>
        </is>
      </c>
      <c r="AA788" s="497" t="inlineStr">
        <is>
          <t>EXTRAMURAL</t>
        </is>
      </c>
      <c r="AB788" s="975" t="n"/>
      <c r="AC788" s="975" t="n"/>
      <c r="AD788" s="975" t="n"/>
      <c r="AE788" s="975" t="n"/>
      <c r="AF788" s="975" t="n"/>
      <c r="AG788" s="975" t="n"/>
      <c r="AH788" s="975" t="n"/>
      <c r="AI788" s="975" t="n"/>
      <c r="AJ788" s="975" t="n"/>
      <c r="AK788" s="975" t="n"/>
      <c r="AL788" s="975" t="n"/>
      <c r="AM788" s="975" t="n"/>
      <c r="AN788" s="368" t="n"/>
      <c r="AO788" s="368" t="n"/>
      <c r="AP788" s="416" t="n"/>
      <c r="AQ788" s="546" t="inlineStr">
        <is>
          <t>PORCENTAJE DE PERDIDA DEL MES
%</t>
        </is>
      </c>
      <c r="AR788" s="546" t="inlineStr">
        <is>
          <t>FACTOR DE PERDIDA DEL MES</t>
        </is>
      </c>
      <c r="AS788" s="420" t="inlineStr">
        <is>
          <t>% DE PERDIDA DEL MSPS</t>
        </is>
      </c>
      <c r="AT788" s="420" t="inlineStr">
        <is>
          <t>DOSIS POR VIAL</t>
        </is>
      </c>
      <c r="AV788" s="1240" t="n"/>
      <c r="AW788" s="1240" t="n"/>
    </row>
    <row r="789" ht="19.5" customHeight="1">
      <c r="A789" s="585" t="n">
        <v>1</v>
      </c>
      <c r="B789" s="1249" t="inlineStr">
        <is>
          <t>MODERNA ADULTO</t>
        </is>
      </c>
      <c r="C789" s="965" t="n"/>
      <c r="D789" s="496">
        <f>FEBRERO!K789</f>
        <v/>
      </c>
      <c r="E789" s="339">
        <f>H385</f>
        <v/>
      </c>
      <c r="F789" s="731" t="n">
        <v>0</v>
      </c>
      <c r="G789" s="731" t="n">
        <v>0</v>
      </c>
      <c r="H789" s="1235">
        <f>SUM(F789,G789)</f>
        <v/>
      </c>
      <c r="I789" s="340">
        <f>+AM789</f>
        <v/>
      </c>
      <c r="J789" s="341">
        <f>+H789+I789</f>
        <v/>
      </c>
      <c r="K789" s="583">
        <f>+(D789+E789)-(J789)</f>
        <v/>
      </c>
      <c r="L789" s="486" t="n"/>
      <c r="M789" s="487" t="n"/>
      <c r="N789" s="487" t="n"/>
      <c r="O789" s="1223" t="n"/>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v>0</v>
      </c>
      <c r="AA789" s="648" t="n">
        <v>0</v>
      </c>
      <c r="AB789" s="648" t="n"/>
      <c r="AC789" s="648" t="n">
        <v>0</v>
      </c>
      <c r="AD789" s="648" t="n">
        <v>0</v>
      </c>
      <c r="AE789" s="648" t="n">
        <v>0</v>
      </c>
      <c r="AF789" s="648" t="n">
        <v>0</v>
      </c>
      <c r="AG789" s="648" t="n">
        <v>0</v>
      </c>
      <c r="AH789" s="648" t="n">
        <v>0</v>
      </c>
      <c r="AI789" s="648" t="n">
        <v>0</v>
      </c>
      <c r="AJ789" s="648" t="n">
        <v>0</v>
      </c>
      <c r="AK789" s="648" t="n">
        <v>0</v>
      </c>
      <c r="AL789" s="648" t="n">
        <v>0</v>
      </c>
      <c r="AM789" s="573">
        <f>SUM(Z789:AL792)</f>
        <v/>
      </c>
      <c r="AN789" s="693" t="n"/>
      <c r="AO789" s="485" t="n"/>
      <c r="AP789" s="416" t="n"/>
      <c r="AQ789" s="1238">
        <f>IFERROR(I789/J789*100,"0")</f>
        <v/>
      </c>
      <c r="AR789" s="1238">
        <f>IFERROR(1/(1-(AQ789/100)),"0")</f>
        <v/>
      </c>
      <c r="AS789" s="1238" t="n">
        <v>0</v>
      </c>
      <c r="AT789" s="345" t="n">
        <v>5</v>
      </c>
      <c r="AU789" s="1240" t="n"/>
      <c r="AV789" s="1240" t="n"/>
    </row>
    <row r="790" ht="19.5" customHeight="1">
      <c r="A790" s="973" t="n"/>
      <c r="B790" s="971" t="n"/>
      <c r="C790" s="972" t="n"/>
      <c r="D790" s="973"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73"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73"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75" t="n"/>
      <c r="E793" s="975" t="n"/>
      <c r="F793" s="998" t="n"/>
      <c r="G793" s="998" t="n"/>
      <c r="H793" s="975" t="n"/>
      <c r="I793" s="975" t="n"/>
      <c r="J793" s="975" t="n"/>
      <c r="K793" s="1189">
        <f>K789=L793</f>
        <v/>
      </c>
      <c r="L793" s="491">
        <f>SUM(L789:L792)</f>
        <v/>
      </c>
      <c r="M793" s="1190" t="n"/>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496">
        <f>FEBRERO!K794</f>
        <v/>
      </c>
      <c r="E794" s="339">
        <f>H390</f>
        <v/>
      </c>
      <c r="F794" s="731" t="n">
        <v>0</v>
      </c>
      <c r="G794" s="731" t="n">
        <v>0</v>
      </c>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v>0</v>
      </c>
      <c r="AA794" s="648" t="n">
        <v>0</v>
      </c>
      <c r="AB794" s="648" t="n"/>
      <c r="AC794" s="648" t="n">
        <v>0</v>
      </c>
      <c r="AD794" s="648" t="n">
        <v>0</v>
      </c>
      <c r="AE794" s="648" t="n">
        <v>0</v>
      </c>
      <c r="AF794" s="648" t="n">
        <v>0</v>
      </c>
      <c r="AG794" s="648" t="n">
        <v>0</v>
      </c>
      <c r="AH794" s="648" t="n">
        <v>0</v>
      </c>
      <c r="AI794" s="648" t="n">
        <v>0</v>
      </c>
      <c r="AJ794" s="648" t="n">
        <v>0</v>
      </c>
      <c r="AK794" s="648" t="n">
        <v>0</v>
      </c>
      <c r="AL794" s="648" t="n">
        <v>0</v>
      </c>
      <c r="AM794" s="573">
        <f>SUM(Z794:AL797)</f>
        <v/>
      </c>
      <c r="AN794" s="693" t="n"/>
      <c r="AO794" s="485" t="n"/>
      <c r="AP794" s="416" t="n"/>
      <c r="AQ794" s="1238">
        <f>IFERROR(I794/J794*100,"0")</f>
        <v/>
      </c>
      <c r="AR794" s="1238">
        <f>IFERROR(1/(1-(AQ794/100)),"0")</f>
        <v/>
      </c>
      <c r="AS794" s="1238" t="n">
        <v>0</v>
      </c>
      <c r="AT794" s="345" t="n">
        <v>10</v>
      </c>
      <c r="AU794" s="1240" t="n"/>
      <c r="AV794" s="1240" t="n"/>
    </row>
    <row r="795" ht="19.5" customHeight="1">
      <c r="A795" s="973" t="n"/>
      <c r="B795" s="971" t="n"/>
      <c r="C795" s="972" t="n"/>
      <c r="D795" s="973"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73"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73"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75" t="n"/>
      <c r="E798" s="975" t="n"/>
      <c r="F798" s="998" t="n"/>
      <c r="G798" s="998" t="n"/>
      <c r="H798" s="975" t="n"/>
      <c r="I798" s="975" t="n"/>
      <c r="J798" s="975" t="n"/>
      <c r="K798" s="1189">
        <f>K794=L798</f>
        <v/>
      </c>
      <c r="L798" s="491">
        <f>SUM(L794:L797)</f>
        <v/>
      </c>
      <c r="M798" s="1190" t="n"/>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496">
        <f>FEBRERO!K799</f>
        <v/>
      </c>
      <c r="E799" s="339">
        <f>H395</f>
        <v/>
      </c>
      <c r="F799" s="731" t="n">
        <v>96</v>
      </c>
      <c r="G799" s="731" t="n">
        <v>2</v>
      </c>
      <c r="H799" s="1235">
        <f>SUM(F799,G799)</f>
        <v/>
      </c>
      <c r="I799" s="340">
        <f>+AM799</f>
        <v/>
      </c>
      <c r="J799" s="341">
        <f>+H799+I799</f>
        <v/>
      </c>
      <c r="K799" s="583">
        <f>+(D799+E799)-(J799)</f>
        <v/>
      </c>
      <c r="L799" s="486" t="n"/>
      <c r="M799" s="487" t="n"/>
      <c r="N799" s="487" t="n"/>
      <c r="O799" s="1223" t="n"/>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v>45</v>
      </c>
      <c r="AA799" s="648" t="n">
        <v>0</v>
      </c>
      <c r="AB799" s="648" t="n"/>
      <c r="AC799" s="648" t="n">
        <v>0</v>
      </c>
      <c r="AD799" s="648" t="n">
        <v>0</v>
      </c>
      <c r="AE799" s="648" t="n">
        <v>0</v>
      </c>
      <c r="AF799" s="648" t="n">
        <v>0</v>
      </c>
      <c r="AG799" s="648" t="n">
        <v>0</v>
      </c>
      <c r="AH799" s="648">
        <f>150+378</f>
        <v/>
      </c>
      <c r="AI799" s="648" t="n">
        <v>0</v>
      </c>
      <c r="AJ799" s="648" t="n">
        <v>0</v>
      </c>
      <c r="AK799" s="648" t="n">
        <v>0</v>
      </c>
      <c r="AL799" s="648" t="n">
        <v>0</v>
      </c>
      <c r="AM799" s="573">
        <f>SUM(Z799:AL802)</f>
        <v/>
      </c>
      <c r="AN799" s="693" t="n"/>
      <c r="AO799" s="485" t="n"/>
      <c r="AP799" s="416" t="n"/>
      <c r="AQ799" s="1238">
        <f>IFERROR(I799/J799*100,"0")</f>
        <v/>
      </c>
      <c r="AR799" s="1238">
        <f>IFERROR(1/(1-(AQ799/100)),"0")</f>
        <v/>
      </c>
      <c r="AS799" s="1238" t="n">
        <v>0</v>
      </c>
      <c r="AT799" s="345" t="n">
        <v>6</v>
      </c>
      <c r="AU799" s="1240" t="n"/>
      <c r="AV799" s="1240" t="n"/>
    </row>
    <row r="800" ht="19.5" customHeight="1">
      <c r="A800" s="973" t="n"/>
      <c r="B800" s="971" t="n"/>
      <c r="C800" s="972" t="n"/>
      <c r="D800" s="973"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73"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73"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75" t="n"/>
      <c r="E803" s="975" t="n"/>
      <c r="F803" s="998" t="n"/>
      <c r="G803" s="998" t="n"/>
      <c r="H803" s="975" t="n"/>
      <c r="I803" s="975" t="n"/>
      <c r="J803" s="975" t="n"/>
      <c r="K803" s="1189">
        <f>K799=L803</f>
        <v/>
      </c>
      <c r="L803" s="491">
        <f>SUM(L799:L802)</f>
        <v/>
      </c>
      <c r="M803" s="1190" t="n"/>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496">
        <f>FEBRERO!K804</f>
        <v/>
      </c>
      <c r="E804" s="339">
        <f>H400</f>
        <v/>
      </c>
      <c r="F804" s="731" t="n">
        <v>0</v>
      </c>
      <c r="G804" s="731" t="n">
        <v>0</v>
      </c>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v>0</v>
      </c>
      <c r="AA804" s="648" t="n">
        <v>0</v>
      </c>
      <c r="AB804" s="648" t="n"/>
      <c r="AC804" s="648" t="n">
        <v>0</v>
      </c>
      <c r="AD804" s="648" t="n">
        <v>0</v>
      </c>
      <c r="AE804" s="648" t="n">
        <v>0</v>
      </c>
      <c r="AF804" s="648" t="n">
        <v>0</v>
      </c>
      <c r="AG804" s="648" t="n">
        <v>0</v>
      </c>
      <c r="AH804" s="648" t="n">
        <v>0</v>
      </c>
      <c r="AI804" s="648" t="n">
        <v>0</v>
      </c>
      <c r="AJ804" s="648" t="n">
        <v>0</v>
      </c>
      <c r="AK804" s="648" t="n">
        <v>0</v>
      </c>
      <c r="AL804" s="648" t="n">
        <v>0</v>
      </c>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73"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73"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73"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75" t="n"/>
      <c r="E808" s="975" t="n"/>
      <c r="F808" s="998" t="n"/>
      <c r="G808" s="998" t="n"/>
      <c r="H808" s="975" t="n"/>
      <c r="I808" s="975" t="n"/>
      <c r="J808" s="975" t="n"/>
      <c r="K808" s="1189">
        <f>K804=L808</f>
        <v/>
      </c>
      <c r="L808" s="491">
        <f>SUM(L804:L807)</f>
        <v/>
      </c>
      <c r="M808" s="1190" t="n"/>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496">
        <f>FEBRERO!K809</f>
        <v/>
      </c>
      <c r="E809" s="339">
        <f>H405</f>
        <v/>
      </c>
      <c r="F809" s="731" t="n">
        <v>0</v>
      </c>
      <c r="G809" s="731" t="n">
        <v>0</v>
      </c>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v>0</v>
      </c>
      <c r="AA809" s="648" t="n">
        <v>0</v>
      </c>
      <c r="AB809" s="648" t="n"/>
      <c r="AC809" s="648" t="n">
        <v>0</v>
      </c>
      <c r="AD809" s="648" t="n">
        <v>0</v>
      </c>
      <c r="AE809" s="648" t="n">
        <v>0</v>
      </c>
      <c r="AF809" s="648" t="n">
        <v>0</v>
      </c>
      <c r="AG809" s="648" t="n">
        <v>0</v>
      </c>
      <c r="AH809" s="648" t="n">
        <v>0</v>
      </c>
      <c r="AI809" s="648" t="n">
        <v>0</v>
      </c>
      <c r="AJ809" s="648" t="n">
        <v>0</v>
      </c>
      <c r="AK809" s="648" t="n">
        <v>0</v>
      </c>
      <c r="AL809" s="648" t="n">
        <v>0</v>
      </c>
      <c r="AM809" s="573">
        <f>SUM(Z809:AL812)</f>
        <v/>
      </c>
      <c r="AN809" s="693" t="n"/>
      <c r="AO809" s="485" t="n"/>
      <c r="AP809" s="416" t="n"/>
      <c r="AQ809" s="1238">
        <f>IFERROR(I809/J809*100,"0")</f>
        <v/>
      </c>
      <c r="AR809" s="1238">
        <f>IFERROR(1/(1-(AQ809/100)),"0")</f>
        <v/>
      </c>
      <c r="AS809" s="1238" t="n">
        <v>0</v>
      </c>
      <c r="AT809" s="345" t="n"/>
      <c r="AU809" s="1240" t="n"/>
      <c r="AV809" s="1240" t="n"/>
    </row>
    <row r="810" ht="19.5" customHeight="1">
      <c r="A810" s="973" t="n"/>
      <c r="B810" s="971" t="n"/>
      <c r="C810" s="972" t="n"/>
      <c r="D810" s="973"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73"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73"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75" t="n"/>
      <c r="E813" s="975" t="n"/>
      <c r="F813" s="998" t="n"/>
      <c r="G813" s="998" t="n"/>
      <c r="H813" s="975" t="n"/>
      <c r="I813" s="975" t="n"/>
      <c r="J813" s="975" t="n"/>
      <c r="K813" s="1189">
        <f>K809=L813</f>
        <v/>
      </c>
      <c r="L813" s="491">
        <f>SUM(L809:L812)</f>
        <v/>
      </c>
      <c r="M813" s="1190" t="n"/>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569" t="inlineStr">
        <is>
          <t>ÍTEM</t>
        </is>
      </c>
      <c r="B817" s="569" t="inlineStr">
        <is>
          <t>INSUMOS</t>
        </is>
      </c>
      <c r="C817" s="965" t="n"/>
      <c r="D817" s="552" t="inlineStr">
        <is>
          <t>SALDO MES ANTERIOR</t>
        </is>
      </c>
      <c r="E817" s="961" t="inlineStr">
        <is>
          <t xml:space="preserve">BIOLÓGICO RECIBIDO POR MSPS O ET </t>
        </is>
      </c>
      <c r="F817" s="545" t="inlineStr">
        <is>
          <t>DOSIS APLICADAS</t>
        </is>
      </c>
      <c r="G817" s="967" t="n"/>
      <c r="H817" s="1232" t="inlineStr">
        <is>
          <t>TOTAL DE DOSIS APLICADAS</t>
        </is>
      </c>
      <c r="I817" s="961" t="inlineStr">
        <is>
          <t>DOSIS PERDIDAS</t>
        </is>
      </c>
      <c r="J817" s="1231" t="inlineStr">
        <is>
          <t>TOTAL DE DOSIS UTILIZADAS EN EL MES</t>
        </is>
      </c>
      <c r="K817" s="961" t="inlineStr">
        <is>
          <t>DOSIS TRASLADADAS A OTROS DEPARTAMENTOS, DISTRITOS O RETORNO AL MSPS</t>
        </is>
      </c>
      <c r="L817" s="1253" t="inlineStr">
        <is>
          <t xml:space="preserve">TOTAL SALDO QUE INICIA EL MES </t>
        </is>
      </c>
      <c r="M817" s="1232" t="inlineStr">
        <is>
          <t xml:space="preserve">SALDO CON QUE EL CA DEPARTAMENTAL INICIA </t>
        </is>
      </c>
      <c r="N817" s="1231" t="inlineStr">
        <is>
          <t xml:space="preserve">SALDO CON QUE LOS MUNICIPIOS O IPS INICIAN </t>
        </is>
      </c>
      <c r="O817" s="1232" t="inlineStr">
        <is>
          <t>MESES DISPONIBLES SEGÚN DOSIS UTILIZADAS EN EL MES</t>
        </is>
      </c>
      <c r="P817" s="544" t="inlineStr">
        <is>
          <t>DOSIS EN CUARENTENA</t>
        </is>
      </c>
      <c r="Q817" s="544" t="inlineStr">
        <is>
          <t>LABORATORIO</t>
        </is>
      </c>
      <c r="R817" s="544" t="inlineStr">
        <is>
          <t>No. LOTE</t>
        </is>
      </c>
      <c r="S817" s="544" t="inlineStr">
        <is>
          <t>FECHA DE VENCIMEINTO</t>
        </is>
      </c>
      <c r="T817" s="544" t="inlineStr">
        <is>
          <t>CONDICIÓN FINAL DEL BIOLÓGICO O INSUMO</t>
        </is>
      </c>
      <c r="U817" s="561" t="n"/>
      <c r="V817" s="1254" t="n"/>
      <c r="X817" s="366" t="n"/>
      <c r="Y817" s="232" t="n"/>
      <c r="Z817" s="400" t="inlineStr">
        <is>
          <t>CAUSAS PERDIDA DE BIOLÓGICOS (Remítase a la primera hoja donde se especifica la clasificación de las perdidas)</t>
        </is>
      </c>
      <c r="AA817" s="400" t="n"/>
      <c r="AB817" s="400" t="n"/>
      <c r="AC817" s="400" t="n"/>
      <c r="AD817" s="400" t="n"/>
      <c r="AE817" s="400" t="n"/>
      <c r="AF817" s="400" t="n"/>
      <c r="AG817" s="400" t="n"/>
      <c r="AH817" s="400" t="n"/>
      <c r="AI817" s="400" t="n"/>
      <c r="AJ817" s="400" t="n"/>
      <c r="AK817" s="400" t="n"/>
      <c r="AL817" s="400" t="n"/>
      <c r="AM817" s="1181" t="inlineStr">
        <is>
          <t xml:space="preserve">TOTAL DOSIS PERDIDAS        </t>
        </is>
      </c>
      <c r="AN817" s="367" t="n"/>
      <c r="AO817" s="368" t="n"/>
    </row>
    <row r="818" ht="21.75" customHeight="1">
      <c r="A818" s="973" t="n"/>
      <c r="B818" s="971" t="n"/>
      <c r="C818" s="972" t="n"/>
      <c r="D818" s="973" t="n"/>
      <c r="E818" s="973" t="n"/>
      <c r="F818" s="552" t="inlineStr">
        <is>
          <t>DOSIS APLICADAS
COLOMBIANOS</t>
        </is>
      </c>
      <c r="G818" s="552" t="inlineStr">
        <is>
          <t>DOSIS APLICADAS EXTRANJEROS</t>
        </is>
      </c>
      <c r="H818" s="973" t="n"/>
      <c r="I818" s="973" t="n"/>
      <c r="J818" s="973" t="n"/>
      <c r="K818" s="973" t="n"/>
      <c r="L818" s="973" t="n"/>
      <c r="M818" s="973" t="n"/>
      <c r="N818" s="973" t="n"/>
      <c r="O818" s="973" t="n"/>
      <c r="P818" s="973" t="n"/>
      <c r="Q818" s="973" t="n"/>
      <c r="R818" s="973" t="n"/>
      <c r="S818" s="973" t="n"/>
      <c r="T818" s="973" t="n"/>
      <c r="X818" s="366" t="n"/>
      <c r="Y818" s="232" t="n"/>
      <c r="Z818" s="533" t="n">
        <v>1</v>
      </c>
      <c r="AA818" s="968" t="n"/>
      <c r="AB818" s="967" t="n"/>
      <c r="AC818" s="330" t="n">
        <v>2</v>
      </c>
      <c r="AD818" s="566" t="n">
        <v>3</v>
      </c>
      <c r="AE818" s="533" t="n">
        <v>4</v>
      </c>
      <c r="AF818" s="566" t="n">
        <v>5</v>
      </c>
      <c r="AG818" s="533" t="n">
        <v>6</v>
      </c>
      <c r="AH818" s="566" t="n">
        <v>7</v>
      </c>
      <c r="AI818" s="533" t="n">
        <v>8</v>
      </c>
      <c r="AJ818" s="533" t="n">
        <v>9</v>
      </c>
      <c r="AK818" s="533" t="n">
        <v>10</v>
      </c>
      <c r="AL818" s="566" t="n">
        <v>11</v>
      </c>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X819" s="366" t="n"/>
      <c r="Y819" s="232" t="n"/>
      <c r="Z819" s="533" t="inlineStr">
        <is>
          <t>POLÍTICA DE FRASCOS ABIERTO</t>
        </is>
      </c>
      <c r="AA819" s="968" t="n"/>
      <c r="AB819" s="967" t="n"/>
      <c r="AC819" s="330" t="inlineStr">
        <is>
          <t>INTERRUPCIÓN DE CADENA DE FRÍO</t>
        </is>
      </c>
      <c r="AD819" s="566" t="inlineStr">
        <is>
          <t>CONTAMINACION DEL BIOLÓGICO/DISPOSITIVO MÉDICO</t>
        </is>
      </c>
      <c r="AE819" s="533" t="inlineStr">
        <is>
          <t>VIAL ROTO</t>
        </is>
      </c>
      <c r="AF819" s="566" t="inlineStr">
        <is>
          <t>ERRORES EN LA MANIPULACIÓN</t>
        </is>
      </c>
      <c r="AG819" s="533" t="inlineStr">
        <is>
          <t>VENCIMIENTO DEL BIOLÓGICO O JERINGA</t>
        </is>
      </c>
      <c r="AH819" s="566" t="inlineStr">
        <is>
          <t>FARMACOVIGILANCIA / TECNOVIGILANCIA</t>
        </is>
      </c>
      <c r="AI819" s="533" t="inlineStr">
        <is>
          <t>VOMITO FRANCO</t>
        </is>
      </c>
      <c r="AJ819" s="533" t="inlineStr">
        <is>
          <t>APLICACIÓN FUERA DE LA EDAD</t>
        </is>
      </c>
      <c r="AK819" s="533" t="inlineStr">
        <is>
          <t>POR DECISIÓN FINAL DEL PACIENTE DE NO VACUNACIÓN</t>
        </is>
      </c>
      <c r="AL819" s="566" t="inlineStr">
        <is>
          <t>SINIESTRO O ROBO</t>
        </is>
      </c>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X820" s="366" t="n"/>
      <c r="Y820" s="232" t="n"/>
      <c r="Z820" s="533" t="inlineStr">
        <is>
          <t>INSTITUCIONAL</t>
        </is>
      </c>
      <c r="AA820" s="533" t="inlineStr">
        <is>
          <t>EXTRAMURAL</t>
        </is>
      </c>
      <c r="AB820" s="533" t="inlineStr">
        <is>
          <t>TOTAL</t>
        </is>
      </c>
      <c r="AC820" s="975" t="n"/>
      <c r="AD820" s="975" t="n"/>
      <c r="AE820" s="975" t="n"/>
      <c r="AF820" s="975" t="n"/>
      <c r="AG820" s="975" t="n"/>
      <c r="AH820" s="975" t="n"/>
      <c r="AI820" s="975" t="n"/>
      <c r="AJ820" s="975" t="n"/>
      <c r="AK820" s="975" t="n"/>
      <c r="AL820" s="975" t="n"/>
      <c r="AM820" s="975" t="n"/>
      <c r="AN820" s="333" t="n"/>
      <c r="AO820" s="368" t="n"/>
      <c r="AQ820" s="370" t="inlineStr">
        <is>
          <t>PORCENTAJE DE PERDIDA DEL MES
%</t>
        </is>
      </c>
      <c r="AR820" s="370" t="inlineStr">
        <is>
          <t>FACTOR DE PERDIDA DEL MES</t>
        </is>
      </c>
      <c r="AS820" s="371" t="inlineStr">
        <is>
          <t>% DE PERDIDA DEL MSPS</t>
        </is>
      </c>
      <c r="AT820" s="371" t="inlineStr">
        <is>
          <t>DOSIS POR VIAL</t>
        </is>
      </c>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v>65</v>
      </c>
      <c r="AT821" s="345" t="n">
        <v>10</v>
      </c>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v>0</v>
      </c>
      <c r="AT823" s="345" t="n">
        <v>0</v>
      </c>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v>15</v>
      </c>
      <c r="AT824" s="345" t="n">
        <v>5</v>
      </c>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v>0</v>
      </c>
      <c r="AT825" s="345" t="n">
        <v>0</v>
      </c>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v>0</v>
      </c>
      <c r="AT826" s="345" t="n">
        <v>0</v>
      </c>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v>0</v>
      </c>
      <c r="AT827" s="345" t="n">
        <v>0</v>
      </c>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v>0</v>
      </c>
      <c r="AT829" s="345" t="n">
        <v>1</v>
      </c>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v>0</v>
      </c>
      <c r="AT830" s="345" t="n">
        <v>1</v>
      </c>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v>0</v>
      </c>
      <c r="AT831" s="345" t="n">
        <v>1</v>
      </c>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v>0</v>
      </c>
      <c r="AT832" s="345" t="n">
        <v>1</v>
      </c>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v>0</v>
      </c>
      <c r="AT833" s="345" t="n">
        <v>1</v>
      </c>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v>0</v>
      </c>
      <c r="AT835" s="345" t="n">
        <v>1</v>
      </c>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v>0</v>
      </c>
      <c r="AT836" s="345" t="n">
        <v>1</v>
      </c>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v>0</v>
      </c>
      <c r="AT837" s="345" t="n">
        <v>1</v>
      </c>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v>25</v>
      </c>
      <c r="AT838" s="345" t="n">
        <v>5</v>
      </c>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v>0</v>
      </c>
      <c r="AT839" s="345" t="n">
        <v>1</v>
      </c>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v>70</v>
      </c>
      <c r="AT841" s="345" t="n">
        <v>10</v>
      </c>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v>0</v>
      </c>
      <c r="AT842" s="345" t="n">
        <v>1</v>
      </c>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v>0</v>
      </c>
      <c r="AT843" s="345" t="n">
        <v>1</v>
      </c>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v>0</v>
      </c>
      <c r="AT844" s="345" t="n">
        <v>1</v>
      </c>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v>10</v>
      </c>
      <c r="AT845" s="345" t="n">
        <v>10</v>
      </c>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v>10</v>
      </c>
      <c r="AT847" s="345" t="n">
        <v>20</v>
      </c>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v>10</v>
      </c>
      <c r="AT848" s="345" t="n">
        <v>10</v>
      </c>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v>0</v>
      </c>
      <c r="AT849" s="345" t="n">
        <v>1</v>
      </c>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v>0</v>
      </c>
      <c r="AT850" s="345" t="n">
        <v>1</v>
      </c>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v>0</v>
      </c>
      <c r="AT851" s="345" t="n">
        <v>1</v>
      </c>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v>0</v>
      </c>
      <c r="AT853" s="345" t="n">
        <v>1</v>
      </c>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v>0</v>
      </c>
      <c r="AT854" s="345" t="n">
        <v>1</v>
      </c>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v>0</v>
      </c>
      <c r="AT855" s="345" t="n">
        <v>1</v>
      </c>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v>0</v>
      </c>
      <c r="AT856" s="345" t="n">
        <v>1</v>
      </c>
    </row>
    <row r="857" ht="28.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7"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inlineStr">
        <is>
          <t>SALDO MES ANTERIOR</t>
        </is>
      </c>
      <c r="E889" s="961" t="inlineStr">
        <is>
          <t xml:space="preserve">BIOLÓGICO RECIBIDO POR MSPS O ET </t>
        </is>
      </c>
      <c r="F889" s="545" t="inlineStr">
        <is>
          <t>DOSIS APLICADAS</t>
        </is>
      </c>
      <c r="G889" s="967" t="n"/>
      <c r="H889" s="1232" t="inlineStr">
        <is>
          <t>TOTAL DE DOSIS APLICADAS</t>
        </is>
      </c>
      <c r="I889" s="961" t="inlineStr">
        <is>
          <t>DOSIS PERDIDAS</t>
        </is>
      </c>
      <c r="J889" s="1231" t="inlineStr">
        <is>
          <t>TOTAL DE DOSIS UTILIZADAS EN EL MES</t>
        </is>
      </c>
      <c r="K889" s="961" t="inlineStr">
        <is>
          <t>DOSIS TRASLADADAS A OTROS DEPARTAMENTOS, DISTRITOS O RETORNO AL MSPS</t>
        </is>
      </c>
      <c r="L889" s="1253" t="inlineStr">
        <is>
          <t xml:space="preserve">TOTAL SALDO QUE INICIA EL MES </t>
        </is>
      </c>
      <c r="M889" s="1232" t="inlineStr">
        <is>
          <t xml:space="preserve">SALDO CON QUE EL CA DEPARTAMENTAL INICIA </t>
        </is>
      </c>
      <c r="N889" s="1231" t="inlineStr">
        <is>
          <t xml:space="preserve">SALDO CON QUE LOS MUNICIPIOS O IPS INICIAN </t>
        </is>
      </c>
      <c r="O889" s="1232" t="inlineStr">
        <is>
          <t>MESES DISPONIBLES SEGÚN DOSIS UTILIZADAS EN EL MES</t>
        </is>
      </c>
      <c r="P889" s="544" t="inlineStr">
        <is>
          <t>DOSIS EN CUARENTENA</t>
        </is>
      </c>
      <c r="Q889" s="544" t="inlineStr">
        <is>
          <t>LABORATORIO</t>
        </is>
      </c>
      <c r="R889" s="544" t="inlineStr">
        <is>
          <t>No. LOTE</t>
        </is>
      </c>
      <c r="S889" s="544" t="inlineStr">
        <is>
          <t>FECHA DE VENCIMEINTO</t>
        </is>
      </c>
      <c r="T889" s="544" t="inlineStr">
        <is>
          <t>CONDICIÓN FINAL DEL BIOLÓGICO O INSUMO</t>
        </is>
      </c>
      <c r="U889" s="561" t="n"/>
      <c r="V889" s="1254" t="n"/>
      <c r="Y889" s="232" t="n"/>
      <c r="Z889" s="1221" t="inlineStr">
        <is>
          <t>MOTIVOS DE NO USO DE VACUNAS CONTRA LA COVID-19
RESOLUCIÓN 0118 DEL 27 DE ENERO DE 2026
DISPONIBLE EN EL SIGUIENTE LINK: https://www.minsalud.gov.co/Normatividad_Nuevo/Resolucion%20No%20118%20de%202026.pdf</t>
        </is>
      </c>
      <c r="AA889" s="968" t="n"/>
      <c r="AB889" s="968" t="n"/>
      <c r="AC889" s="968" t="n"/>
      <c r="AD889" s="968" t="n"/>
      <c r="AE889" s="968" t="n"/>
      <c r="AF889" s="968" t="n"/>
      <c r="AG889" s="968" t="n"/>
      <c r="AH889" s="968" t="n"/>
      <c r="AI889" s="968" t="n"/>
      <c r="AJ889" s="968" t="n"/>
      <c r="AK889" s="968" t="n"/>
      <c r="AL889" s="967" t="n"/>
      <c r="AM889" s="532" t="inlineStr">
        <is>
          <t xml:space="preserve">TOTAL DOSIS PERDIDAS        </t>
        </is>
      </c>
      <c r="AP889" s="416" t="n"/>
      <c r="AQ889" s="416" t="n"/>
      <c r="AR889" s="416" t="n"/>
      <c r="AS889" s="416" t="n"/>
      <c r="AT889" s="416" t="n"/>
      <c r="AU889" s="1240" t="n"/>
      <c r="AV889" s="1240" t="n"/>
    </row>
    <row r="890" ht="22.5" customHeight="1">
      <c r="A890" s="971" t="n"/>
      <c r="C890" s="972" t="n"/>
      <c r="D890" s="973" t="n"/>
      <c r="E890" s="973" t="n"/>
      <c r="F890" s="552" t="inlineStr">
        <is>
          <t>DOSIS APLICADAS
COLOMBIANOS</t>
        </is>
      </c>
      <c r="G890" s="552" t="inlineStr">
        <is>
          <t>DOSIS APLICADAS EXTRANJEROS</t>
        </is>
      </c>
      <c r="H890" s="973" t="n"/>
      <c r="I890" s="973" t="n"/>
      <c r="J890" s="973" t="n"/>
      <c r="K890" s="973" t="n"/>
      <c r="L890" s="973" t="n"/>
      <c r="M890" s="973" t="n"/>
      <c r="N890" s="973" t="n"/>
      <c r="O890" s="973" t="n"/>
      <c r="P890" s="973" t="n"/>
      <c r="Q890" s="973" t="n"/>
      <c r="R890" s="973" t="n"/>
      <c r="S890" s="973" t="n"/>
      <c r="T890" s="973" t="n"/>
      <c r="Y890" s="232" t="n"/>
      <c r="Z890" s="533" t="n">
        <v>1</v>
      </c>
      <c r="AA890" s="967" t="n"/>
      <c r="AB890" s="533" t="n">
        <v>2</v>
      </c>
      <c r="AC890" s="533" t="n">
        <v>3</v>
      </c>
      <c r="AD890" s="533" t="n">
        <v>4</v>
      </c>
      <c r="AE890" s="533" t="n">
        <v>5</v>
      </c>
      <c r="AF890" s="533" t="n">
        <v>6</v>
      </c>
      <c r="AG890" s="533" t="n">
        <v>7</v>
      </c>
      <c r="AH890" s="533" t="n">
        <v>8</v>
      </c>
      <c r="AI890" s="533" t="n">
        <v>9</v>
      </c>
      <c r="AJ890" s="533" t="n">
        <v>10</v>
      </c>
      <c r="AK890" s="533" t="n">
        <v>11</v>
      </c>
      <c r="AL890" s="533" t="n">
        <v>12</v>
      </c>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inlineStr">
        <is>
          <t>POLÍTICA DE FRASCOS ABIERTO</t>
        </is>
      </c>
      <c r="AA891" s="967" t="n"/>
      <c r="AB891" s="1222" t="inlineStr">
        <is>
          <t>INTERRUPCIÓN DE LA CADENA DE FRÍO</t>
        </is>
      </c>
      <c r="AC891" s="537" t="inlineStr">
        <is>
          <t>CONTAMINACIÓN DEL BIOLÓGICO</t>
        </is>
      </c>
      <c r="AD891" s="1222" t="inlineStr">
        <is>
          <t>ERROR EN LA MANIPULACIÓN</t>
        </is>
      </c>
      <c r="AE891" s="537" t="inlineStr">
        <is>
          <t>ERROR EN LA RECONSTITUCIÓN/DILUCIÓN</t>
        </is>
      </c>
      <c r="AF891" s="1222" t="inlineStr">
        <is>
          <t>ERROR EN LA DOSIFICACIÓN</t>
        </is>
      </c>
      <c r="AG891" s="537" t="inlineStr">
        <is>
          <t>VACUNA QUE EXCEDE EL TIEMPO DE ALMACENAMIENTO EN REFRIGERACIÓN</t>
        </is>
      </c>
      <c r="AH891" s="1222" t="inlineStr">
        <is>
          <t>VENCIMIENTO DEL BIOLÓGICO</t>
        </is>
      </c>
      <c r="AI891" s="537" t="inlineStr">
        <is>
          <t>FRASCO VIAL ROTO</t>
        </is>
      </c>
      <c r="AJ891" s="1222" t="inlineStr">
        <is>
          <t>FALLAS DE FABRICACIÓN/CALIDAD</t>
        </is>
      </c>
      <c r="AK891" s="537" t="inlineStr">
        <is>
          <t>SINIESTRO / ACCIDENTE</t>
        </is>
      </c>
      <c r="AL891" s="1222" t="inlineStr">
        <is>
          <t>ROBO/HURTO BIOLÓGICO</t>
        </is>
      </c>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inlineStr">
        <is>
          <t>INSTITUCIONAL</t>
        </is>
      </c>
      <c r="AA892" s="497" t="inlineStr">
        <is>
          <t>EXTRAMURAL</t>
        </is>
      </c>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inlineStr">
        <is>
          <t>Observación</t>
        </is>
      </c>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R54iE0mMay5F++tRY3z+4g==" formatRows="1" sort="1" spinCount="100000" hashValue="KBOXFJTQIwA4N+kfdApRBhUI5VJGMRsu6+rAtJniXyXdlYwOgm0h2XLc58TQU9xOF+8UUMWibqv5Pi8wGN5cAg=="/>
  <mergeCells count="3720">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AC25:AC29"/>
    <mergeCell ref="I133:I138"/>
    <mergeCell ref="B181:C186"/>
    <mergeCell ref="AI352:AI357"/>
    <mergeCell ref="D413:D416"/>
    <mergeCell ref="AL787:AL788"/>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AH11:AH12"/>
    <mergeCell ref="E31:E36"/>
    <mergeCell ref="I435:I440"/>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Z11:AB11"/>
    <mergeCell ref="AG211:AG215"/>
    <mergeCell ref="W742:W748"/>
    <mergeCell ref="AN163:AN167"/>
    <mergeCell ref="D236:D241"/>
    <mergeCell ref="J465:J470"/>
    <mergeCell ref="AV465:AV469"/>
    <mergeCell ref="B507:C512"/>
    <mergeCell ref="Z223:Z227"/>
    <mergeCell ref="D359:D365"/>
    <mergeCell ref="A525:A530"/>
    <mergeCell ref="B778:C778"/>
    <mergeCell ref="I609:I614"/>
    <mergeCell ref="AF230:AF234"/>
    <mergeCell ref="K115:K119"/>
    <mergeCell ref="AF537:AF541"/>
    <mergeCell ref="AC79:AC83"/>
    <mergeCell ref="U9:U12"/>
    <mergeCell ref="AC73:AC77"/>
    <mergeCell ref="J272:J277"/>
    <mergeCell ref="K543:K547"/>
    <mergeCell ref="F652:F657"/>
    <mergeCell ref="K579:K583"/>
    <mergeCell ref="B37:C42"/>
    <mergeCell ref="AA615:AA619"/>
    <mergeCell ref="AK664:AK668"/>
    <mergeCell ref="AH296:AH300"/>
    <mergeCell ref="AH303:AH308"/>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E61:AE65"/>
    <mergeCell ref="AJ441:AJ445"/>
    <mergeCell ref="AF714:AF719"/>
    <mergeCell ref="B121:C126"/>
    <mergeCell ref="E272:E277"/>
    <mergeCell ref="AH676:AH680"/>
    <mergeCell ref="AD543:AD547"/>
    <mergeCell ref="G459:G464"/>
    <mergeCell ref="E735:E741"/>
    <mergeCell ref="D634:D639"/>
    <mergeCell ref="AE519:AE523"/>
    <mergeCell ref="H441:H446"/>
    <mergeCell ref="J199:J204"/>
    <mergeCell ref="B579:C584"/>
    <mergeCell ref="AG11:AG12"/>
    <mergeCell ref="AE891:AE892"/>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I193:I198"/>
    <mergeCell ref="AG296:AG300"/>
    <mergeCell ref="AG303:AG308"/>
    <mergeCell ref="AD804:AD807"/>
    <mergeCell ref="AI489:AI493"/>
    <mergeCell ref="K513:K517"/>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H85:H90"/>
    <mergeCell ref="AC187:AC191"/>
    <mergeCell ref="I175:I180"/>
    <mergeCell ref="AM809:AM812"/>
    <mergeCell ref="AI405:AI408"/>
    <mergeCell ref="AR441:AR445"/>
    <mergeCell ref="AB555:AB559"/>
    <mergeCell ref="H303:H309"/>
    <mergeCell ref="AB549:AB553"/>
    <mergeCell ref="AM97:AM101"/>
    <mergeCell ref="AE721:AE726"/>
    <mergeCell ref="AD749:AD754"/>
    <mergeCell ref="AL423:AL427"/>
    <mergeCell ref="AE591:AE595"/>
    <mergeCell ref="AV447:AV451"/>
    <mergeCell ref="D103:D108"/>
    <mergeCell ref="H507:H512"/>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AA55:AA59"/>
    <mergeCell ref="AT525:AT529"/>
    <mergeCell ref="B782:C782"/>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J284:J289"/>
    <mergeCell ref="K585:K5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K103:AK107"/>
    <mergeCell ref="AA37:AA41"/>
    <mergeCell ref="AL139:AL143"/>
    <mergeCell ref="J749:J755"/>
    <mergeCell ref="AA73:AA77"/>
    <mergeCell ref="AH338:AH343"/>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AI25:AI29"/>
    <mergeCell ref="K211:K215"/>
    <mergeCell ref="B290:C295"/>
    <mergeCell ref="AI181:AI185"/>
    <mergeCell ref="B826:C826"/>
    <mergeCell ref="AW609:AW613"/>
    <mergeCell ref="I278:I283"/>
    <mergeCell ref="AQ441:AQ445"/>
    <mergeCell ref="F531:F536"/>
    <mergeCell ref="AF756:AF761"/>
    <mergeCell ref="B785:C788"/>
    <mergeCell ref="K763:K768"/>
    <mergeCell ref="A187:A192"/>
    <mergeCell ref="AN290:AN294"/>
    <mergeCell ref="AT477:AT481"/>
    <mergeCell ref="AD591:AD595"/>
    <mergeCell ref="AC794:AC797"/>
    <mergeCell ref="B828:C828"/>
    <mergeCell ref="B853:C853"/>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E352:AE357"/>
    <mergeCell ref="E169:E174"/>
    <mergeCell ref="K331:K336"/>
    <mergeCell ref="D501:D506"/>
    <mergeCell ref="I573:I578"/>
    <mergeCell ref="AM603:AM607"/>
    <mergeCell ref="AL664:AL668"/>
    <mergeCell ref="AB390:AB393"/>
    <mergeCell ref="AH787:AH78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Z139:Z143"/>
    <mergeCell ref="G345:G351"/>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565:C565"/>
    <mergeCell ref="Z799:Z802"/>
    <mergeCell ref="B894:C894"/>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AR447:AR451"/>
    <mergeCell ref="D507:D512"/>
    <mergeCell ref="H205:H210"/>
    <mergeCell ref="AK609:AK613"/>
    <mergeCell ref="A682:A687"/>
    <mergeCell ref="R889:R892"/>
    <mergeCell ref="F413:G413"/>
    <mergeCell ref="AA714:AA719"/>
    <mergeCell ref="K278:K282"/>
    <mergeCell ref="H634:H639"/>
    <mergeCell ref="I735:I741"/>
    <mergeCell ref="AF694:AF698"/>
    <mergeCell ref="H31:H36"/>
    <mergeCell ref="AL272:AL27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AN345:AN350"/>
    <mergeCell ref="Z381:AL381"/>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AC248:AC252"/>
    <mergeCell ref="AA175:AA179"/>
    <mergeCell ref="J447:J452"/>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T561:AT565"/>
    <mergeCell ref="AD700:AD704"/>
    <mergeCell ref="AD891:AD892"/>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A109:A114"/>
    <mergeCell ref="H382:H38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Z609:Z613"/>
    <mergeCell ref="B862:C862"/>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W429:AW433"/>
    <mergeCell ref="AL435:AL439"/>
    <mergeCell ref="AG543:AG547"/>
    <mergeCell ref="AG537:AG541"/>
    <mergeCell ref="AA646:AA650"/>
    <mergeCell ref="J459:J464"/>
    <mergeCell ref="A567:A572"/>
    <mergeCell ref="N817:N820"/>
    <mergeCell ref="A561:A566"/>
    <mergeCell ref="K157:K161"/>
    <mergeCell ref="I91:I96"/>
    <mergeCell ref="Z549:Z553"/>
    <mergeCell ref="AF728:AF733"/>
    <mergeCell ref="AK67:AK71"/>
    <mergeCell ref="AN395:AN398"/>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I417:I422"/>
    <mergeCell ref="B781:C781"/>
    <mergeCell ref="I531:I536"/>
    <mergeCell ref="D317:D323"/>
    <mergeCell ref="D187:D192"/>
    <mergeCell ref="AF794:AF797"/>
    <mergeCell ref="D912:G912"/>
    <mergeCell ref="F103:F108"/>
    <mergeCell ref="B571:C571"/>
    <mergeCell ref="AI199:AI203"/>
    <mergeCell ref="J230:J235"/>
    <mergeCell ref="AE395:AE398"/>
    <mergeCell ref="AH561:AH565"/>
    <mergeCell ref="K501:K505"/>
    <mergeCell ref="Z417:Z421"/>
    <mergeCell ref="B871:C871"/>
    <mergeCell ref="Z199:Z203"/>
    <mergeCell ref="J652:J657"/>
    <mergeCell ref="AL85:AL89"/>
    <mergeCell ref="J400:J404"/>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AK133:AK137"/>
    <mergeCell ref="V817:V820"/>
    <mergeCell ref="I799:I803"/>
    <mergeCell ref="B804:C808"/>
    <mergeCell ref="A199:A204"/>
    <mergeCell ref="AV429:AV433"/>
    <mergeCell ref="Z652:Z656"/>
    <mergeCell ref="Z646:Z650"/>
    <mergeCell ref="B145:C150"/>
    <mergeCell ref="AW555:AW559"/>
    <mergeCell ref="AF211:AF215"/>
    <mergeCell ref="AR423:AR427"/>
    <mergeCell ref="Z43:Z47"/>
    <mergeCell ref="A331:A337"/>
    <mergeCell ref="H91:H96"/>
    <mergeCell ref="G513:G518"/>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AK459:AK463"/>
    <mergeCell ref="I519:I524"/>
    <mergeCell ref="AD621:AD625"/>
    <mergeCell ref="B163:C168"/>
    <mergeCell ref="B794:C798"/>
    <mergeCell ref="K242:K246"/>
    <mergeCell ref="Z61:Z65"/>
    <mergeCell ref="K236:K240"/>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D615:D620"/>
    <mergeCell ref="B413:C416"/>
    <mergeCell ref="B395:C399"/>
    <mergeCell ref="Z889:AL889"/>
    <mergeCell ref="B779:C779"/>
    <mergeCell ref="AL181:AL185"/>
    <mergeCell ref="D272:D277"/>
    <mergeCell ref="B543:C548"/>
    <mergeCell ref="AM447:AM451"/>
    <mergeCell ref="Z818:AB818"/>
    <mergeCell ref="AA483:AA487"/>
    <mergeCell ref="AF609:AF613"/>
    <mergeCell ref="K799:K802"/>
    <mergeCell ref="AA694:AA698"/>
    <mergeCell ref="AJ133:AJ137"/>
    <mergeCell ref="AH646:AH650"/>
    <mergeCell ref="H567:H572"/>
    <mergeCell ref="U817:U820"/>
    <mergeCell ref="H561:H566"/>
    <mergeCell ref="B839:C839"/>
    <mergeCell ref="AM573:AM577"/>
    <mergeCell ref="AB471:AB475"/>
    <mergeCell ref="A573:A578"/>
    <mergeCell ref="AB507:AB511"/>
    <mergeCell ref="E429:E434"/>
    <mergeCell ref="J317:J323"/>
    <mergeCell ref="AL163:AL167"/>
    <mergeCell ref="Q381:Q384"/>
    <mergeCell ref="H465:H470"/>
    <mergeCell ref="E97:E102"/>
    <mergeCell ref="AI345:AI350"/>
    <mergeCell ref="B707:C713"/>
    <mergeCell ref="AT465:AT469"/>
    <mergeCell ref="AL199:AL203"/>
    <mergeCell ref="AK531:AK535"/>
    <mergeCell ref="B378:C378"/>
    <mergeCell ref="AD579:AD583"/>
    <mergeCell ref="AK525:AK529"/>
    <mergeCell ref="B115:C120"/>
    <mergeCell ref="AE809:AE812"/>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Z441:Z445"/>
    <mergeCell ref="H489:H494"/>
    <mergeCell ref="AH61:AH65"/>
    <mergeCell ref="AM284:AM288"/>
    <mergeCell ref="A284:A289"/>
    <mergeCell ref="AF331:AF336"/>
    <mergeCell ref="U413:U416"/>
    <mergeCell ref="AJ459:AJ463"/>
    <mergeCell ref="E151:E156"/>
    <mergeCell ref="H193:H198"/>
    <mergeCell ref="AF296:AF300"/>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AK157:AK161"/>
    <mergeCell ref="G385:G389"/>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C67:AC71"/>
    <mergeCell ref="AL278:AL282"/>
    <mergeCell ref="D682:D687"/>
    <mergeCell ref="AH441:AH445"/>
    <mergeCell ref="U889:U892"/>
    <mergeCell ref="AD317:AD322"/>
    <mergeCell ref="AC97:AC101"/>
    <mergeCell ref="AE290:AE294"/>
    <mergeCell ref="K567:K571"/>
    <mergeCell ref="K561:K565"/>
    <mergeCell ref="E459:E464"/>
    <mergeCell ref="AL115:AL119"/>
    <mergeCell ref="J181:J186"/>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E317:E323"/>
    <mergeCell ref="D97:D102"/>
    <mergeCell ref="G465:G470"/>
    <mergeCell ref="AB447:AB451"/>
    <mergeCell ref="AJ531:AJ535"/>
    <mergeCell ref="K714:K719"/>
    <mergeCell ref="K139:K143"/>
    <mergeCell ref="AF248:AF252"/>
    <mergeCell ref="AL477:AL481"/>
    <mergeCell ref="AM567:AM571"/>
    <mergeCell ref="AT435:AT439"/>
    <mergeCell ref="AC537:AC541"/>
    <mergeCell ref="AN331:AN336"/>
    <mergeCell ref="AW585:AW589"/>
    <mergeCell ref="H217:H222"/>
    <mergeCell ref="A707:A713"/>
    <mergeCell ref="J817:J820"/>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AK395:AK398"/>
    <mergeCell ref="B832:C832"/>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Z127:Z131"/>
    <mergeCell ref="AM763:AM768"/>
    <mergeCell ref="H175:H180"/>
    <mergeCell ref="B845:C845"/>
    <mergeCell ref="AJ447:AJ451"/>
    <mergeCell ref="AL205:AL209"/>
    <mergeCell ref="AE682:AE686"/>
    <mergeCell ref="AH405:AH408"/>
    <mergeCell ref="AC609:AC613"/>
    <mergeCell ref="AR531:AR535"/>
    <mergeCell ref="AR525:AR529"/>
    <mergeCell ref="F525:F530"/>
    <mergeCell ref="W423:W428"/>
    <mergeCell ref="AG19:AG23"/>
    <mergeCell ref="Z181:Z185"/>
    <mergeCell ref="AD272:AD276"/>
    <mergeCell ref="AK537:AK541"/>
    <mergeCell ref="AG133:AG137"/>
    <mergeCell ref="AA447:AA451"/>
    <mergeCell ref="R817:R820"/>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K591:K595"/>
    <mergeCell ref="AF891:AF892"/>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AJ97:AJ101"/>
    <mergeCell ref="I465:I470"/>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M477:AM481"/>
    <mergeCell ref="P9:P12"/>
    <mergeCell ref="A477:A482"/>
    <mergeCell ref="K670:K674"/>
    <mergeCell ref="D809:D813"/>
    <mergeCell ref="AM652:AM656"/>
    <mergeCell ref="AL67:AL71"/>
    <mergeCell ref="A79:A84"/>
    <mergeCell ref="E483:E488"/>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AH447:AH451"/>
    <mergeCell ref="B477:C482"/>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L97:AL101"/>
    <mergeCell ref="A317:A323"/>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W465:AW469"/>
    <mergeCell ref="AL345:AL350"/>
    <mergeCell ref="AG579:AG583"/>
    <mergeCell ref="AD405:AD408"/>
    <mergeCell ref="F91:F96"/>
    <mergeCell ref="AN254:AN258"/>
    <mergeCell ref="B375:C375"/>
    <mergeCell ref="AG423:AG427"/>
    <mergeCell ref="K483:K487"/>
    <mergeCell ref="A290:A295"/>
    <mergeCell ref="AI385:AI388"/>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AN157:AN161"/>
    <mergeCell ref="AA272:AA276"/>
    <mergeCell ref="J385:J389"/>
    <mergeCell ref="D555:D560"/>
    <mergeCell ref="AV417:AV421"/>
    <mergeCell ref="AA735:AA740"/>
    <mergeCell ref="AI688:AI692"/>
    <mergeCell ref="AB248:AB252"/>
    <mergeCell ref="Z31:Z35"/>
    <mergeCell ref="H79:H84"/>
    <mergeCell ref="K400:K403"/>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J109:J114"/>
    <mergeCell ref="AH290:AH29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D181:AD185"/>
    <mergeCell ref="AC366:AC371"/>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AB133:AB137"/>
    <mergeCell ref="M817:M820"/>
    <mergeCell ref="AL799:AL802"/>
    <mergeCell ref="J585:J590"/>
    <mergeCell ref="W646:W651"/>
    <mergeCell ref="J382:J384"/>
    <mergeCell ref="F31:F36"/>
    <mergeCell ref="AH310:AH315"/>
    <mergeCell ref="AB477:AB481"/>
    <mergeCell ref="AG236:AG240"/>
    <mergeCell ref="J789:J793"/>
    <mergeCell ref="AI423:AI427"/>
    <mergeCell ref="AD331:AD336"/>
    <mergeCell ref="AN400:AN403"/>
    <mergeCell ref="J193:J198"/>
    <mergeCell ref="S413:S416"/>
    <mergeCell ref="Z352:Z357"/>
    <mergeCell ref="I390:I394"/>
    <mergeCell ref="AI640:AI644"/>
    <mergeCell ref="B531:C536"/>
    <mergeCell ref="AG664:AG668"/>
    <mergeCell ref="AV483:AV487"/>
    <mergeCell ref="AG707:AG712"/>
    <mergeCell ref="T381:T384"/>
    <mergeCell ref="AD507:AD511"/>
    <mergeCell ref="AH205:AH209"/>
    <mergeCell ref="AM714:AM719"/>
    <mergeCell ref="A714:A720"/>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V435:AV439"/>
    <mergeCell ref="AJ477:AJ481"/>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M400:AM403"/>
    <mergeCell ref="A400:A404"/>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D13:D18"/>
    <mergeCell ref="AM115:AM119"/>
    <mergeCell ref="J175:J180"/>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K794:K797"/>
    <mergeCell ref="P413:P416"/>
    <mergeCell ref="T817:T820"/>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AB310:AB315"/>
    <mergeCell ref="J331:J337"/>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AN49:AN53"/>
    <mergeCell ref="I248:I253"/>
    <mergeCell ref="F809:F813"/>
    <mergeCell ref="B835:C835"/>
    <mergeCell ref="B829:C829"/>
    <mergeCell ref="E85:E90"/>
    <mergeCell ref="AA199:AA203"/>
    <mergeCell ref="AN260:AN264"/>
    <mergeCell ref="AK345:AK350"/>
    <mergeCell ref="AV615:AV619"/>
    <mergeCell ref="J615:J620"/>
    <mergeCell ref="F211:F216"/>
    <mergeCell ref="I676:I681"/>
    <mergeCell ref="AG513:AG517"/>
    <mergeCell ref="AH91:AH95"/>
    <mergeCell ref="AM749:AM754"/>
    <mergeCell ref="AK223:AK227"/>
    <mergeCell ref="AA395:AA398"/>
    <mergeCell ref="AS447:AS451"/>
    <mergeCell ref="A621:A626"/>
    <mergeCell ref="AH385:AH388"/>
    <mergeCell ref="F763:F769"/>
    <mergeCell ref="Z254:Z258"/>
    <mergeCell ref="S889:S892"/>
    <mergeCell ref="AA103:AA107"/>
    <mergeCell ref="Z248:Z252"/>
    <mergeCell ref="AB317:AB322"/>
    <mergeCell ref="AM742:AM747"/>
    <mergeCell ref="B830:C830"/>
    <mergeCell ref="D19:D24"/>
    <mergeCell ref="AB441:AB445"/>
    <mergeCell ref="E109:E114"/>
    <mergeCell ref="AC290:AC294"/>
    <mergeCell ref="J43:J48"/>
    <mergeCell ref="Z465:Z469"/>
    <mergeCell ref="AB223:AB227"/>
    <mergeCell ref="J489:J494"/>
    <mergeCell ref="E145:E150"/>
    <mergeCell ref="W413:W416"/>
    <mergeCell ref="K640:K644"/>
    <mergeCell ref="E139:E144"/>
    <mergeCell ref="O785:O788"/>
    <mergeCell ref="J700:J705"/>
    <mergeCell ref="AM615:AM619"/>
    <mergeCell ref="AJ157:AJ161"/>
    <mergeCell ref="AJ151:AJ155"/>
    <mergeCell ref="AM193:AM197"/>
    <mergeCell ref="AA217:AA221"/>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Z151:Z155"/>
    <mergeCell ref="K366:K371"/>
    <mergeCell ref="AA543:AA547"/>
    <mergeCell ref="AR435:AR439"/>
    <mergeCell ref="B193:C198"/>
    <mergeCell ref="AK236:AK240"/>
    <mergeCell ref="AF477:AF481"/>
    <mergeCell ref="A809:A813"/>
    <mergeCell ref="H817:H820"/>
    <mergeCell ref="AR555:AR559"/>
    <mergeCell ref="E585:E590"/>
    <mergeCell ref="AE67:AE71"/>
    <mergeCell ref="AB242:AB246"/>
    <mergeCell ref="AQ789:AQ792"/>
    <mergeCell ref="AJ597:AJ601"/>
    <mergeCell ref="E789:E793"/>
    <mergeCell ref="AD429:AD433"/>
    <mergeCell ref="I109:I114"/>
    <mergeCell ref="W573:W578"/>
    <mergeCell ref="G352:G358"/>
    <mergeCell ref="AI400:AI403"/>
    <mergeCell ref="E193:E198"/>
    <mergeCell ref="N413:N416"/>
    <mergeCell ref="B570:C570"/>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E400:E404"/>
    <mergeCell ref="D585:D590"/>
    <mergeCell ref="AD67:AD71"/>
    <mergeCell ref="AL640:AL644"/>
    <mergeCell ref="G818:G820"/>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M9:AM12"/>
    <mergeCell ref="AD97:AD101"/>
    <mergeCell ref="AI223:AI227"/>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AJ260:AJ264"/>
    <mergeCell ref="B390:C394"/>
    <mergeCell ref="E676:E681"/>
    <mergeCell ref="J804:J808"/>
    <mergeCell ref="AV471:AV475"/>
    <mergeCell ref="J471:J476"/>
    <mergeCell ref="AD91:AD95"/>
    <mergeCell ref="G13:G18"/>
    <mergeCell ref="AK37:AK41"/>
    <mergeCell ref="I324:I330"/>
    <mergeCell ref="AD385:AD388"/>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G151:G156"/>
    <mergeCell ref="AE230:AE234"/>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AN151:AN155"/>
    <mergeCell ref="E489:E494"/>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AM230:AM234"/>
    <mergeCell ref="E61:E66"/>
    <mergeCell ref="H429:H4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D109:D114"/>
    <mergeCell ref="S381:S38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B841:C841"/>
    <mergeCell ref="AK91:AK95"/>
    <mergeCell ref="H573:H578"/>
    <mergeCell ref="B373:C373"/>
    <mergeCell ref="K804:K807"/>
    <mergeCell ref="AM278:AM282"/>
    <mergeCell ref="A278:A283"/>
    <mergeCell ref="G49:G54"/>
    <mergeCell ref="AK385:AK388"/>
    <mergeCell ref="AC254:AC258"/>
    <mergeCell ref="AJ453:AJ457"/>
    <mergeCell ref="K471:K475"/>
    <mergeCell ref="AE317:AE322"/>
    <mergeCell ref="AL809:AL812"/>
    <mergeCell ref="AW603:AW607"/>
    <mergeCell ref="AC465:AC469"/>
    <mergeCell ref="G303:G309"/>
    <mergeCell ref="Z97:Z101"/>
    <mergeCell ref="AE223:AE227"/>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AD242:AD246"/>
    <mergeCell ref="AD217:AD221"/>
    <mergeCell ref="AL519:AL523"/>
    <mergeCell ref="AG585:AG589"/>
    <mergeCell ref="B846:C846"/>
    <mergeCell ref="AH682:AH686"/>
    <mergeCell ref="A609:A614"/>
    <mergeCell ref="AL891:AL892"/>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F223:F228"/>
    <mergeCell ref="K324:K329"/>
    <mergeCell ref="AE345:AE350"/>
    <mergeCell ref="AK567:AK571"/>
    <mergeCell ref="I591:I596"/>
    <mergeCell ref="Z19:Z23"/>
    <mergeCell ref="A640:A645"/>
    <mergeCell ref="AE670:AE674"/>
    <mergeCell ref="AT794:AT797"/>
    <mergeCell ref="AL405:AL408"/>
    <mergeCell ref="H794:H798"/>
    <mergeCell ref="B849:C849"/>
    <mergeCell ref="AB627:AB631"/>
    <mergeCell ref="G395:G399"/>
    <mergeCell ref="AJ799:AJ802"/>
    <mergeCell ref="AL230:AL234"/>
    <mergeCell ref="AM79:AM83"/>
    <mergeCell ref="AV561:AV565"/>
    <mergeCell ref="H585:H590"/>
    <mergeCell ref="G890:G892"/>
    <mergeCell ref="AI73:AI77"/>
    <mergeCell ref="AE242:AE246"/>
    <mergeCell ref="Z477:Z481"/>
    <mergeCell ref="AE236:AE240"/>
    <mergeCell ref="A633:C633"/>
    <mergeCell ref="H789:H793"/>
    <mergeCell ref="K217:K221"/>
    <mergeCell ref="B303:C309"/>
    <mergeCell ref="D25:D30"/>
    <mergeCell ref="AI187:AI191"/>
    <mergeCell ref="B296:C301"/>
    <mergeCell ref="AG429:AG433"/>
    <mergeCell ref="AB331:AB336"/>
    <mergeCell ref="AB85:AB89"/>
    <mergeCell ref="I284:I289"/>
    <mergeCell ref="J133:J138"/>
    <mergeCell ref="J352:J358"/>
    <mergeCell ref="AG770:AG775"/>
    <mergeCell ref="I785:I788"/>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AA133:AA137"/>
    <mergeCell ref="H413:H416"/>
    <mergeCell ref="B860:C860"/>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K175:AK179"/>
    <mergeCell ref="A248:A253"/>
    <mergeCell ref="AQ501:AQ505"/>
    <mergeCell ref="W489:W494"/>
    <mergeCell ref="AL157:AL161"/>
    <mergeCell ref="AC345:AC350"/>
    <mergeCell ref="AF260:AF264"/>
    <mergeCell ref="H700:H705"/>
    <mergeCell ref="F181:F186"/>
    <mergeCell ref="AA459:AA463"/>
    <mergeCell ref="H115:H120"/>
    <mergeCell ref="AC217:AC221"/>
    <mergeCell ref="B317:C323"/>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AS794:AS797"/>
    <mergeCell ref="Z205:Z209"/>
    <mergeCell ref="G794:G798"/>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AT459:AT463"/>
    <mergeCell ref="F519:F524"/>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AS809:AS812"/>
    <mergeCell ref="AJ465:AJ469"/>
    <mergeCell ref="AL223:AL227"/>
    <mergeCell ref="G809:G813"/>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AE266:AE270"/>
    <mergeCell ref="L785:L788"/>
    <mergeCell ref="AB345:AB350"/>
    <mergeCell ref="AE260:AE264"/>
    <mergeCell ref="AM770:AM775"/>
    <mergeCell ref="E181:E186"/>
    <mergeCell ref="B858:C85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G405:G409"/>
    <mergeCell ref="AK603:AK607"/>
    <mergeCell ref="B817:C820"/>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Z310:Z315"/>
    <mergeCell ref="H331:H337"/>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AK324:AK329"/>
    <mergeCell ref="AF11:AF12"/>
    <mergeCell ref="D513:D518"/>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AL13:AL17"/>
    <mergeCell ref="AM49:AM53"/>
    <mergeCell ref="H248:H253"/>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AK676:AK680"/>
    <mergeCell ref="W555:W560"/>
    <mergeCell ref="AK670:AK674"/>
    <mergeCell ref="B260:C265"/>
    <mergeCell ref="B827:C827"/>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M55:AM59"/>
    <mergeCell ref="AB205:AB20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AK13:AK17"/>
    <mergeCell ref="AL49:AL53"/>
    <mergeCell ref="G248:G253"/>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AG809:AG812"/>
    <mergeCell ref="AR603:AR607"/>
    <mergeCell ref="B895:C895"/>
    <mergeCell ref="AB721:AB726"/>
    <mergeCell ref="AM501:AM505"/>
    <mergeCell ref="G272:G277"/>
    <mergeCell ref="AL400:AL403"/>
    <mergeCell ref="B471:C476"/>
    <mergeCell ref="AK615:AK619"/>
    <mergeCell ref="AH157:AH161"/>
    <mergeCell ref="I459:I464"/>
    <mergeCell ref="D115:D120"/>
    <mergeCell ref="AG519:AG523"/>
    <mergeCell ref="A405:A409"/>
    <mergeCell ref="AC682:AC686"/>
    <mergeCell ref="AJ390:AJ393"/>
    <mergeCell ref="AI11:AI12"/>
    <mergeCell ref="J435:J440"/>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G109:G114"/>
    <mergeCell ref="F324:F330"/>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AH223:AH227"/>
    <mergeCell ref="J303:J309"/>
    <mergeCell ref="AC640:AC644"/>
    <mergeCell ref="I525:I530"/>
    <mergeCell ref="AG591:AG595"/>
    <mergeCell ref="J507:J512"/>
    <mergeCell ref="G489:G494"/>
    <mergeCell ref="B109:C114"/>
    <mergeCell ref="AG217:AG221"/>
    <mergeCell ref="D905:G905"/>
    <mergeCell ref="AD417:AD421"/>
    <mergeCell ref="AA49:AA53"/>
    <mergeCell ref="W567:W572"/>
    <mergeCell ref="AL501:AL505"/>
    <mergeCell ref="B564:C564"/>
    <mergeCell ref="AK400:AK403"/>
    <mergeCell ref="AI383:AI384"/>
    <mergeCell ref="AA266:AA270"/>
    <mergeCell ref="AA260:AA264"/>
    <mergeCell ref="H459:H464"/>
    <mergeCell ref="AN109:AN113"/>
    <mergeCell ref="A181:A186"/>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AG603:AG607"/>
    <mergeCell ref="W721:W727"/>
    <mergeCell ref="F817:G817"/>
    <mergeCell ref="AD145:AD149"/>
    <mergeCell ref="G67:G72"/>
    <mergeCell ref="J395:J399"/>
    <mergeCell ref="J429:J434"/>
    <mergeCell ref="G61:G66"/>
    <mergeCell ref="E756:E762"/>
    <mergeCell ref="AM799:AM802"/>
    <mergeCell ref="A799:A803"/>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K405:K408"/>
    <mergeCell ref="F597:F602"/>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B67:C72"/>
    <mergeCell ref="AG324:AG329"/>
    <mergeCell ref="J573:J578"/>
    <mergeCell ref="W640:W645"/>
    <mergeCell ref="E9:G9"/>
    <mergeCell ref="AJ55:AJ59"/>
    <mergeCell ref="I49:I54"/>
    <mergeCell ref="AM385:AM388"/>
    <mergeCell ref="AE254:AE258"/>
    <mergeCell ref="AN61:AN65"/>
    <mergeCell ref="AB97:AB101"/>
    <mergeCell ref="I303:I309"/>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AH199:AH203"/>
    <mergeCell ref="I181:I186"/>
    <mergeCell ref="H381:J381"/>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G352:AG357"/>
    <mergeCell ref="AL471:AL475"/>
    <mergeCell ref="AJ787:AJ788"/>
    <mergeCell ref="AL145:AL149"/>
    <mergeCell ref="A359:A365"/>
    <mergeCell ref="AE483:AE487"/>
    <mergeCell ref="AB115:AB119"/>
    <mergeCell ref="J163:J168"/>
    <mergeCell ref="J794:J798"/>
    <mergeCell ref="AK507:AK511"/>
    <mergeCell ref="AG676:AG680"/>
    <mergeCell ref="B537:C542"/>
    <mergeCell ref="AG670:AG674"/>
    <mergeCell ref="AN405:AN408"/>
    <mergeCell ref="AW441:AW445"/>
    <mergeCell ref="D735:D741"/>
    <mergeCell ref="F67:F72"/>
    <mergeCell ref="I395:I399"/>
    <mergeCell ref="AN230:AN234"/>
    <mergeCell ref="AD519:AD523"/>
    <mergeCell ref="G435:G440"/>
    <mergeCell ref="AA501:AA505"/>
    <mergeCell ref="AK79:AK83"/>
    <mergeCell ref="AK73:AK77"/>
    <mergeCell ref="AG242:AG246"/>
    <mergeCell ref="AQ573:AQ577"/>
    <mergeCell ref="K459:K463"/>
    <mergeCell ref="A266:A271"/>
    <mergeCell ref="F25:F30"/>
    <mergeCell ref="AI429:AI433"/>
    <mergeCell ref="A260:A265"/>
    <mergeCell ref="D603:D608"/>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Z121:Z125"/>
    <mergeCell ref="J242:J247"/>
    <mergeCell ref="B374:C374"/>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AA242:AA246"/>
    <mergeCell ref="H471:H476"/>
    <mergeCell ref="B609:C614"/>
    <mergeCell ref="B847:C847"/>
    <mergeCell ref="E13:E18"/>
    <mergeCell ref="AB385:AB388"/>
    <mergeCell ref="AF352:AF357"/>
    <mergeCell ref="AI787:AI788"/>
    <mergeCell ref="AC809:AC812"/>
    <mergeCell ref="A664:A669"/>
    <mergeCell ref="AK145:AK149"/>
    <mergeCell ref="I728:I734"/>
    <mergeCell ref="K531:K535"/>
    <mergeCell ref="AA115:AA119"/>
    <mergeCell ref="AI501:AI505"/>
    <mergeCell ref="Z447:Z451"/>
    <mergeCell ref="K525:K529"/>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AC405:AC408"/>
    <mergeCell ref="AN199:AN203"/>
    <mergeCell ref="J728:J734"/>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A187:AA191"/>
    <mergeCell ref="AD555:AD559"/>
    <mergeCell ref="AN248:AN252"/>
    <mergeCell ref="AN352:AN357"/>
    <mergeCell ref="AD400:AD403"/>
    <mergeCell ref="AJ579:AJ583"/>
    <mergeCell ref="AK770:AK775"/>
    <mergeCell ref="AV603:AV607"/>
    <mergeCell ref="AS804:AS807"/>
    <mergeCell ref="AB465:AB469"/>
    <mergeCell ref="AD223:AD227"/>
    <mergeCell ref="F303:F309"/>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AG400:AG403"/>
    <mergeCell ref="L413:L416"/>
    <mergeCell ref="AF615:AF619"/>
    <mergeCell ref="AC157:AC161"/>
    <mergeCell ref="AV627:AV631"/>
    <mergeCell ref="J627:J632"/>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AD278:AD282"/>
    <mergeCell ref="B844:C844"/>
    <mergeCell ref="Z145:Z149"/>
    <mergeCell ref="AM756:AM761"/>
    <mergeCell ref="B838:C838"/>
    <mergeCell ref="AK230:AK234"/>
    <mergeCell ref="F429:F434"/>
    <mergeCell ref="D338:D344"/>
    <mergeCell ref="I290:I295"/>
    <mergeCell ref="AJ163:AJ167"/>
    <mergeCell ref="AK441:AK445"/>
    <mergeCell ref="AH73:AH77"/>
    <mergeCell ref="Q413:Q416"/>
    <mergeCell ref="F890:F892"/>
    <mergeCell ref="AC175:AC179"/>
    <mergeCell ref="D157:D162"/>
    <mergeCell ref="AH400:AH403"/>
    <mergeCell ref="A603:A608"/>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G115:G120"/>
    <mergeCell ref="AB217:AB221"/>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C352:AC357"/>
    <mergeCell ref="AH471:AH475"/>
    <mergeCell ref="AA193:AA197"/>
    <mergeCell ref="AF787:AF788"/>
    <mergeCell ref="AJ664:AJ668"/>
    <mergeCell ref="I756:I762"/>
    <mergeCell ref="K597:K601"/>
    <mergeCell ref="H236:H241"/>
    <mergeCell ref="F163:F168"/>
    <mergeCell ref="AI567:AI571"/>
    <mergeCell ref="F794:F798"/>
    <mergeCell ref="AR794:AR797"/>
    <mergeCell ref="AJ405:AJ408"/>
    <mergeCell ref="AS441:AS445"/>
    <mergeCell ref="AQ525:AQ529"/>
    <mergeCell ref="E525:E530"/>
    <mergeCell ref="AM248:AM252"/>
    <mergeCell ref="AL735:AL740"/>
    <mergeCell ref="E395:E399"/>
    <mergeCell ref="AJ230:AJ234"/>
    <mergeCell ref="AT567:AT571"/>
    <mergeCell ref="B874:C874"/>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B700:C705"/>
    <mergeCell ref="AL296:AL300"/>
    <mergeCell ref="D127:D132"/>
    <mergeCell ref="AL303:AL308"/>
    <mergeCell ref="G495:G500"/>
    <mergeCell ref="AN359:AN364"/>
    <mergeCell ref="I688:I693"/>
    <mergeCell ref="Z786:AA786"/>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7:F713"/>
    <mergeCell ref="F700:F705"/>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B352:AB357"/>
    <mergeCell ref="F573:F578"/>
    <mergeCell ref="AE787:AE78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K303:AK308"/>
    <mergeCell ref="AM338:AM343"/>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I169:I174"/>
    <mergeCell ref="AH284:AH288"/>
    <mergeCell ref="AI133:AI137"/>
    <mergeCell ref="Z414:AB414"/>
    <mergeCell ref="H9:J9"/>
    <mergeCell ref="W597:W602"/>
    <mergeCell ref="AD819:AD820"/>
    <mergeCell ref="AN25:AN29"/>
    <mergeCell ref="B338:C344"/>
    <mergeCell ref="AA296:AA300"/>
    <mergeCell ref="AA303:AA308"/>
    <mergeCell ref="D579:D584"/>
    <mergeCell ref="AQ809:AQ812"/>
    <mergeCell ref="AM405:AM408"/>
    <mergeCell ref="AV441:AV445"/>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AC266:AC270"/>
    <mergeCell ref="AB417:AB421"/>
    <mergeCell ref="H714:H720"/>
    <mergeCell ref="J785:J788"/>
    <mergeCell ref="G382:G384"/>
    <mergeCell ref="AJ352:AJ357"/>
    <mergeCell ref="Z400:Z403"/>
    <mergeCell ref="E413:E416"/>
    <mergeCell ref="AJ127:AJ131"/>
    <mergeCell ref="AG390:AG393"/>
    <mergeCell ref="I495:I500"/>
    <mergeCell ref="E664:E669"/>
    <mergeCell ref="D597:D602"/>
    <mergeCell ref="AH483:AH487"/>
    <mergeCell ref="AL415:AL416"/>
    <mergeCell ref="AD359:AD364"/>
    <mergeCell ref="AI609:AI613"/>
    <mergeCell ref="B79:C84"/>
    <mergeCell ref="I67:I72"/>
    <mergeCell ref="G804:G808"/>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768" operator="containsText" dxfId="325" text="VERDE">
      <formula>NOT(ISERROR(SEARCH("VERDE",D229)))</formula>
    </cfRule>
    <cfRule type="containsText" priority="769" operator="containsText" dxfId="324" text="AMARILLO">
      <formula>NOT(ISERROR(SEARCH("AMARILLO",D229)))</formula>
    </cfRule>
    <cfRule type="containsText" priority="770" operator="containsText" dxfId="323" text="ROJO">
      <formula>NOT(ISERROR(SEARCH("ROJO",D229)))</formula>
    </cfRule>
  </conditionalFormatting>
  <conditionalFormatting sqref="D821:D856">
    <cfRule type="cellIs" priority="766" operator="lessThan" dxfId="0" stopIfTrue="1">
      <formula>0</formula>
    </cfRule>
  </conditionalFormatting>
  <conditionalFormatting sqref="D858:D869">
    <cfRule type="cellIs" priority="765" operator="lessThan" dxfId="0" stopIfTrue="1">
      <formula>0</formula>
    </cfRule>
  </conditionalFormatting>
  <conditionalFormatting sqref="D871:D888">
    <cfRule type="cellIs" priority="764" operator="lessThan" dxfId="0" stopIfTrue="1">
      <formula>0</formula>
    </cfRule>
  </conditionalFormatting>
  <conditionalFormatting sqref="D893:D894">
    <cfRule type="cellIs" priority="767" operator="lessThan" dxfId="0" stopIfTrue="1">
      <formula>0</formula>
    </cfRule>
  </conditionalFormatting>
  <conditionalFormatting sqref="D566">
    <cfRule type="cellIs" priority="624" operator="lessThan" dxfId="384" stopIfTrue="1">
      <formula>0</formula>
    </cfRule>
  </conditionalFormatting>
  <conditionalFormatting sqref="D572">
    <cfRule type="cellIs" priority="569" operator="lessThan" dxfId="384" stopIfTrue="1">
      <formula>0</formula>
    </cfRule>
  </conditionalFormatting>
  <conditionalFormatting sqref="D895:D897">
    <cfRule type="cellIs" priority="499" operator="lessThan" dxfId="0" stopIfTrue="1">
      <formula>0</formula>
    </cfRule>
  </conditionalFormatting>
  <conditionalFormatting sqref="E229 P410">
    <cfRule type="containsText" priority="378" operator="containsText" dxfId="325" text="VERDE">
      <formula>NOT(ISERROR(SEARCH("VERDE",E229)))</formula>
    </cfRule>
    <cfRule type="containsText" priority="379" operator="containsText" dxfId="324" text="AMARILLO">
      <formula>NOT(ISERROR(SEARCH("AMARILLO",E229)))</formula>
    </cfRule>
    <cfRule type="containsText" priority="380" operator="containsText" dxfId="323" text="ROJO">
      <formula>NOT(ISERROR(SEARCH("ROJO",E229)))</formula>
    </cfRule>
  </conditionalFormatting>
  <conditionalFormatting sqref="E821:I856">
    <cfRule type="cellIs" priority="255" operator="lessThan" dxfId="0" stopIfTrue="1">
      <formula>0</formula>
    </cfRule>
  </conditionalFormatting>
  <conditionalFormatting sqref="E858:I869">
    <cfRule type="cellIs" priority="254" operator="lessThan" dxfId="0" stopIfTrue="1">
      <formula>0</formula>
    </cfRule>
  </conditionalFormatting>
  <conditionalFormatting sqref="E871:I888">
    <cfRule type="cellIs" priority="253" operator="lessThan" dxfId="0" stopIfTrue="1">
      <formula>0</formula>
    </cfRule>
  </conditionalFormatting>
  <conditionalFormatting sqref="E893:I893 E894:G894 H894:I897">
    <cfRule type="cellIs" priority="371" operator="lessThan" dxfId="0" stopIfTrue="1">
      <formula>0</formula>
    </cfRule>
  </conditionalFormatting>
  <conditionalFormatting sqref="K13:K17">
    <cfRule type="cellIs" priority="381" operator="lessThan" dxfId="0" stopIfTrue="1">
      <formula>0</formula>
    </cfRule>
  </conditionalFormatting>
  <conditionalFormatting sqref="K303:K308 K777:K783">
    <cfRule type="cellIs" priority="367" operator="lessThan" dxfId="0" stopIfTrue="1">
      <formula>0</formula>
    </cfRule>
  </conditionalFormatting>
  <conditionalFormatting sqref="K309">
    <cfRule type="containsText" priority="377" operator="containsText" dxfId="8" text="Falso">
      <formula>NOT(ISERROR(SEARCH("Falso",K309)))</formula>
    </cfRule>
  </conditionalFormatting>
  <conditionalFormatting sqref="K373:K380">
    <cfRule type="cellIs" priority="374" operator="lessThan" dxfId="0" stopIfTrue="1">
      <formula>0</formula>
    </cfRule>
  </conditionalFormatting>
  <conditionalFormatting sqref="K385:K388">
    <cfRule type="cellIs" priority="382" operator="lessThan" dxfId="0" stopIfTrue="1">
      <formula>0</formula>
    </cfRule>
  </conditionalFormatting>
  <conditionalFormatting sqref="K389">
    <cfRule type="containsText" priority="383" operator="containsText" dxfId="8" text="Falso">
      <formula>NOT(ISERROR(SEARCH("Falso",K389)))</formula>
    </cfRule>
  </conditionalFormatting>
  <conditionalFormatting sqref="K394">
    <cfRule type="containsText" priority="373" operator="containsText" dxfId="8" text="Falso">
      <formula>NOT(ISERROR(SEARCH("Falso",K394)))</formula>
    </cfRule>
  </conditionalFormatting>
  <conditionalFormatting sqref="K399 K404 K409">
    <cfRule type="containsText" priority="372" operator="containsText" dxfId="8" text="Falso">
      <formula>NOT(ISERROR(SEARCH("Falso",K399)))</formula>
    </cfRule>
  </conditionalFormatting>
  <conditionalFormatting sqref="K714:K719 K721:K726">
    <cfRule type="cellIs" priority="275" operator="lessThan" dxfId="0" stopIfTrue="1">
      <formula>0</formula>
    </cfRule>
  </conditionalFormatting>
  <conditionalFormatting sqref="K634:K638">
    <cfRule type="cellIs" priority="281" operator="lessThan" dxfId="0" stopIfTrue="1">
      <formula>0</formula>
    </cfRule>
  </conditionalFormatting>
  <conditionalFormatting sqref="K749:K754 K756:K761">
    <cfRule type="cellIs" priority="273" operator="lessThan" dxfId="0" stopIfTrue="1">
      <formula>0</formula>
    </cfRule>
  </conditionalFormatting>
  <conditionalFormatting sqref="K763:K768">
    <cfRule type="cellIs" priority="272" operator="lessThan" dxfId="0" stopIfTrue="1">
      <formula>0</formula>
    </cfRule>
  </conditionalFormatting>
  <conditionalFormatting sqref="K770:K775">
    <cfRule type="cellIs" priority="271" operator="lessThan" dxfId="0" stopIfTrue="1">
      <formula>0</formula>
    </cfRule>
  </conditionalFormatting>
  <conditionalFormatting sqref="K707:K712">
    <cfRule type="cellIs" priority="280" operator="lessThan" dxfId="0" stopIfTrue="1">
      <formula>0</formula>
    </cfRule>
  </conditionalFormatting>
  <conditionalFormatting sqref="K728:K733 K735:K740 K742:K747">
    <cfRule type="cellIs" priority="274" operator="lessThan" dxfId="0" stopIfTrue="1">
      <formula>0</formula>
    </cfRule>
  </conditionalFormatting>
  <conditionalFormatting sqref="K821:K856 M821:O856">
    <cfRule type="cellIs" priority="252" operator="lessThan" dxfId="0" stopIfTrue="1">
      <formula>0</formula>
    </cfRule>
  </conditionalFormatting>
  <conditionalFormatting sqref="K858:K869 M858:N869">
    <cfRule type="cellIs" priority="251" operator="lessThan" dxfId="0" stopIfTrue="1">
      <formula>0</formula>
    </cfRule>
  </conditionalFormatting>
  <conditionalFormatting sqref="K871:K888 M871:N887 M888:O888">
    <cfRule type="cellIs" priority="250" operator="lessThan" dxfId="0" stopIfTrue="1">
      <formula>0</formula>
    </cfRule>
  </conditionalFormatting>
  <conditionalFormatting sqref="K893:K894 M893:N894">
    <cfRule type="cellIs" priority="249" operator="lessThan" dxfId="0" stopIfTrue="1">
      <formula>0</formula>
    </cfRule>
  </conditionalFormatting>
  <conditionalFormatting sqref="P13:P17 P303:P308">
    <cfRule type="containsText" priority="363" operator="containsText" dxfId="131" text="VENCIDO">
      <formula>NOT(ISERROR(SEARCH("VENCIDO",P13)))</formula>
    </cfRule>
    <cfRule type="containsText" priority="364" operator="containsText" dxfId="130" text="VERDE">
      <formula>NOT(ISERROR(SEARCH("VERDE",P13)))</formula>
    </cfRule>
    <cfRule type="containsText" priority="365" operator="containsText" dxfId="129" stopIfTrue="1" text="AMARILLO">
      <formula>NOT(ISERROR(SEARCH("AMARILLO",P13)))</formula>
    </cfRule>
    <cfRule type="containsText" priority="366" operator="containsText" dxfId="128" text="ROJO">
      <formula>NOT(ISERROR(SEARCH("ROJO",P13)))</formula>
    </cfRule>
  </conditionalFormatting>
  <conditionalFormatting sqref="P373:P379">
    <cfRule type="containsText" priority="359" operator="containsText" dxfId="131" text="VENCIDO">
      <formula>NOT(ISERROR(SEARCH("VENCIDO",P373)))</formula>
    </cfRule>
    <cfRule type="containsText" priority="360" operator="containsText" dxfId="130" text="VERDE">
      <formula>NOT(ISERROR(SEARCH("VERDE",P373)))</formula>
    </cfRule>
    <cfRule type="containsText" priority="361" operator="containsText" dxfId="129" stopIfTrue="1" text="AMARILLO">
      <formula>NOT(ISERROR(SEARCH("AMARILLO",P373)))</formula>
    </cfRule>
    <cfRule type="containsText" priority="362" operator="containsText" dxfId="128" text="ROJO">
      <formula>NOT(ISERROR(SEARCH("ROJO",P373)))</formula>
    </cfRule>
  </conditionalFormatting>
  <conditionalFormatting sqref="P385:P388">
    <cfRule type="containsText" priority="355" operator="containsText" dxfId="131" text="VENCIDO">
      <formula>NOT(ISERROR(SEARCH("VENCIDO",P385)))</formula>
    </cfRule>
    <cfRule type="containsText" priority="356" operator="containsText" dxfId="130" text="VERDE">
      <formula>NOT(ISERROR(SEARCH("VERDE",P385)))</formula>
    </cfRule>
    <cfRule type="containsText" priority="357" operator="containsText" dxfId="129" stopIfTrue="1" text="AMARILLO">
      <formula>NOT(ISERROR(SEARCH("AMARILLO",P385)))</formula>
    </cfRule>
    <cfRule type="containsText" priority="358" operator="containsText" dxfId="128" text="ROJO">
      <formula>NOT(ISERROR(SEARCH("ROJO",P385)))</formula>
    </cfRule>
  </conditionalFormatting>
  <conditionalFormatting sqref="P417:P421">
    <cfRule type="containsText" priority="348" operator="containsText" dxfId="131" text="VENCIDO">
      <formula>NOT(ISERROR(SEARCH("VENCIDO",P417)))</formula>
    </cfRule>
    <cfRule type="containsText" priority="349" operator="containsText" dxfId="130" text="VERDE">
      <formula>NOT(ISERROR(SEARCH("VERDE",P417)))</formula>
    </cfRule>
    <cfRule type="containsText" priority="350" operator="containsText" dxfId="129" stopIfTrue="1" text="AMARILLO">
      <formula>NOT(ISERROR(SEARCH("AMARILLO",P417)))</formula>
    </cfRule>
    <cfRule type="containsText" priority="351" operator="containsText" dxfId="128" text="ROJO">
      <formula>NOT(ISERROR(SEARCH("ROJO",P417)))</formula>
    </cfRule>
  </conditionalFormatting>
  <conditionalFormatting sqref="P561:P565">
    <cfRule type="containsText" priority="344" operator="containsText" dxfId="131" text="VENCIDO">
      <formula>NOT(ISERROR(SEARCH("VENCIDO",P561)))</formula>
    </cfRule>
    <cfRule type="containsText" priority="345" operator="containsText" dxfId="130" text="VERDE">
      <formula>NOT(ISERROR(SEARCH("VERDE",P561)))</formula>
    </cfRule>
    <cfRule type="containsText" priority="346" operator="containsText" dxfId="129" stopIfTrue="1" text="AMARILLO">
      <formula>NOT(ISERROR(SEARCH("AMARILLO",P561)))</formula>
    </cfRule>
    <cfRule type="containsText" priority="347" operator="containsText" dxfId="128" text="ROJO">
      <formula>NOT(ISERROR(SEARCH("ROJO",P561)))</formula>
    </cfRule>
  </conditionalFormatting>
  <conditionalFormatting sqref="P707:P712">
    <cfRule type="containsText" priority="276" operator="containsText" dxfId="131" text="VENCIDO">
      <formula>NOT(ISERROR(SEARCH("VENCIDO",P707)))</formula>
    </cfRule>
    <cfRule type="containsText" priority="277" operator="containsText" dxfId="130" text="VERDE">
      <formula>NOT(ISERROR(SEARCH("VERDE",P707)))</formula>
    </cfRule>
    <cfRule type="containsText" priority="278" operator="containsText" dxfId="129" stopIfTrue="1" text="AMARILLO">
      <formula>NOT(ISERROR(SEARCH("AMARILLO",P707)))</formula>
    </cfRule>
    <cfRule type="containsText" priority="279" operator="containsText" dxfId="128" text="ROJO">
      <formula>NOT(ISERROR(SEARCH("ROJO",P707)))</formula>
    </cfRule>
  </conditionalFormatting>
  <conditionalFormatting sqref="P777:P783">
    <cfRule type="containsText" priority="267" operator="containsText" dxfId="131" text="VENCIDO">
      <formula>NOT(ISERROR(SEARCH("VENCIDO",P777)))</formula>
    </cfRule>
    <cfRule type="containsText" priority="268" operator="containsText" dxfId="130" text="VERDE">
      <formula>NOT(ISERROR(SEARCH("VERDE",P777)))</formula>
    </cfRule>
    <cfRule type="containsText" priority="269" operator="containsText" dxfId="129" stopIfTrue="1" text="AMARILLO">
      <formula>NOT(ISERROR(SEARCH("AMARILLO",P777)))</formula>
    </cfRule>
    <cfRule type="containsText" priority="270" operator="containsText" dxfId="128" text="ROJO">
      <formula>NOT(ISERROR(SEARCH("ROJO",P777)))</formula>
    </cfRule>
  </conditionalFormatting>
  <conditionalFormatting sqref="Q833:Q848">
    <cfRule type="containsText" priority="261" operator="containsText" dxfId="325" text="VERDE">
      <formula>NOT(ISERROR(SEARCH("VERDE",Q833)))</formula>
    </cfRule>
    <cfRule type="containsText" priority="262" operator="containsText" dxfId="324" text="AMARILLO">
      <formula>NOT(ISERROR(SEARCH("AMARILLO",Q833)))</formula>
    </cfRule>
    <cfRule type="containsText" priority="263" operator="containsText" dxfId="323" text="ROJO">
      <formula>NOT(ISERROR(SEARCH("ROJO",Q833)))</formula>
    </cfRule>
  </conditionalFormatting>
  <conditionalFormatting sqref="Q821:R832">
    <cfRule type="containsText" priority="352" operator="containsText" dxfId="325" text="VERDE">
      <formula>NOT(ISERROR(SEARCH("VERDE",Q821)))</formula>
    </cfRule>
    <cfRule type="containsText" priority="353" operator="containsText" dxfId="324" text="AMARILLO">
      <formula>NOT(ISERROR(SEARCH("AMARILLO",Q821)))</formula>
    </cfRule>
    <cfRule type="containsText" priority="354" operator="containsText" dxfId="323" text="ROJO">
      <formula>NOT(ISERROR(SEARCH("ROJO",Q821)))</formula>
    </cfRule>
  </conditionalFormatting>
  <conditionalFormatting sqref="AO821:AO827 AO838:AO860 AO868:AO871 AO873 AO875:AO887">
    <cfRule type="expression" priority="368" dxfId="314">
      <formula>$AO821&lt;&gt;#REF!</formula>
    </cfRule>
  </conditionalFormatting>
  <conditionalFormatting sqref="AO828:AO835">
    <cfRule type="expression" priority="384" dxfId="314">
      <formula>$AO828&lt;&gt;#REF!</formula>
    </cfRule>
  </conditionalFormatting>
  <conditionalFormatting sqref="AO836:AO837">
    <cfRule type="expression" priority="266" dxfId="314">
      <formula>$AO836&lt;&gt;#REF!</formula>
    </cfRule>
  </conditionalFormatting>
  <conditionalFormatting sqref="AO861">
    <cfRule type="expression" priority="260" dxfId="314">
      <formula>$AO861&lt;&gt;#REF!</formula>
    </cfRule>
  </conditionalFormatting>
  <conditionalFormatting sqref="AO862:AO866">
    <cfRule type="expression" priority="259" dxfId="314">
      <formula>$AO862&lt;&gt;#REF!</formula>
    </cfRule>
  </conditionalFormatting>
  <conditionalFormatting sqref="AO867">
    <cfRule type="expression" priority="258" dxfId="314">
      <formula>$AO867&lt;&gt;#REF!</formula>
    </cfRule>
  </conditionalFormatting>
  <conditionalFormatting sqref="AO872">
    <cfRule type="expression" priority="257" dxfId="314">
      <formula>$AO872&lt;&gt;#REF!</formula>
    </cfRule>
  </conditionalFormatting>
  <conditionalFormatting sqref="AO874">
    <cfRule type="expression" priority="256" dxfId="314">
      <formula>$AO874&lt;&gt;#REF!</formula>
    </cfRule>
  </conditionalFormatting>
  <conditionalFormatting sqref="AO888">
    <cfRule type="expression" priority="385" dxfId="314">
      <formula>$AO888&lt;&gt;$L888</formula>
    </cfRule>
  </conditionalFormatting>
  <conditionalFormatting sqref="AS417">
    <cfRule type="cellIs" priority="370" operator="greaterThan" dxfId="8">
      <formula>1</formula>
    </cfRule>
  </conditionalFormatting>
  <conditionalFormatting sqref="AS423">
    <cfRule type="cellIs" priority="343" operator="greaterThan" dxfId="8">
      <formula>1</formula>
    </cfRule>
  </conditionalFormatting>
  <conditionalFormatting sqref="AS429">
    <cfRule type="cellIs" priority="341" operator="greaterThan" dxfId="8">
      <formula>1</formula>
    </cfRule>
  </conditionalFormatting>
  <conditionalFormatting sqref="AS435">
    <cfRule type="cellIs" priority="339" operator="greaterThan" dxfId="8">
      <formula>1</formula>
    </cfRule>
  </conditionalFormatting>
  <conditionalFormatting sqref="AS441">
    <cfRule type="cellIs" priority="337" operator="greaterThan" dxfId="8">
      <formula>1</formula>
    </cfRule>
  </conditionalFormatting>
  <conditionalFormatting sqref="AS447">
    <cfRule type="cellIs" priority="335" operator="greaterThan" dxfId="8">
      <formula>1</formula>
    </cfRule>
  </conditionalFormatting>
  <conditionalFormatting sqref="AS453">
    <cfRule type="cellIs" priority="333" operator="greaterThan" dxfId="8">
      <formula>1</formula>
    </cfRule>
  </conditionalFormatting>
  <conditionalFormatting sqref="AS459">
    <cfRule type="cellIs" priority="331" operator="greaterThan" dxfId="8">
      <formula>1</formula>
    </cfRule>
  </conditionalFormatting>
  <conditionalFormatting sqref="AS465">
    <cfRule type="cellIs" priority="329" operator="greaterThan" dxfId="8">
      <formula>1</formula>
    </cfRule>
  </conditionalFormatting>
  <conditionalFormatting sqref="AS471">
    <cfRule type="cellIs" priority="327" operator="greaterThan" dxfId="8">
      <formula>1</formula>
    </cfRule>
  </conditionalFormatting>
  <conditionalFormatting sqref="AS477">
    <cfRule type="cellIs" priority="325" operator="greaterThan" dxfId="8">
      <formula>1</formula>
    </cfRule>
  </conditionalFormatting>
  <conditionalFormatting sqref="AS483">
    <cfRule type="cellIs" priority="323" operator="greaterThan" dxfId="8">
      <formula>1</formula>
    </cfRule>
  </conditionalFormatting>
  <conditionalFormatting sqref="AS489">
    <cfRule type="cellIs" priority="321" operator="greaterThan" dxfId="8">
      <formula>1</formula>
    </cfRule>
  </conditionalFormatting>
  <conditionalFormatting sqref="AS495">
    <cfRule type="cellIs" priority="319" operator="greaterThan" dxfId="8">
      <formula>1</formula>
    </cfRule>
  </conditionalFormatting>
  <conditionalFormatting sqref="AS501">
    <cfRule type="cellIs" priority="317" operator="greaterThan" dxfId="8">
      <formula>1</formula>
    </cfRule>
  </conditionalFormatting>
  <conditionalFormatting sqref="AS507">
    <cfRule type="cellIs" priority="315" operator="greaterThan" dxfId="8">
      <formula>1</formula>
    </cfRule>
  </conditionalFormatting>
  <conditionalFormatting sqref="AS513">
    <cfRule type="cellIs" priority="313" operator="greaterThan" dxfId="8">
      <formula>1</formula>
    </cfRule>
  </conditionalFormatting>
  <conditionalFormatting sqref="AS519">
    <cfRule type="cellIs" priority="311" operator="greaterThan" dxfId="8">
      <formula>1</formula>
    </cfRule>
  </conditionalFormatting>
  <conditionalFormatting sqref="AS525">
    <cfRule type="cellIs" priority="309" operator="greaterThan" dxfId="8">
      <formula>1</formula>
    </cfRule>
  </conditionalFormatting>
  <conditionalFormatting sqref="AS531">
    <cfRule type="cellIs" priority="307" operator="greaterThan" dxfId="8">
      <formula>1</formula>
    </cfRule>
  </conditionalFormatting>
  <conditionalFormatting sqref="AS537">
    <cfRule type="cellIs" priority="305" operator="greaterThan" dxfId="8">
      <formula>1</formula>
    </cfRule>
  </conditionalFormatting>
  <conditionalFormatting sqref="AS543">
    <cfRule type="cellIs" priority="303" operator="greaterThan" dxfId="8">
      <formula>1</formula>
    </cfRule>
  </conditionalFormatting>
  <conditionalFormatting sqref="AS549">
    <cfRule type="cellIs" priority="301" operator="greaterThan" dxfId="8">
      <formula>1</formula>
    </cfRule>
  </conditionalFormatting>
  <conditionalFormatting sqref="AS555">
    <cfRule type="cellIs" priority="299" operator="greaterThan" dxfId="8">
      <formula>1</formula>
    </cfRule>
  </conditionalFormatting>
  <conditionalFormatting sqref="AS561">
    <cfRule type="cellIs" priority="297" operator="greaterThan" dxfId="8">
      <formula>1</formula>
    </cfRule>
  </conditionalFormatting>
  <conditionalFormatting sqref="AS567">
    <cfRule type="cellIs" priority="295" operator="greaterThan" dxfId="8">
      <formula>1</formula>
    </cfRule>
  </conditionalFormatting>
  <conditionalFormatting sqref="AS573">
    <cfRule type="cellIs" priority="290" operator="greaterThan" dxfId="8">
      <formula>1</formula>
    </cfRule>
  </conditionalFormatting>
  <conditionalFormatting sqref="AS579">
    <cfRule type="cellIs" priority="292" operator="greaterThan" dxfId="8">
      <formula>1</formula>
    </cfRule>
  </conditionalFormatting>
  <conditionalFormatting sqref="AS585">
    <cfRule type="cellIs" priority="289" operator="greaterThan" dxfId="8">
      <formula>1</formula>
    </cfRule>
  </conditionalFormatting>
  <conditionalFormatting sqref="AS591">
    <cfRule type="cellIs" priority="287" operator="greaterThan" dxfId="8">
      <formula>1</formula>
    </cfRule>
  </conditionalFormatting>
  <conditionalFormatting sqref="AS597 AS603">
    <cfRule type="cellIs" priority="285" operator="greaterThan" dxfId="8">
      <formula>1</formula>
    </cfRule>
  </conditionalFormatting>
  <conditionalFormatting sqref="AS609 AS615 AS621 AS627">
    <cfRule type="cellIs" priority="283" operator="greaterThan" dxfId="8">
      <formula>1</formula>
    </cfRule>
  </conditionalFormatting>
  <conditionalFormatting sqref="AS780:AS787">
    <cfRule type="cellIs" priority="376" operator="greaterThan" dxfId="8">
      <formula>1</formula>
    </cfRule>
  </conditionalFormatting>
  <conditionalFormatting sqref="AS821:AS856">
    <cfRule type="cellIs" priority="265" operator="greaterThan" dxfId="8">
      <formula>1</formula>
    </cfRule>
  </conditionalFormatting>
  <conditionalFormatting sqref="AT417">
    <cfRule type="cellIs" priority="369" operator="greaterThan" dxfId="121">
      <formula>1</formula>
    </cfRule>
  </conditionalFormatting>
  <conditionalFormatting sqref="AT423">
    <cfRule type="cellIs" priority="342" operator="greaterThan" dxfId="121">
      <formula>1</formula>
    </cfRule>
  </conditionalFormatting>
  <conditionalFormatting sqref="AT429">
    <cfRule type="cellIs" priority="340" operator="greaterThan" dxfId="121">
      <formula>1</formula>
    </cfRule>
  </conditionalFormatting>
  <conditionalFormatting sqref="AT435">
    <cfRule type="cellIs" priority="338" operator="greaterThan" dxfId="121">
      <formula>1</formula>
    </cfRule>
  </conditionalFormatting>
  <conditionalFormatting sqref="AT441">
    <cfRule type="cellIs" priority="336" operator="greaterThan" dxfId="121">
      <formula>1</formula>
    </cfRule>
  </conditionalFormatting>
  <conditionalFormatting sqref="AT447">
    <cfRule type="cellIs" priority="334" operator="greaterThan" dxfId="121">
      <formula>1</formula>
    </cfRule>
  </conditionalFormatting>
  <conditionalFormatting sqref="AT453">
    <cfRule type="cellIs" priority="332" operator="greaterThan" dxfId="121">
      <formula>1</formula>
    </cfRule>
  </conditionalFormatting>
  <conditionalFormatting sqref="AT459">
    <cfRule type="cellIs" priority="330" operator="greaterThan" dxfId="121">
      <formula>1</formula>
    </cfRule>
  </conditionalFormatting>
  <conditionalFormatting sqref="AT465">
    <cfRule type="cellIs" priority="328" operator="greaterThan" dxfId="121">
      <formula>1</formula>
    </cfRule>
  </conditionalFormatting>
  <conditionalFormatting sqref="AT471">
    <cfRule type="cellIs" priority="326" operator="greaterThan" dxfId="121">
      <formula>1</formula>
    </cfRule>
  </conditionalFormatting>
  <conditionalFormatting sqref="AT477">
    <cfRule type="cellIs" priority="324" operator="greaterThan" dxfId="121">
      <formula>1</formula>
    </cfRule>
  </conditionalFormatting>
  <conditionalFormatting sqref="AT483">
    <cfRule type="cellIs" priority="322" operator="greaterThan" dxfId="121">
      <formula>1</formula>
    </cfRule>
  </conditionalFormatting>
  <conditionalFormatting sqref="AT489">
    <cfRule type="cellIs" priority="320" operator="greaterThan" dxfId="121">
      <formula>1</formula>
    </cfRule>
  </conditionalFormatting>
  <conditionalFormatting sqref="AT495">
    <cfRule type="cellIs" priority="318" operator="greaterThan" dxfId="121">
      <formula>1</formula>
    </cfRule>
  </conditionalFormatting>
  <conditionalFormatting sqref="AT501">
    <cfRule type="cellIs" priority="316" operator="greaterThan" dxfId="121">
      <formula>1</formula>
    </cfRule>
  </conditionalFormatting>
  <conditionalFormatting sqref="AT507">
    <cfRule type="cellIs" priority="314" operator="greaterThan" dxfId="121">
      <formula>1</formula>
    </cfRule>
  </conditionalFormatting>
  <conditionalFormatting sqref="AT513">
    <cfRule type="cellIs" priority="312" operator="greaterThan" dxfId="121">
      <formula>1</formula>
    </cfRule>
  </conditionalFormatting>
  <conditionalFormatting sqref="AT519">
    <cfRule type="cellIs" priority="310" operator="greaterThan" dxfId="121">
      <formula>1</formula>
    </cfRule>
  </conditionalFormatting>
  <conditionalFormatting sqref="AT525">
    <cfRule type="cellIs" priority="308" operator="greaterThan" dxfId="121">
      <formula>1</formula>
    </cfRule>
  </conditionalFormatting>
  <conditionalFormatting sqref="AT531">
    <cfRule type="cellIs" priority="306" operator="greaterThan" dxfId="121">
      <formula>1</formula>
    </cfRule>
  </conditionalFormatting>
  <conditionalFormatting sqref="AT537">
    <cfRule type="cellIs" priority="304" operator="greaterThan" dxfId="121">
      <formula>1</formula>
    </cfRule>
  </conditionalFormatting>
  <conditionalFormatting sqref="AT543">
    <cfRule type="cellIs" priority="302" operator="greaterThan" dxfId="121">
      <formula>1</formula>
    </cfRule>
  </conditionalFormatting>
  <conditionalFormatting sqref="AT549">
    <cfRule type="cellIs" priority="300" operator="greaterThan" dxfId="121">
      <formula>1</formula>
    </cfRule>
  </conditionalFormatting>
  <conditionalFormatting sqref="AT555">
    <cfRule type="cellIs" priority="298" operator="greaterThan" dxfId="121">
      <formula>1</formula>
    </cfRule>
  </conditionalFormatting>
  <conditionalFormatting sqref="AT561">
    <cfRule type="cellIs" priority="296" operator="greaterThan" dxfId="121">
      <formula>1</formula>
    </cfRule>
  </conditionalFormatting>
  <conditionalFormatting sqref="AT567">
    <cfRule type="cellIs" priority="294" operator="greaterThan" dxfId="121">
      <formula>1</formula>
    </cfRule>
  </conditionalFormatting>
  <conditionalFormatting sqref="AT573">
    <cfRule type="cellIs" priority="293" operator="greaterThan" dxfId="121">
      <formula>1</formula>
    </cfRule>
  </conditionalFormatting>
  <conditionalFormatting sqref="AT579">
    <cfRule type="cellIs" priority="291" operator="greaterThan" dxfId="121">
      <formula>1</formula>
    </cfRule>
  </conditionalFormatting>
  <conditionalFormatting sqref="AT585">
    <cfRule type="cellIs" priority="288" operator="greaterThan" dxfId="121">
      <formula>1</formula>
    </cfRule>
  </conditionalFormatting>
  <conditionalFormatting sqref="AT591">
    <cfRule type="cellIs" priority="286" operator="greaterThan" dxfId="121">
      <formula>1</formula>
    </cfRule>
  </conditionalFormatting>
  <conditionalFormatting sqref="AT597 AT603">
    <cfRule type="cellIs" priority="284" operator="greaterThan" dxfId="121">
      <formula>1</formula>
    </cfRule>
  </conditionalFormatting>
  <conditionalFormatting sqref="AT609 AT615 AT621 AT627">
    <cfRule type="cellIs" priority="282" operator="greaterThan" dxfId="121">
      <formula>1</formula>
    </cfRule>
  </conditionalFormatting>
  <conditionalFormatting sqref="AT780:AT787">
    <cfRule type="cellIs" priority="375" operator="greaterThan" dxfId="121">
      <formula>1</formula>
    </cfRule>
  </conditionalFormatting>
  <conditionalFormatting sqref="AT821:AT856">
    <cfRule type="cellIs" priority="264" operator="greaterThan" dxfId="121">
      <formula>1</formula>
    </cfRule>
  </conditionalFormatting>
  <conditionalFormatting sqref="K561:K565">
    <cfRule type="cellIs" priority="248" operator="lessThan" dxfId="0" stopIfTrue="1">
      <formula>0</formula>
    </cfRule>
  </conditionalFormatting>
  <conditionalFormatting sqref="K417:K421">
    <cfRule type="cellIs" priority="247" operator="lessThan" dxfId="0" stopIfTrue="1">
      <formula>0</formula>
    </cfRule>
  </conditionalFormatting>
  <conditionalFormatting sqref="K405:K408">
    <cfRule type="cellIs" priority="246" operator="lessThan" dxfId="0" stopIfTrue="1">
      <formula>0</formula>
    </cfRule>
  </conditionalFormatting>
  <conditionalFormatting sqref="K395:K398">
    <cfRule type="cellIs" priority="245" operator="lessThan" dxfId="0" stopIfTrue="1">
      <formula>0</formula>
    </cfRule>
  </conditionalFormatting>
  <conditionalFormatting sqref="K400:K403">
    <cfRule type="cellIs" priority="244" operator="lessThan" dxfId="0" stopIfTrue="1">
      <formula>0</formula>
    </cfRule>
  </conditionalFormatting>
  <conditionalFormatting sqref="K390:K393">
    <cfRule type="cellIs" priority="243" operator="lessThan" dxfId="0" stopIfTrue="1">
      <formula>0</formula>
    </cfRule>
  </conditionalFormatting>
  <conditionalFormatting sqref="P390:P393">
    <cfRule type="containsText" priority="239" operator="containsText" dxfId="131" text="VENCIDO">
      <formula>NOT(ISERROR(SEARCH("VENCIDO",P390)))</formula>
    </cfRule>
    <cfRule type="containsText" priority="240" operator="containsText" dxfId="130" text="VERDE">
      <formula>NOT(ISERROR(SEARCH("VERDE",P390)))</formula>
    </cfRule>
    <cfRule type="containsText" priority="241" operator="containsText" dxfId="129" stopIfTrue="1" text="AMARILLO">
      <formula>NOT(ISERROR(SEARCH("AMARILLO",P390)))</formula>
    </cfRule>
    <cfRule type="containsText" priority="242" operator="containsText" dxfId="128" text="ROJO">
      <formula>NOT(ISERROR(SEARCH("ROJO",P390)))</formula>
    </cfRule>
  </conditionalFormatting>
  <conditionalFormatting sqref="P395:P398">
    <cfRule type="containsText" priority="235" operator="containsText" dxfId="131" text="VENCIDO">
      <formula>NOT(ISERROR(SEARCH("VENCIDO",P395)))</formula>
    </cfRule>
    <cfRule type="containsText" priority="236" operator="containsText" dxfId="130" text="VERDE">
      <formula>NOT(ISERROR(SEARCH("VERDE",P395)))</formula>
    </cfRule>
    <cfRule type="containsText" priority="237" operator="containsText" dxfId="129" stopIfTrue="1" text="AMARILLO">
      <formula>NOT(ISERROR(SEARCH("AMARILLO",P395)))</formula>
    </cfRule>
    <cfRule type="containsText" priority="238" operator="containsText" dxfId="128" text="ROJO">
      <formula>NOT(ISERROR(SEARCH("ROJO",P395)))</formula>
    </cfRule>
  </conditionalFormatting>
  <conditionalFormatting sqref="P400:P403">
    <cfRule type="containsText" priority="231" operator="containsText" dxfId="131" text="VENCIDO">
      <formula>NOT(ISERROR(SEARCH("VENCIDO",P400)))</formula>
    </cfRule>
    <cfRule type="containsText" priority="232" operator="containsText" dxfId="130" text="VERDE">
      <formula>NOT(ISERROR(SEARCH("VERDE",P400)))</formula>
    </cfRule>
    <cfRule type="containsText" priority="233" operator="containsText" dxfId="129" stopIfTrue="1" text="AMARILLO">
      <formula>NOT(ISERROR(SEARCH("AMARILLO",P400)))</formula>
    </cfRule>
    <cfRule type="containsText" priority="234" operator="containsText" dxfId="128" text="ROJO">
      <formula>NOT(ISERROR(SEARCH("ROJO",P400)))</formula>
    </cfRule>
  </conditionalFormatting>
  <conditionalFormatting sqref="P405:P408">
    <cfRule type="containsText" priority="227" operator="containsText" dxfId="131" text="VENCIDO">
      <formula>NOT(ISERROR(SEARCH("VENCIDO",P405)))</formula>
    </cfRule>
    <cfRule type="containsText" priority="228" operator="containsText" dxfId="130" text="VERDE">
      <formula>NOT(ISERROR(SEARCH("VERDE",P405)))</formula>
    </cfRule>
    <cfRule type="containsText" priority="229" operator="containsText" dxfId="129" stopIfTrue="1" text="AMARILLO">
      <formula>NOT(ISERROR(SEARCH("AMARILLO",P405)))</formula>
    </cfRule>
    <cfRule type="containsText" priority="230" operator="containsText" dxfId="128" text="ROJO">
      <formula>NOT(ISERROR(SEARCH("ROJO",P405)))</formula>
    </cfRule>
  </conditionalFormatting>
  <conditionalFormatting sqref="K640:K644 K646:K650 K652:K656 K658:K662 K664:K668 K670:K674 K676:K680 K682:K686 K688:K692 K694:K698 K700:K704">
    <cfRule type="cellIs" priority="183"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26"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22" operator="containsText" dxfId="131" text="VENCIDO">
      <formula>NOT(ISERROR(SEARCH("VENCIDO",P19)))</formula>
    </cfRule>
    <cfRule type="containsText" priority="223" operator="containsText" dxfId="130" text="VERDE">
      <formula>NOT(ISERROR(SEARCH("VERDE",P19)))</formula>
    </cfRule>
    <cfRule type="containsText" priority="224" operator="containsText" dxfId="129" stopIfTrue="1" text="AMARILLO">
      <formula>NOT(ISERROR(SEARCH("AMARILLO",P19)))</formula>
    </cfRule>
    <cfRule type="containsText" priority="225" operator="containsText" dxfId="128" text="ROJO">
      <formula>NOT(ISERROR(SEARCH("ROJO",P19)))</formula>
    </cfRule>
  </conditionalFormatting>
  <conditionalFormatting sqref="K230:K234 K236:K240 K242:K246 K248:K252 K254:K258 K260:K264 K266:K270 K272:K276 K278:K282 K284:K288 K290:K294 K296:K300">
    <cfRule type="cellIs" priority="221" operator="lessThan" dxfId="0" stopIfTrue="1">
      <formula>0</formula>
    </cfRule>
  </conditionalFormatting>
  <conditionalFormatting sqref="P230:P234 P236:P240 P242:P246 P248:P252 P254:P258 P260:P264 P266:P270 P272:P276 P278:P282 P284:P288 P290:P294 P296:P300">
    <cfRule type="containsText" priority="217" operator="containsText" dxfId="131" text="VENCIDO">
      <formula>NOT(ISERROR(SEARCH("VENCIDO",P230)))</formula>
    </cfRule>
    <cfRule type="containsText" priority="218" operator="containsText" dxfId="130" text="VERDE">
      <formula>NOT(ISERROR(SEARCH("VERDE",P230)))</formula>
    </cfRule>
    <cfRule type="containsText" priority="219" operator="containsText" dxfId="129" stopIfTrue="1" text="AMARILLO">
      <formula>NOT(ISERROR(SEARCH("AMARILLO",P230)))</formula>
    </cfRule>
    <cfRule type="containsText" priority="220" operator="containsText" dxfId="128" text="ROJO">
      <formula>NOT(ISERROR(SEARCH("ROJO",P230)))</formula>
    </cfRule>
  </conditionalFormatting>
  <conditionalFormatting sqref="K316 K323 K330 K337 K344 K351 K358 K365 K372">
    <cfRule type="containsText" priority="216" operator="containsText" dxfId="8" text="Falso">
      <formula>NOT(ISERROR(SEARCH("Falso",K316)))</formula>
    </cfRule>
  </conditionalFormatting>
  <conditionalFormatting sqref="P310:P315 P317:P322 P324:P329 P331:P336 P338:P343 P345:P350 P352:P357 P359:P364 P366:P371">
    <cfRule type="containsText" priority="212" operator="containsText" dxfId="131" text="VENCIDO">
      <formula>NOT(ISERROR(SEARCH("VENCIDO",P310)))</formula>
    </cfRule>
    <cfRule type="containsText" priority="213" operator="containsText" dxfId="130" text="VERDE">
      <formula>NOT(ISERROR(SEARCH("VERDE",P310)))</formula>
    </cfRule>
    <cfRule type="containsText" priority="214" operator="containsText" dxfId="129" stopIfTrue="1" text="AMARILLO">
      <formula>NOT(ISERROR(SEARCH("AMARILLO",P310)))</formula>
    </cfRule>
    <cfRule type="containsText" priority="215" operator="containsText" dxfId="128" text="ROJO">
      <formula>NOT(ISERROR(SEARCH("ROJO",P310)))</formula>
    </cfRule>
  </conditionalFormatting>
  <conditionalFormatting sqref="K310:K315">
    <cfRule type="cellIs" priority="211" operator="lessThan" dxfId="0" stopIfTrue="1">
      <formula>0</formula>
    </cfRule>
  </conditionalFormatting>
  <conditionalFormatting sqref="K317:K322">
    <cfRule type="cellIs" priority="210" operator="lessThan" dxfId="0" stopIfTrue="1">
      <formula>0</formula>
    </cfRule>
  </conditionalFormatting>
  <conditionalFormatting sqref="K324:K329">
    <cfRule type="cellIs" priority="209" operator="lessThan" dxfId="0" stopIfTrue="1">
      <formula>0</formula>
    </cfRule>
  </conditionalFormatting>
  <conditionalFormatting sqref="K331:K336">
    <cfRule type="cellIs" priority="208" operator="lessThan" dxfId="0" stopIfTrue="1">
      <formula>0</formula>
    </cfRule>
  </conditionalFormatting>
  <conditionalFormatting sqref="K338:K343">
    <cfRule type="cellIs" priority="207" operator="lessThan" dxfId="0" stopIfTrue="1">
      <formula>0</formula>
    </cfRule>
  </conditionalFormatting>
  <conditionalFormatting sqref="K345:K350">
    <cfRule type="cellIs" priority="206" operator="lessThan" dxfId="0" stopIfTrue="1">
      <formula>0</formula>
    </cfRule>
  </conditionalFormatting>
  <conditionalFormatting sqref="K352:K357">
    <cfRule type="cellIs" priority="205" operator="lessThan" dxfId="0" stopIfTrue="1">
      <formula>0</formula>
    </cfRule>
  </conditionalFormatting>
  <conditionalFormatting sqref="K359:K364">
    <cfRule type="cellIs" priority="204" operator="lessThan" dxfId="0" stopIfTrue="1">
      <formula>0</formula>
    </cfRule>
  </conditionalFormatting>
  <conditionalFormatting sqref="K366:K371">
    <cfRule type="cellIs" priority="203"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199" operator="containsText" dxfId="131" text="VENCIDO">
      <formula>NOT(ISERROR(SEARCH("VENCIDO",P423)))</formula>
    </cfRule>
    <cfRule type="containsText" priority="200" operator="containsText" dxfId="130" text="VERDE">
      <formula>NOT(ISERROR(SEARCH("VERDE",P423)))</formula>
    </cfRule>
    <cfRule type="containsText" priority="201" operator="containsText" dxfId="129" stopIfTrue="1" text="AMARILLO">
      <formula>NOT(ISERROR(SEARCH("AMARILLO",P423)))</formula>
    </cfRule>
    <cfRule type="containsText" priority="202"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198" operator="lessThan" dxfId="0" stopIfTrue="1">
      <formula>0</formula>
    </cfRule>
  </conditionalFormatting>
  <conditionalFormatting sqref="P567:P571">
    <cfRule type="containsText" priority="194" operator="containsText" dxfId="131" text="VENCIDO">
      <formula>NOT(ISERROR(SEARCH("VENCIDO",P567)))</formula>
    </cfRule>
    <cfRule type="containsText" priority="195" operator="containsText" dxfId="130" text="VERDE">
      <formula>NOT(ISERROR(SEARCH("VERDE",P567)))</formula>
    </cfRule>
    <cfRule type="containsText" priority="196" operator="containsText" dxfId="129" stopIfTrue="1" text="AMARILLO">
      <formula>NOT(ISERROR(SEARCH("AMARILLO",P567)))</formula>
    </cfRule>
    <cfRule type="containsText" priority="197" operator="containsText" dxfId="128" text="ROJO">
      <formula>NOT(ISERROR(SEARCH("ROJO",P567)))</formula>
    </cfRule>
  </conditionalFormatting>
  <conditionalFormatting sqref="K567:K571">
    <cfRule type="cellIs" priority="193" operator="lessThan" dxfId="0" stopIfTrue="1">
      <formula>0</formula>
    </cfRule>
  </conditionalFormatting>
  <conditionalFormatting sqref="P573:P577 P579:P583 P585:P589 P591:P595 P597:P601 P603:P607 P609:P613 P615:P619 P621:P625 P627:P631">
    <cfRule type="containsText" priority="189" operator="containsText" dxfId="131" text="VENCIDO">
      <formula>NOT(ISERROR(SEARCH("VENCIDO",P573)))</formula>
    </cfRule>
    <cfRule type="containsText" priority="190" operator="containsText" dxfId="130" text="VERDE">
      <formula>NOT(ISERROR(SEARCH("VERDE",P573)))</formula>
    </cfRule>
    <cfRule type="containsText" priority="191" operator="containsText" dxfId="129" stopIfTrue="1" text="AMARILLO">
      <formula>NOT(ISERROR(SEARCH("AMARILLO",P573)))</formula>
    </cfRule>
    <cfRule type="containsText" priority="192" operator="containsText" dxfId="128" text="ROJO">
      <formula>NOT(ISERROR(SEARCH("ROJO",P573)))</formula>
    </cfRule>
  </conditionalFormatting>
  <conditionalFormatting sqref="K573:K577 K579:K583 K585:K589 K591:K595 K597:K601 K603:K607 K609:K613 K615:K619 K621:K625 K627:K631">
    <cfRule type="cellIs" priority="188" operator="lessThan" dxfId="0" stopIfTrue="1">
      <formula>0</formula>
    </cfRule>
  </conditionalFormatting>
  <conditionalFormatting sqref="P634:P638">
    <cfRule type="containsText" priority="184" operator="containsText" dxfId="131" text="VENCIDO">
      <formula>NOT(ISERROR(SEARCH("VENCIDO",P634)))</formula>
    </cfRule>
    <cfRule type="containsText" priority="185" operator="containsText" dxfId="130" text="VERDE">
      <formula>NOT(ISERROR(SEARCH("VERDE",P634)))</formula>
    </cfRule>
    <cfRule type="containsText" priority="186" operator="containsText" dxfId="129" stopIfTrue="1" text="AMARILLO">
      <formula>NOT(ISERROR(SEARCH("AMARILLO",P634)))</formula>
    </cfRule>
    <cfRule type="containsText" priority="187" operator="containsText" dxfId="128" text="ROJO">
      <formula>NOT(ISERROR(SEARCH("ROJO",P634)))</formula>
    </cfRule>
  </conditionalFormatting>
  <conditionalFormatting sqref="P640:P644 P646:P650 P652:P656 P658:P662 P664:P668 P670:P674 P676:P680 P682:P686 P688:P692 P694:P698 P700:P704">
    <cfRule type="containsText" priority="179" operator="containsText" dxfId="131" text="VENCIDO">
      <formula>NOT(ISERROR(SEARCH("VENCIDO",P640)))</formula>
    </cfRule>
    <cfRule type="containsText" priority="180" operator="containsText" dxfId="130" text="VERDE">
      <formula>NOT(ISERROR(SEARCH("VERDE",P640)))</formula>
    </cfRule>
    <cfRule type="containsText" priority="181" operator="containsText" dxfId="129" stopIfTrue="1" text="AMARILLO">
      <formula>NOT(ISERROR(SEARCH("AMARILLO",P640)))</formula>
    </cfRule>
    <cfRule type="containsText" priority="182" operator="containsText" dxfId="128" text="ROJO">
      <formula>NOT(ISERROR(SEARCH("ROJO",P640)))</formula>
    </cfRule>
  </conditionalFormatting>
  <conditionalFormatting sqref="P714:P719">
    <cfRule type="containsText" priority="175" operator="containsText" dxfId="131" text="VENCIDO">
      <formula>NOT(ISERROR(SEARCH("VENCIDO",P714)))</formula>
    </cfRule>
    <cfRule type="containsText" priority="176" operator="containsText" dxfId="130" text="VERDE">
      <formula>NOT(ISERROR(SEARCH("VERDE",P714)))</formula>
    </cfRule>
    <cfRule type="containsText" priority="177" operator="containsText" dxfId="129" stopIfTrue="1" text="AMARILLO">
      <formula>NOT(ISERROR(SEARCH("AMARILLO",P714)))</formula>
    </cfRule>
    <cfRule type="containsText" priority="178" operator="containsText" dxfId="128" text="ROJO">
      <formula>NOT(ISERROR(SEARCH("ROJO",P714)))</formula>
    </cfRule>
  </conditionalFormatting>
  <conditionalFormatting sqref="P721:P726">
    <cfRule type="containsText" priority="171" operator="containsText" dxfId="131" text="VENCIDO">
      <formula>NOT(ISERROR(SEARCH("VENCIDO",P721)))</formula>
    </cfRule>
    <cfRule type="containsText" priority="172" operator="containsText" dxfId="130" text="VERDE">
      <formula>NOT(ISERROR(SEARCH("VERDE",P721)))</formula>
    </cfRule>
    <cfRule type="containsText" priority="173" operator="containsText" dxfId="129" stopIfTrue="1" text="AMARILLO">
      <formula>NOT(ISERROR(SEARCH("AMARILLO",P721)))</formula>
    </cfRule>
    <cfRule type="containsText" priority="174" operator="containsText" dxfId="128" text="ROJO">
      <formula>NOT(ISERROR(SEARCH("ROJO",P721)))</formula>
    </cfRule>
  </conditionalFormatting>
  <conditionalFormatting sqref="P728:P733">
    <cfRule type="containsText" priority="167" operator="containsText" dxfId="131" text="VENCIDO">
      <formula>NOT(ISERROR(SEARCH("VENCIDO",P728)))</formula>
    </cfRule>
    <cfRule type="containsText" priority="168" operator="containsText" dxfId="130" text="VERDE">
      <formula>NOT(ISERROR(SEARCH("VERDE",P728)))</formula>
    </cfRule>
    <cfRule type="containsText" priority="169" operator="containsText" dxfId="129" stopIfTrue="1" text="AMARILLO">
      <formula>NOT(ISERROR(SEARCH("AMARILLO",P728)))</formula>
    </cfRule>
    <cfRule type="containsText" priority="170" operator="containsText" dxfId="128" text="ROJO">
      <formula>NOT(ISERROR(SEARCH("ROJO",P728)))</formula>
    </cfRule>
  </conditionalFormatting>
  <conditionalFormatting sqref="P735:P740">
    <cfRule type="containsText" priority="163" operator="containsText" dxfId="131" text="VENCIDO">
      <formula>NOT(ISERROR(SEARCH("VENCIDO",P735)))</formula>
    </cfRule>
    <cfRule type="containsText" priority="164" operator="containsText" dxfId="130" text="VERDE">
      <formula>NOT(ISERROR(SEARCH("VERDE",P735)))</formula>
    </cfRule>
    <cfRule type="containsText" priority="165" operator="containsText" dxfId="129" stopIfTrue="1" text="AMARILLO">
      <formula>NOT(ISERROR(SEARCH("AMARILLO",P735)))</formula>
    </cfRule>
    <cfRule type="containsText" priority="166" operator="containsText" dxfId="128" text="ROJO">
      <formula>NOT(ISERROR(SEARCH("ROJO",P735)))</formula>
    </cfRule>
  </conditionalFormatting>
  <conditionalFormatting sqref="P742:P747">
    <cfRule type="containsText" priority="159" operator="containsText" dxfId="131" text="VENCIDO">
      <formula>NOT(ISERROR(SEARCH("VENCIDO",P742)))</formula>
    </cfRule>
    <cfRule type="containsText" priority="160" operator="containsText" dxfId="130" text="VERDE">
      <formula>NOT(ISERROR(SEARCH("VERDE",P742)))</formula>
    </cfRule>
    <cfRule type="containsText" priority="161" operator="containsText" dxfId="129" stopIfTrue="1" text="AMARILLO">
      <formula>NOT(ISERROR(SEARCH("AMARILLO",P742)))</formula>
    </cfRule>
    <cfRule type="containsText" priority="162" operator="containsText" dxfId="128" text="ROJO">
      <formula>NOT(ISERROR(SEARCH("ROJO",P742)))</formula>
    </cfRule>
  </conditionalFormatting>
  <conditionalFormatting sqref="P749:P754">
    <cfRule type="containsText" priority="155" operator="containsText" dxfId="131" text="VENCIDO">
      <formula>NOT(ISERROR(SEARCH("VENCIDO",P749)))</formula>
    </cfRule>
    <cfRule type="containsText" priority="156" operator="containsText" dxfId="130" text="VERDE">
      <formula>NOT(ISERROR(SEARCH("VERDE",P749)))</formula>
    </cfRule>
    <cfRule type="containsText" priority="157" operator="containsText" dxfId="129" stopIfTrue="1" text="AMARILLO">
      <formula>NOT(ISERROR(SEARCH("AMARILLO",P749)))</formula>
    </cfRule>
    <cfRule type="containsText" priority="158" operator="containsText" dxfId="128" text="ROJO">
      <formula>NOT(ISERROR(SEARCH("ROJO",P749)))</formula>
    </cfRule>
  </conditionalFormatting>
  <conditionalFormatting sqref="P756:P761">
    <cfRule type="containsText" priority="151" operator="containsText" dxfId="131" text="VENCIDO">
      <formula>NOT(ISERROR(SEARCH("VENCIDO",P756)))</formula>
    </cfRule>
    <cfRule type="containsText" priority="152" operator="containsText" dxfId="130" text="VERDE">
      <formula>NOT(ISERROR(SEARCH("VERDE",P756)))</formula>
    </cfRule>
    <cfRule type="containsText" priority="153" operator="containsText" dxfId="129" stopIfTrue="1" text="AMARILLO">
      <formula>NOT(ISERROR(SEARCH("AMARILLO",P756)))</formula>
    </cfRule>
    <cfRule type="containsText" priority="154" operator="containsText" dxfId="128" text="ROJO">
      <formula>NOT(ISERROR(SEARCH("ROJO",P756)))</formula>
    </cfRule>
  </conditionalFormatting>
  <conditionalFormatting sqref="P763:P768">
    <cfRule type="containsText" priority="147" operator="containsText" dxfId="131" text="VENCIDO">
      <formula>NOT(ISERROR(SEARCH("VENCIDO",P763)))</formula>
    </cfRule>
    <cfRule type="containsText" priority="148" operator="containsText" dxfId="130" text="VERDE">
      <formula>NOT(ISERROR(SEARCH("VERDE",P763)))</formula>
    </cfRule>
    <cfRule type="containsText" priority="149" operator="containsText" dxfId="129" stopIfTrue="1" text="AMARILLO">
      <formula>NOT(ISERROR(SEARCH("AMARILLO",P763)))</formula>
    </cfRule>
    <cfRule type="containsText" priority="150" operator="containsText" dxfId="128" text="ROJO">
      <formula>NOT(ISERROR(SEARCH("ROJO",P763)))</formula>
    </cfRule>
  </conditionalFormatting>
  <conditionalFormatting sqref="P770:P775">
    <cfRule type="containsText" priority="143" operator="containsText" dxfId="131" text="VENCIDO">
      <formula>NOT(ISERROR(SEARCH("VENCIDO",P770)))</formula>
    </cfRule>
    <cfRule type="containsText" priority="144" operator="containsText" dxfId="130" text="VERDE">
      <formula>NOT(ISERROR(SEARCH("VERDE",P770)))</formula>
    </cfRule>
    <cfRule type="containsText" priority="145" operator="containsText" dxfId="129" stopIfTrue="1" text="AMARILLO">
      <formula>NOT(ISERROR(SEARCH("AMARILLO",P770)))</formula>
    </cfRule>
    <cfRule type="containsText" priority="146" operator="containsText" dxfId="128" text="ROJO">
      <formula>NOT(ISERROR(SEARCH("ROJO",P770)))</formula>
    </cfRule>
  </conditionalFormatting>
  <conditionalFormatting sqref="P789:P792">
    <cfRule type="containsText" priority="139" operator="containsText" dxfId="131" text="VENCIDO">
      <formula>NOT(ISERROR(SEARCH("VENCIDO",P789)))</formula>
    </cfRule>
    <cfRule type="containsText" priority="140" operator="containsText" dxfId="130" text="VERDE">
      <formula>NOT(ISERROR(SEARCH("VERDE",P789)))</formula>
    </cfRule>
    <cfRule type="containsText" priority="141" operator="containsText" dxfId="129" stopIfTrue="1" text="AMARILLO">
      <formula>NOT(ISERROR(SEARCH("AMARILLO",P789)))</formula>
    </cfRule>
    <cfRule type="containsText" priority="142" operator="containsText" dxfId="128" text="ROJO">
      <formula>NOT(ISERROR(SEARCH("ROJO",P789)))</formula>
    </cfRule>
  </conditionalFormatting>
  <conditionalFormatting sqref="P794:P797">
    <cfRule type="containsText" priority="135" operator="containsText" dxfId="131" text="VENCIDO">
      <formula>NOT(ISERROR(SEARCH("VENCIDO",P794)))</formula>
    </cfRule>
    <cfRule type="containsText" priority="136" operator="containsText" dxfId="130" text="VERDE">
      <formula>NOT(ISERROR(SEARCH("VERDE",P794)))</formula>
    </cfRule>
    <cfRule type="containsText" priority="137" operator="containsText" dxfId="129" stopIfTrue="1" text="AMARILLO">
      <formula>NOT(ISERROR(SEARCH("AMARILLO",P794)))</formula>
    </cfRule>
    <cfRule type="containsText" priority="138" operator="containsText" dxfId="128" text="ROJO">
      <formula>NOT(ISERROR(SEARCH("ROJO",P794)))</formula>
    </cfRule>
  </conditionalFormatting>
  <conditionalFormatting sqref="P799:P802 P804:P807 P809:P812">
    <cfRule type="containsText" priority="131" operator="containsText" dxfId="131" text="VENCIDO">
      <formula>NOT(ISERROR(SEARCH("VENCIDO",P799)))</formula>
    </cfRule>
    <cfRule type="containsText" priority="132" operator="containsText" dxfId="130" text="VERDE">
      <formula>NOT(ISERROR(SEARCH("VERDE",P799)))</formula>
    </cfRule>
    <cfRule type="containsText" priority="133" operator="containsText" dxfId="129" stopIfTrue="1" text="AMARILLO">
      <formula>NOT(ISERROR(SEARCH("AMARILLO",P799)))</formula>
    </cfRule>
    <cfRule type="containsText" priority="134" operator="containsText" dxfId="128" text="ROJO">
      <formula>NOT(ISERROR(SEARCH("ROJO",P799)))</formula>
    </cfRule>
  </conditionalFormatting>
  <conditionalFormatting sqref="K789:K792">
    <cfRule type="cellIs" priority="130" operator="lessThan" dxfId="0" stopIfTrue="1">
      <formula>0</formula>
    </cfRule>
  </conditionalFormatting>
  <conditionalFormatting sqref="K794:K797">
    <cfRule type="cellIs" priority="129" operator="lessThan" dxfId="0" stopIfTrue="1">
      <formula>0</formula>
    </cfRule>
  </conditionalFormatting>
  <conditionalFormatting sqref="K799:K802">
    <cfRule type="cellIs" priority="128" operator="lessThan" dxfId="0" stopIfTrue="1">
      <formula>0</formula>
    </cfRule>
  </conditionalFormatting>
  <conditionalFormatting sqref="K804:K807">
    <cfRule type="cellIs" priority="127" operator="lessThan" dxfId="0" stopIfTrue="1">
      <formula>0</formula>
    </cfRule>
  </conditionalFormatting>
  <conditionalFormatting sqref="K809:K812">
    <cfRule type="cellIs" priority="126" operator="lessThan" dxfId="0" stopIfTrue="1">
      <formula>0</formula>
    </cfRule>
  </conditionalFormatting>
  <conditionalFormatting sqref="AT789">
    <cfRule type="cellIs" priority="125" operator="greaterThan" dxfId="121">
      <formula>1</formula>
    </cfRule>
  </conditionalFormatting>
  <conditionalFormatting sqref="AT794 AT799 AT804 AT809">
    <cfRule type="cellIs" priority="124" operator="greaterThan" dxfId="121">
      <formula>1</formula>
    </cfRule>
  </conditionalFormatting>
  <conditionalFormatting sqref="E895:G897">
    <cfRule type="cellIs" priority="123" operator="lessThan" dxfId="0" stopIfTrue="1">
      <formula>0</formula>
    </cfRule>
  </conditionalFormatting>
  <conditionalFormatting sqref="K895:K897 M895:N897">
    <cfRule type="cellIs" priority="122" operator="lessThan" dxfId="0" stopIfTrue="1">
      <formula>0</formula>
    </cfRule>
  </conditionalFormatting>
  <conditionalFormatting sqref="K301">
    <cfRule type="containsText" priority="121" operator="containsText" dxfId="8" text="Falso">
      <formula>NOT(ISERROR(SEARCH("Falso",K301)))</formula>
    </cfRule>
  </conditionalFormatting>
  <conditionalFormatting sqref="K295">
    <cfRule type="containsText" priority="120" operator="containsText" dxfId="8" text="Falso">
      <formula>NOT(ISERROR(SEARCH("Falso",K295)))</formula>
    </cfRule>
  </conditionalFormatting>
  <conditionalFormatting sqref="K289">
    <cfRule type="containsText" priority="119" operator="containsText" dxfId="8" text="Falso">
      <formula>NOT(ISERROR(SEARCH("Falso",K289)))</formula>
    </cfRule>
  </conditionalFormatting>
  <conditionalFormatting sqref="K283">
    <cfRule type="containsText" priority="118" operator="containsText" dxfId="8" text="Falso">
      <formula>NOT(ISERROR(SEARCH("Falso",K283)))</formula>
    </cfRule>
  </conditionalFormatting>
  <conditionalFormatting sqref="K277">
    <cfRule type="containsText" priority="117" operator="containsText" dxfId="8" text="Falso">
      <formula>NOT(ISERROR(SEARCH("Falso",K277)))</formula>
    </cfRule>
  </conditionalFormatting>
  <conditionalFormatting sqref="K271">
    <cfRule type="containsText" priority="116" operator="containsText" dxfId="8" text="Falso">
      <formula>NOT(ISERROR(SEARCH("Falso",K271)))</formula>
    </cfRule>
  </conditionalFormatting>
  <conditionalFormatting sqref="K265">
    <cfRule type="containsText" priority="115" operator="containsText" dxfId="8" text="Falso">
      <formula>NOT(ISERROR(SEARCH("Falso",K265)))</formula>
    </cfRule>
  </conditionalFormatting>
  <conditionalFormatting sqref="K259">
    <cfRule type="containsText" priority="114" operator="containsText" dxfId="8" text="Falso">
      <formula>NOT(ISERROR(SEARCH("Falso",K259)))</formula>
    </cfRule>
  </conditionalFormatting>
  <conditionalFormatting sqref="K253">
    <cfRule type="containsText" priority="113" operator="containsText" dxfId="8" text="Falso">
      <formula>NOT(ISERROR(SEARCH("Falso",K253)))</formula>
    </cfRule>
  </conditionalFormatting>
  <conditionalFormatting sqref="K247">
    <cfRule type="containsText" priority="112" operator="containsText" dxfId="8" text="Falso">
      <formula>NOT(ISERROR(SEARCH("Falso",K247)))</formula>
    </cfRule>
  </conditionalFormatting>
  <conditionalFormatting sqref="K235">
    <cfRule type="containsText" priority="111" operator="containsText" dxfId="8" text="Falso">
      <formula>NOT(ISERROR(SEARCH("Falso",K235)))</formula>
    </cfRule>
  </conditionalFormatting>
  <conditionalFormatting sqref="K241">
    <cfRule type="containsText" priority="110" operator="containsText" dxfId="8" text="Falso">
      <formula>NOT(ISERROR(SEARCH("Falso",K241)))</formula>
    </cfRule>
  </conditionalFormatting>
  <conditionalFormatting sqref="K228">
    <cfRule type="containsText" priority="109" operator="containsText" dxfId="8" text="Falso">
      <formula>NOT(ISERROR(SEARCH("Falso",K228)))</formula>
    </cfRule>
  </conditionalFormatting>
  <conditionalFormatting sqref="K222">
    <cfRule type="containsText" priority="108" operator="containsText" dxfId="8" text="Falso">
      <formula>NOT(ISERROR(SEARCH("Falso",K222)))</formula>
    </cfRule>
  </conditionalFormatting>
  <conditionalFormatting sqref="K216">
    <cfRule type="containsText" priority="107" operator="containsText" dxfId="8" text="Falso">
      <formula>NOT(ISERROR(SEARCH("Falso",K216)))</formula>
    </cfRule>
  </conditionalFormatting>
  <conditionalFormatting sqref="K210">
    <cfRule type="containsText" priority="106" operator="containsText" dxfId="8" text="Falso">
      <formula>NOT(ISERROR(SEARCH("Falso",K210)))</formula>
    </cfRule>
  </conditionalFormatting>
  <conditionalFormatting sqref="K204">
    <cfRule type="containsText" priority="105" operator="containsText" dxfId="8" text="Falso">
      <formula>NOT(ISERROR(SEARCH("Falso",K204)))</formula>
    </cfRule>
  </conditionalFormatting>
  <conditionalFormatting sqref="K198">
    <cfRule type="containsText" priority="104" operator="containsText" dxfId="8" text="Falso">
      <formula>NOT(ISERROR(SEARCH("Falso",K198)))</formula>
    </cfRule>
  </conditionalFormatting>
  <conditionalFormatting sqref="K192">
    <cfRule type="containsText" priority="103" operator="containsText" dxfId="8" text="Falso">
      <formula>NOT(ISERROR(SEARCH("Falso",K192)))</formula>
    </cfRule>
  </conditionalFormatting>
  <conditionalFormatting sqref="K186">
    <cfRule type="containsText" priority="102" operator="containsText" dxfId="8" text="Falso">
      <formula>NOT(ISERROR(SEARCH("Falso",K186)))</formula>
    </cfRule>
  </conditionalFormatting>
  <conditionalFormatting sqref="K180">
    <cfRule type="containsText" priority="101" operator="containsText" dxfId="8" text="Falso">
      <formula>NOT(ISERROR(SEARCH("Falso",K180)))</formula>
    </cfRule>
  </conditionalFormatting>
  <conditionalFormatting sqref="K174">
    <cfRule type="containsText" priority="100" operator="containsText" dxfId="8" text="Falso">
      <formula>NOT(ISERROR(SEARCH("Falso",K174)))</formula>
    </cfRule>
  </conditionalFormatting>
  <conditionalFormatting sqref="K168">
    <cfRule type="containsText" priority="99" operator="containsText" dxfId="8" text="Falso">
      <formula>NOT(ISERROR(SEARCH("Falso",K168)))</formula>
    </cfRule>
  </conditionalFormatting>
  <conditionalFormatting sqref="K162">
    <cfRule type="containsText" priority="98" operator="containsText" dxfId="8" text="Falso">
      <formula>NOT(ISERROR(SEARCH("Falso",K162)))</formula>
    </cfRule>
  </conditionalFormatting>
  <conditionalFormatting sqref="K156">
    <cfRule type="containsText" priority="97" operator="containsText" dxfId="8" text="Falso">
      <formula>NOT(ISERROR(SEARCH("Falso",K156)))</formula>
    </cfRule>
  </conditionalFormatting>
  <conditionalFormatting sqref="K150">
    <cfRule type="containsText" priority="96" operator="containsText" dxfId="8" text="Falso">
      <formula>NOT(ISERROR(SEARCH("Falso",K150)))</formula>
    </cfRule>
  </conditionalFormatting>
  <conditionalFormatting sqref="K144">
    <cfRule type="containsText" priority="95" operator="containsText" dxfId="8" text="Falso">
      <formula>NOT(ISERROR(SEARCH("Falso",K144)))</formula>
    </cfRule>
  </conditionalFormatting>
  <conditionalFormatting sqref="K138">
    <cfRule type="containsText" priority="94" operator="containsText" dxfId="8" text="Falso">
      <formula>NOT(ISERROR(SEARCH("Falso",K138)))</formula>
    </cfRule>
  </conditionalFormatting>
  <conditionalFormatting sqref="K132">
    <cfRule type="containsText" priority="93" operator="containsText" dxfId="8" text="Falso">
      <formula>NOT(ISERROR(SEARCH("Falso",K132)))</formula>
    </cfRule>
  </conditionalFormatting>
  <conditionalFormatting sqref="K126">
    <cfRule type="containsText" priority="92" operator="containsText" dxfId="8" text="Falso">
      <formula>NOT(ISERROR(SEARCH("Falso",K126)))</formula>
    </cfRule>
  </conditionalFormatting>
  <conditionalFormatting sqref="K120">
    <cfRule type="containsText" priority="91" operator="containsText" dxfId="8" text="Falso">
      <formula>NOT(ISERROR(SEARCH("Falso",K120)))</formula>
    </cfRule>
  </conditionalFormatting>
  <conditionalFormatting sqref="K114">
    <cfRule type="containsText" priority="90" operator="containsText" dxfId="8" text="Falso">
      <formula>NOT(ISERROR(SEARCH("Falso",K114)))</formula>
    </cfRule>
  </conditionalFormatting>
  <conditionalFormatting sqref="K108">
    <cfRule type="containsText" priority="89" operator="containsText" dxfId="8" text="Falso">
      <formula>NOT(ISERROR(SEARCH("Falso",K108)))</formula>
    </cfRule>
  </conditionalFormatting>
  <conditionalFormatting sqref="K102">
    <cfRule type="containsText" priority="88" operator="containsText" dxfId="8" text="Falso">
      <formula>NOT(ISERROR(SEARCH("Falso",K102)))</formula>
    </cfRule>
  </conditionalFormatting>
  <conditionalFormatting sqref="K96">
    <cfRule type="containsText" priority="87" operator="containsText" dxfId="8" text="Falso">
      <formula>NOT(ISERROR(SEARCH("Falso",K96)))</formula>
    </cfRule>
  </conditionalFormatting>
  <conditionalFormatting sqref="K90">
    <cfRule type="containsText" priority="86" operator="containsText" dxfId="8" text="Falso">
      <formula>NOT(ISERROR(SEARCH("Falso",K90)))</formula>
    </cfRule>
  </conditionalFormatting>
  <conditionalFormatting sqref="K84">
    <cfRule type="containsText" priority="85" operator="containsText" dxfId="8" text="Falso">
      <formula>NOT(ISERROR(SEARCH("Falso",K84)))</formula>
    </cfRule>
  </conditionalFormatting>
  <conditionalFormatting sqref="K78">
    <cfRule type="containsText" priority="84" operator="containsText" dxfId="8" text="Falso">
      <formula>NOT(ISERROR(SEARCH("Falso",K78)))</formula>
    </cfRule>
  </conditionalFormatting>
  <conditionalFormatting sqref="K72">
    <cfRule type="containsText" priority="83" operator="containsText" dxfId="8" text="Falso">
      <formula>NOT(ISERROR(SEARCH("Falso",K72)))</formula>
    </cfRule>
  </conditionalFormatting>
  <conditionalFormatting sqref="K66">
    <cfRule type="containsText" priority="82" operator="containsText" dxfId="8" text="Falso">
      <formula>NOT(ISERROR(SEARCH("Falso",K66)))</formula>
    </cfRule>
  </conditionalFormatting>
  <conditionalFormatting sqref="K60">
    <cfRule type="containsText" priority="81" operator="containsText" dxfId="8" text="Falso">
      <formula>NOT(ISERROR(SEARCH("Falso",K60)))</formula>
    </cfRule>
  </conditionalFormatting>
  <conditionalFormatting sqref="K54">
    <cfRule type="containsText" priority="80" operator="containsText" dxfId="8" text="Falso">
      <formula>NOT(ISERROR(SEARCH("Falso",K54)))</formula>
    </cfRule>
  </conditionalFormatting>
  <conditionalFormatting sqref="K48">
    <cfRule type="containsText" priority="79" operator="containsText" dxfId="8" text="Falso">
      <formula>NOT(ISERROR(SEARCH("Falso",K48)))</formula>
    </cfRule>
  </conditionalFormatting>
  <conditionalFormatting sqref="K42">
    <cfRule type="containsText" priority="78" operator="containsText" dxfId="8" text="Falso">
      <formula>NOT(ISERROR(SEARCH("Falso",K42)))</formula>
    </cfRule>
  </conditionalFormatting>
  <conditionalFormatting sqref="K36">
    <cfRule type="containsText" priority="77" operator="containsText" dxfId="8" text="Falso">
      <formula>NOT(ISERROR(SEARCH("Falso",K36)))</formula>
    </cfRule>
  </conditionalFormatting>
  <conditionalFormatting sqref="K30">
    <cfRule type="containsText" priority="76" operator="containsText" dxfId="8" text="Falso">
      <formula>NOT(ISERROR(SEARCH("Falso",K30)))</formula>
    </cfRule>
  </conditionalFormatting>
  <conditionalFormatting sqref="K24">
    <cfRule type="containsText" priority="75" operator="containsText" dxfId="8" text="Falso">
      <formula>NOT(ISERROR(SEARCH("Falso",K24)))</formula>
    </cfRule>
  </conditionalFormatting>
  <conditionalFormatting sqref="K18">
    <cfRule type="containsText" priority="74" operator="containsText" dxfId="8" text="Falso">
      <formula>NOT(ISERROR(SEARCH("Falso",K18)))</formula>
    </cfRule>
  </conditionalFormatting>
  <conditionalFormatting sqref="K422">
    <cfRule type="containsText" priority="73" operator="containsText" dxfId="8" text="Falso">
      <formula>NOT(ISERROR(SEARCH("Falso",K422)))</formula>
    </cfRule>
  </conditionalFormatting>
  <conditionalFormatting sqref="K428">
    <cfRule type="containsText" priority="72" operator="containsText" dxfId="8" text="Falso">
      <formula>NOT(ISERROR(SEARCH("Falso",K428)))</formula>
    </cfRule>
  </conditionalFormatting>
  <conditionalFormatting sqref="K434">
    <cfRule type="containsText" priority="71" operator="containsText" dxfId="8" text="Falso">
      <formula>NOT(ISERROR(SEARCH("Falso",K434)))</formula>
    </cfRule>
  </conditionalFormatting>
  <conditionalFormatting sqref="K440">
    <cfRule type="containsText" priority="70" operator="containsText" dxfId="8" text="Falso">
      <formula>NOT(ISERROR(SEARCH("Falso",K440)))</formula>
    </cfRule>
  </conditionalFormatting>
  <conditionalFormatting sqref="K446">
    <cfRule type="containsText" priority="69" operator="containsText" dxfId="8" text="Falso">
      <formula>NOT(ISERROR(SEARCH("Falso",K446)))</formula>
    </cfRule>
  </conditionalFormatting>
  <conditionalFormatting sqref="K452">
    <cfRule type="containsText" priority="68" operator="containsText" dxfId="8" text="Falso">
      <formula>NOT(ISERROR(SEARCH("Falso",K452)))</formula>
    </cfRule>
  </conditionalFormatting>
  <conditionalFormatting sqref="K458">
    <cfRule type="containsText" priority="67" operator="containsText" dxfId="8" text="Falso">
      <formula>NOT(ISERROR(SEARCH("Falso",K458)))</formula>
    </cfRule>
  </conditionalFormatting>
  <conditionalFormatting sqref="K464">
    <cfRule type="containsText" priority="66" operator="containsText" dxfId="8" text="Falso">
      <formula>NOT(ISERROR(SEARCH("Falso",K464)))</formula>
    </cfRule>
  </conditionalFormatting>
  <conditionalFormatting sqref="K470">
    <cfRule type="containsText" priority="65" operator="containsText" dxfId="8" text="Falso">
      <formula>NOT(ISERROR(SEARCH("Falso",K470)))</formula>
    </cfRule>
  </conditionalFormatting>
  <conditionalFormatting sqref="K476">
    <cfRule type="containsText" priority="64" operator="containsText" dxfId="8" text="Falso">
      <formula>NOT(ISERROR(SEARCH("Falso",K476)))</formula>
    </cfRule>
  </conditionalFormatting>
  <conditionalFormatting sqref="K482">
    <cfRule type="containsText" priority="63" operator="containsText" dxfId="8" text="Falso">
      <formula>NOT(ISERROR(SEARCH("Falso",K482)))</formula>
    </cfRule>
  </conditionalFormatting>
  <conditionalFormatting sqref="K488">
    <cfRule type="containsText" priority="62" operator="containsText" dxfId="8" text="Falso">
      <formula>NOT(ISERROR(SEARCH("Falso",K488)))</formula>
    </cfRule>
  </conditionalFormatting>
  <conditionalFormatting sqref="K494">
    <cfRule type="containsText" priority="61" operator="containsText" dxfId="8" text="Falso">
      <formula>NOT(ISERROR(SEARCH("Falso",K494)))</formula>
    </cfRule>
  </conditionalFormatting>
  <conditionalFormatting sqref="K500">
    <cfRule type="containsText" priority="60" operator="containsText" dxfId="8" text="Falso">
      <formula>NOT(ISERROR(SEARCH("Falso",K500)))</formula>
    </cfRule>
  </conditionalFormatting>
  <conditionalFormatting sqref="K506">
    <cfRule type="containsText" priority="59" operator="containsText" dxfId="8" text="Falso">
      <formula>NOT(ISERROR(SEARCH("Falso",K506)))</formula>
    </cfRule>
  </conditionalFormatting>
  <conditionalFormatting sqref="K512">
    <cfRule type="containsText" priority="58" operator="containsText" dxfId="8" text="Falso">
      <formula>NOT(ISERROR(SEARCH("Falso",K512)))</formula>
    </cfRule>
  </conditionalFormatting>
  <conditionalFormatting sqref="K518">
    <cfRule type="containsText" priority="57" operator="containsText" dxfId="8" text="Falso">
      <formula>NOT(ISERROR(SEARCH("Falso",K518)))</formula>
    </cfRule>
  </conditionalFormatting>
  <conditionalFormatting sqref="K524">
    <cfRule type="containsText" priority="56" operator="containsText" dxfId="8" text="Falso">
      <formula>NOT(ISERROR(SEARCH("Falso",K524)))</formula>
    </cfRule>
  </conditionalFormatting>
  <conditionalFormatting sqref="K530">
    <cfRule type="containsText" priority="55" operator="containsText" dxfId="8" text="Falso">
      <formula>NOT(ISERROR(SEARCH("Falso",K530)))</formula>
    </cfRule>
  </conditionalFormatting>
  <conditionalFormatting sqref="K536">
    <cfRule type="containsText" priority="54" operator="containsText" dxfId="8" text="Falso">
      <formula>NOT(ISERROR(SEARCH("Falso",K536)))</formula>
    </cfRule>
  </conditionalFormatting>
  <conditionalFormatting sqref="K542">
    <cfRule type="containsText" priority="53" operator="containsText" dxfId="8" text="Falso">
      <formula>NOT(ISERROR(SEARCH("Falso",K542)))</formula>
    </cfRule>
  </conditionalFormatting>
  <conditionalFormatting sqref="K548">
    <cfRule type="containsText" priority="52" operator="containsText" dxfId="8" text="Falso">
      <formula>NOT(ISERROR(SEARCH("Falso",K548)))</formula>
    </cfRule>
  </conditionalFormatting>
  <conditionalFormatting sqref="K554">
    <cfRule type="containsText" priority="51" operator="containsText" dxfId="8" text="Falso">
      <formula>NOT(ISERROR(SEARCH("Falso",K554)))</formula>
    </cfRule>
  </conditionalFormatting>
  <conditionalFormatting sqref="K560">
    <cfRule type="containsText" priority="50" operator="containsText" dxfId="8" text="Falso">
      <formula>NOT(ISERROR(SEARCH("Falso",K560)))</formula>
    </cfRule>
  </conditionalFormatting>
  <conditionalFormatting sqref="K566">
    <cfRule type="containsText" priority="49" operator="containsText" dxfId="8" text="Falso">
      <formula>NOT(ISERROR(SEARCH("Falso",K566)))</formula>
    </cfRule>
  </conditionalFormatting>
  <conditionalFormatting sqref="K572">
    <cfRule type="containsText" priority="48" operator="containsText" dxfId="8" text="Falso">
      <formula>NOT(ISERROR(SEARCH("Falso",K572)))</formula>
    </cfRule>
  </conditionalFormatting>
  <conditionalFormatting sqref="K578">
    <cfRule type="containsText" priority="47" operator="containsText" dxfId="8" text="Falso">
      <formula>NOT(ISERROR(SEARCH("Falso",K578)))</formula>
    </cfRule>
  </conditionalFormatting>
  <conditionalFormatting sqref="K584">
    <cfRule type="containsText" priority="46" operator="containsText" dxfId="8" text="Falso">
      <formula>NOT(ISERROR(SEARCH("Falso",K584)))</formula>
    </cfRule>
  </conditionalFormatting>
  <conditionalFormatting sqref="K590">
    <cfRule type="containsText" priority="45" operator="containsText" dxfId="8" text="Falso">
      <formula>NOT(ISERROR(SEARCH("Falso",K590)))</formula>
    </cfRule>
  </conditionalFormatting>
  <conditionalFormatting sqref="K596">
    <cfRule type="containsText" priority="44" operator="containsText" dxfId="8" text="Falso">
      <formula>NOT(ISERROR(SEARCH("Falso",K596)))</formula>
    </cfRule>
  </conditionalFormatting>
  <conditionalFormatting sqref="K602">
    <cfRule type="containsText" priority="43" operator="containsText" dxfId="8" text="Falso">
      <formula>NOT(ISERROR(SEARCH("Falso",K602)))</formula>
    </cfRule>
  </conditionalFormatting>
  <conditionalFormatting sqref="K608">
    <cfRule type="containsText" priority="42" operator="containsText" dxfId="8" text="Falso">
      <formula>NOT(ISERROR(SEARCH("Falso",K608)))</formula>
    </cfRule>
  </conditionalFormatting>
  <conditionalFormatting sqref="K614">
    <cfRule type="containsText" priority="41" operator="containsText" dxfId="8" text="Falso">
      <formula>NOT(ISERROR(SEARCH("Falso",K614)))</formula>
    </cfRule>
  </conditionalFormatting>
  <conditionalFormatting sqref="K620">
    <cfRule type="containsText" priority="40" operator="containsText" dxfId="8" text="Falso">
      <formula>NOT(ISERROR(SEARCH("Falso",K620)))</formula>
    </cfRule>
  </conditionalFormatting>
  <conditionalFormatting sqref="K626">
    <cfRule type="containsText" priority="39" operator="containsText" dxfId="8" text="Falso">
      <formula>NOT(ISERROR(SEARCH("Falso",K626)))</formula>
    </cfRule>
  </conditionalFormatting>
  <conditionalFormatting sqref="K632">
    <cfRule type="containsText" priority="38" operator="containsText" dxfId="8" text="Falso">
      <formula>NOT(ISERROR(SEARCH("Falso",K632)))</formula>
    </cfRule>
  </conditionalFormatting>
  <conditionalFormatting sqref="K639">
    <cfRule type="containsText" priority="37" operator="containsText" dxfId="8" text="Falso">
      <formula>NOT(ISERROR(SEARCH("Falso",K639)))</formula>
    </cfRule>
  </conditionalFormatting>
  <conditionalFormatting sqref="K645">
    <cfRule type="containsText" priority="36" operator="containsText" dxfId="8" text="Falso">
      <formula>NOT(ISERROR(SEARCH("Falso",K645)))</formula>
    </cfRule>
  </conditionalFormatting>
  <conditionalFormatting sqref="K651">
    <cfRule type="containsText" priority="35" operator="containsText" dxfId="8" text="Falso">
      <formula>NOT(ISERROR(SEARCH("Falso",K651)))</formula>
    </cfRule>
  </conditionalFormatting>
  <conditionalFormatting sqref="K657">
    <cfRule type="containsText" priority="34" operator="containsText" dxfId="8" text="Falso">
      <formula>NOT(ISERROR(SEARCH("Falso",K657)))</formula>
    </cfRule>
  </conditionalFormatting>
  <conditionalFormatting sqref="K663">
    <cfRule type="containsText" priority="33" operator="containsText" dxfId="8" text="Falso">
      <formula>NOT(ISERROR(SEARCH("Falso",K663)))</formula>
    </cfRule>
  </conditionalFormatting>
  <conditionalFormatting sqref="K669">
    <cfRule type="containsText" priority="32" operator="containsText" dxfId="8" text="Falso">
      <formula>NOT(ISERROR(SEARCH("Falso",K669)))</formula>
    </cfRule>
  </conditionalFormatting>
  <conditionalFormatting sqref="K675">
    <cfRule type="containsText" priority="31" operator="containsText" dxfId="8" text="Falso">
      <formula>NOT(ISERROR(SEARCH("Falso",K675)))</formula>
    </cfRule>
  </conditionalFormatting>
  <conditionalFormatting sqref="K681">
    <cfRule type="containsText" priority="30" operator="containsText" dxfId="8" text="Falso">
      <formula>NOT(ISERROR(SEARCH("Falso",K681)))</formula>
    </cfRule>
  </conditionalFormatting>
  <conditionalFormatting sqref="K687">
    <cfRule type="containsText" priority="29" operator="containsText" dxfId="8" text="Falso">
      <formula>NOT(ISERROR(SEARCH("Falso",K687)))</formula>
    </cfRule>
  </conditionalFormatting>
  <conditionalFormatting sqref="K693">
    <cfRule type="containsText" priority="28" operator="containsText" dxfId="8" text="Falso">
      <formula>NOT(ISERROR(SEARCH("Falso",K693)))</formula>
    </cfRule>
  </conditionalFormatting>
  <conditionalFormatting sqref="K699">
    <cfRule type="containsText" priority="27" operator="containsText" dxfId="8" text="Falso">
      <formula>NOT(ISERROR(SEARCH("Falso",K699)))</formula>
    </cfRule>
  </conditionalFormatting>
  <conditionalFormatting sqref="K705">
    <cfRule type="containsText" priority="26" operator="containsText" dxfId="8" text="Falso">
      <formula>NOT(ISERROR(SEARCH("Falso",K705)))</formula>
    </cfRule>
  </conditionalFormatting>
  <conditionalFormatting sqref="K713">
    <cfRule type="containsText" priority="25" operator="containsText" dxfId="8" text="Falso">
      <formula>NOT(ISERROR(SEARCH("Falso",K713)))</formula>
    </cfRule>
  </conditionalFormatting>
  <conditionalFormatting sqref="K720">
    <cfRule type="containsText" priority="24" operator="containsText" dxfId="8" text="Falso">
      <formula>NOT(ISERROR(SEARCH("Falso",K720)))</formula>
    </cfRule>
  </conditionalFormatting>
  <conditionalFormatting sqref="K727">
    <cfRule type="containsText" priority="23" operator="containsText" dxfId="8" text="Falso">
      <formula>NOT(ISERROR(SEARCH("Falso",K727)))</formula>
    </cfRule>
  </conditionalFormatting>
  <conditionalFormatting sqref="K734">
    <cfRule type="containsText" priority="22" operator="containsText" dxfId="8" text="Falso">
      <formula>NOT(ISERROR(SEARCH("Falso",K734)))</formula>
    </cfRule>
  </conditionalFormatting>
  <conditionalFormatting sqref="K741">
    <cfRule type="containsText" priority="21" operator="containsText" dxfId="8" text="Falso">
      <formula>NOT(ISERROR(SEARCH("Falso",K741)))</formula>
    </cfRule>
  </conditionalFormatting>
  <conditionalFormatting sqref="K748">
    <cfRule type="containsText" priority="20" operator="containsText" dxfId="8" text="Falso">
      <formula>NOT(ISERROR(SEARCH("Falso",K748)))</formula>
    </cfRule>
  </conditionalFormatting>
  <conditionalFormatting sqref="K755">
    <cfRule type="containsText" priority="19" operator="containsText" dxfId="8" text="Falso">
      <formula>NOT(ISERROR(SEARCH("Falso",K755)))</formula>
    </cfRule>
  </conditionalFormatting>
  <conditionalFormatting sqref="K762">
    <cfRule type="containsText" priority="18" operator="containsText" dxfId="8" text="Falso">
      <formula>NOT(ISERROR(SEARCH("Falso",K762)))</formula>
    </cfRule>
  </conditionalFormatting>
  <conditionalFormatting sqref="K769">
    <cfRule type="containsText" priority="17" operator="containsText" dxfId="8" text="Falso">
      <formula>NOT(ISERROR(SEARCH("Falso",K769)))</formula>
    </cfRule>
  </conditionalFormatting>
  <conditionalFormatting sqref="K776">
    <cfRule type="containsText" priority="16" operator="containsText" dxfId="8" text="Falso">
      <formula>NOT(ISERROR(SEARCH("Falso",K776)))</formula>
    </cfRule>
  </conditionalFormatting>
  <conditionalFormatting sqref="K793">
    <cfRule type="containsText" priority="15" operator="containsText" dxfId="8" text="Falso">
      <formula>NOT(ISERROR(SEARCH("Falso",K793)))</formula>
    </cfRule>
  </conditionalFormatting>
  <conditionalFormatting sqref="K798">
    <cfRule type="containsText" priority="14" operator="containsText" dxfId="8" text="Falso">
      <formula>NOT(ISERROR(SEARCH("Falso",K798)))</formula>
    </cfRule>
  </conditionalFormatting>
  <conditionalFormatting sqref="K803">
    <cfRule type="containsText" priority="13" operator="containsText" dxfId="8" text="Falso">
      <formula>NOT(ISERROR(SEARCH("Falso",K803)))</formula>
    </cfRule>
  </conditionalFormatting>
  <conditionalFormatting sqref="K808">
    <cfRule type="containsText" priority="12" operator="containsText" dxfId="8" text="Falso">
      <formula>NOT(ISERROR(SEARCH("Falso",K808)))</formula>
    </cfRule>
  </conditionalFormatting>
  <conditionalFormatting sqref="K813">
    <cfRule type="containsText" priority="11" operator="containsText" dxfId="8" text="Falso">
      <formula>NOT(ISERROR(SEARCH("Falso",K813)))</formula>
    </cfRule>
  </conditionalFormatting>
  <conditionalFormatting sqref="O858:O869">
    <cfRule type="cellIs" priority="8" operator="lessThan" dxfId="0" stopIfTrue="1">
      <formula>0</formula>
    </cfRule>
  </conditionalFormatting>
  <conditionalFormatting sqref="O871:O887">
    <cfRule type="cellIs" priority="7" operator="lessThan" dxfId="0" stopIfTrue="1">
      <formula>0</formula>
    </cfRule>
  </conditionalFormatting>
  <conditionalFormatting sqref="O893:O897">
    <cfRule type="cellIs" priority="6" operator="lessThan" dxfId="0" stopIfTrue="1">
      <formula>0</formula>
    </cfRule>
  </conditionalFormatting>
  <conditionalFormatting sqref="L888">
    <cfRule type="cellIs" priority="5" operator="lessThan" dxfId="0" stopIfTrue="1">
      <formula>0</formula>
    </cfRule>
  </conditionalFormatting>
  <conditionalFormatting sqref="L821:L856">
    <cfRule type="cellIs" priority="4" operator="lessThan" dxfId="0" stopIfTrue="1">
      <formula>0</formula>
    </cfRule>
  </conditionalFormatting>
  <conditionalFormatting sqref="L858:L869">
    <cfRule type="cellIs" priority="3" operator="lessThan" dxfId="0" stopIfTrue="1">
      <formula>0</formula>
    </cfRule>
  </conditionalFormatting>
  <conditionalFormatting sqref="L871:L887">
    <cfRule type="cellIs" priority="2" operator="lessThan" dxfId="0" stopIfTrue="1">
      <formula>0</formula>
    </cfRule>
  </conditionalFormatting>
  <conditionalFormatting sqref="L893:L897">
    <cfRule type="cellIs" priority="1" operator="lessThan" dxfId="0" stopIfTrue="1">
      <formula>0</formula>
    </cfRule>
  </conditionalFormatting>
  <dataValidations count="3">
    <dataValidation sqref="O278:O279 O284:O285 O292" showDropDown="0" showInputMessage="1" showErrorMessage="1" allowBlank="1" errorTitle="INGRESE LA FECHA" error="FECHA DE VENCIMIENTO" type="date" operator="greaterThan">
      <formula1>39083</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C903:C907 C912:C913" showDropDown="0" showInputMessage="1" showErrorMessage="1" allowBlank="1" type="list">
      <formula1>"SI,NO"</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xl/worksheets/sheet9.xml><?xml version="1.0" encoding="utf-8"?>
<worksheet xmlns="http://schemas.openxmlformats.org/spreadsheetml/2006/main">
  <sheetPr codeName="Hoja19">
    <tabColor theme="9" tint="0.3999755851924192"/>
    <outlinePr summaryBelow="1" summaryRight="1"/>
    <pageSetUpPr/>
  </sheetPr>
  <dimension ref="A1:AZ919"/>
  <sheetViews>
    <sheetView topLeftCell="A11" zoomScale="60" zoomScaleNormal="60" workbookViewId="0">
      <pane xSplit="11" ySplit="2" topLeftCell="L410" activePane="bottomRight" state="frozen"/>
      <selection activeCell="A11" sqref="A11"/>
      <selection pane="topRight" activeCell="L11" sqref="L11"/>
      <selection pane="bottomLeft" activeCell="A13" sqref="A13"/>
      <selection pane="bottomRight" activeCell="M129" sqref="M129"/>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n"/>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748"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496">
        <f>MARZO!K13</f>
        <v/>
      </c>
      <c r="E13" s="731" t="n"/>
      <c r="F13" s="731" t="n"/>
      <c r="G13" s="730">
        <f>E13+F13</f>
        <v/>
      </c>
      <c r="H13" s="731" t="n">
        <v>1240</v>
      </c>
      <c r="I13" s="731" t="n"/>
      <c r="J13" s="732">
        <f>AM13</f>
        <v/>
      </c>
      <c r="K13" s="738">
        <f>+(D13+G13)-(H13+I13+J13)</f>
        <v/>
      </c>
      <c r="L13" s="253">
        <f>1870-940-310-440</f>
        <v/>
      </c>
      <c r="M13" s="254" t="inlineStr">
        <is>
          <t>0374MA071</t>
        </is>
      </c>
      <c r="N13" s="254" t="inlineStr">
        <is>
          <t>Serum</t>
        </is>
      </c>
      <c r="O13" s="1183" t="inlineStr">
        <is>
          <t>31/12/2026</t>
        </is>
      </c>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inlineStr">
        <is>
          <t>AMAZONAS</t>
        </is>
      </c>
      <c r="AZ13" s="231" t="inlineStr">
        <is>
          <t>ENERO</t>
        </is>
      </c>
    </row>
    <row r="14" ht="18.75" customHeight="1">
      <c r="A14" s="973" t="n"/>
      <c r="B14" s="971" t="n"/>
      <c r="C14" s="972" t="n"/>
      <c r="D14" s="973" t="n"/>
      <c r="E14" s="994" t="n"/>
      <c r="F14" s="994" t="n"/>
      <c r="G14" s="973" t="n"/>
      <c r="H14" s="994" t="n"/>
      <c r="I14" s="994" t="n"/>
      <c r="J14" s="973" t="n"/>
      <c r="K14" s="973" t="n"/>
      <c r="L14" s="253">
        <f>6000-1000-1800-800</f>
        <v/>
      </c>
      <c r="M14" s="254" t="inlineStr">
        <is>
          <t>0374MA072</t>
        </is>
      </c>
      <c r="N14" s="254" t="inlineStr">
        <is>
          <t>Serum</t>
        </is>
      </c>
      <c r="O14" s="1183" t="inlineStr">
        <is>
          <t>31/12/2026</t>
        </is>
      </c>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inlineStr">
        <is>
          <t>ANTIOQUIA</t>
        </is>
      </c>
      <c r="AZ14" s="231" t="inlineStr">
        <is>
          <t>MARZO</t>
        </is>
      </c>
    </row>
    <row r="15" ht="18.75" customHeight="1">
      <c r="A15" s="973" t="n"/>
      <c r="B15" s="971" t="n"/>
      <c r="C15" s="972" t="n"/>
      <c r="D15" s="973" t="n"/>
      <c r="E15" s="994" t="n"/>
      <c r="F15" s="994" t="n"/>
      <c r="G15" s="973" t="n"/>
      <c r="H15" s="994" t="n"/>
      <c r="I15" s="994" t="n"/>
      <c r="J15" s="973" t="n"/>
      <c r="K15" s="973" t="n"/>
      <c r="L15" s="253" t="n">
        <v>5000</v>
      </c>
      <c r="M15" s="254" t="inlineStr">
        <is>
          <t>0374MA082</t>
        </is>
      </c>
      <c r="N15" s="254" t="inlineStr">
        <is>
          <t>Serum</t>
        </is>
      </c>
      <c r="O15" s="1183" t="inlineStr">
        <is>
          <t>31/01/2027</t>
        </is>
      </c>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73"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inlineStr">
        <is>
          <t>ATLANTICO</t>
        </is>
      </c>
      <c r="AZ16" s="231" t="inlineStr">
        <is>
          <t>ABRIL</t>
        </is>
      </c>
    </row>
    <row r="17" ht="18.75" customHeight="1">
      <c r="A17" s="973" t="n"/>
      <c r="B17" s="971" t="n"/>
      <c r="C17" s="972" t="n"/>
      <c r="D17" s="973"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inlineStr">
        <is>
          <t>BARRANQUILLA</t>
        </is>
      </c>
      <c r="AZ17" s="231" t="inlineStr">
        <is>
          <t>MAYO</t>
        </is>
      </c>
    </row>
    <row r="18" ht="18.75" customHeight="1">
      <c r="A18" s="975" t="n"/>
      <c r="B18" s="1182" t="n"/>
      <c r="C18" s="1103" t="n"/>
      <c r="D18" s="975"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JUNIO</t>
        </is>
      </c>
    </row>
    <row r="19" ht="18.75" customHeight="1">
      <c r="A19" s="741">
        <f>A13+1</f>
        <v/>
      </c>
      <c r="B19" s="733" t="inlineStr">
        <is>
          <t>Vacuna de Hepatitis B Recombinante Pediátrica - Liquida</t>
        </is>
      </c>
      <c r="C19" s="965" t="n"/>
      <c r="D19" s="496">
        <f>MARZO!K19</f>
        <v/>
      </c>
      <c r="E19" s="731" t="n"/>
      <c r="F19" s="731" t="n"/>
      <c r="G19" s="730">
        <f>E19+F19</f>
        <v/>
      </c>
      <c r="H19" s="731" t="n">
        <v>603</v>
      </c>
      <c r="I19" s="731" t="n"/>
      <c r="J19" s="732">
        <f>AM19</f>
        <v/>
      </c>
      <c r="K19" s="738">
        <f>+(D19+G19)-(H19+I19+J19)</f>
        <v/>
      </c>
      <c r="L19" s="253">
        <f>91-34-10-30</f>
        <v/>
      </c>
      <c r="M19" s="254" t="inlineStr">
        <is>
          <t>0324L013A</t>
        </is>
      </c>
      <c r="N19" s="254" t="inlineStr">
        <is>
          <t>Serum</t>
        </is>
      </c>
      <c r="O19" s="1183" t="inlineStr">
        <is>
          <t>30/11/2027</t>
        </is>
      </c>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inlineStr">
        <is>
          <t>BOLIVAR</t>
        </is>
      </c>
      <c r="AZ19" s="231" t="inlineStr">
        <is>
          <t>JULIO</t>
        </is>
      </c>
    </row>
    <row r="20" ht="18.75" customHeight="1">
      <c r="A20" s="973" t="n"/>
      <c r="B20" s="971" t="n"/>
      <c r="C20" s="972" t="n"/>
      <c r="D20" s="973" t="n"/>
      <c r="E20" s="994" t="n"/>
      <c r="F20" s="994" t="n"/>
      <c r="G20" s="973" t="n"/>
      <c r="H20" s="994" t="n"/>
      <c r="I20" s="994" t="n"/>
      <c r="J20" s="973" t="n"/>
      <c r="K20" s="973" t="n"/>
      <c r="L20" s="253">
        <f>1750-600-470-573</f>
        <v/>
      </c>
      <c r="M20" s="254" t="inlineStr">
        <is>
          <t>0324L013B</t>
        </is>
      </c>
      <c r="N20" s="254" t="inlineStr">
        <is>
          <t>Serum</t>
        </is>
      </c>
      <c r="O20" s="1183" t="inlineStr">
        <is>
          <t>30/11/2027</t>
        </is>
      </c>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73" t="n"/>
      <c r="E21" s="994" t="n"/>
      <c r="F21" s="994" t="n"/>
      <c r="G21" s="973" t="n"/>
      <c r="H21" s="994" t="n"/>
      <c r="I21" s="994" t="n"/>
      <c r="J21" s="973" t="n"/>
      <c r="K21" s="973" t="n"/>
      <c r="L21" s="253" t="n">
        <v>900</v>
      </c>
      <c r="M21" s="254" t="inlineStr">
        <is>
          <t>0325Q010B</t>
        </is>
      </c>
      <c r="N21" s="254" t="inlineStr">
        <is>
          <t>Sinovac</t>
        </is>
      </c>
      <c r="O21" s="1183" t="inlineStr">
        <is>
          <t>25/04/2028</t>
        </is>
      </c>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inlineStr">
        <is>
          <t>CARTAGENA</t>
        </is>
      </c>
      <c r="AZ21" s="231" t="inlineStr">
        <is>
          <t>AGOSTO</t>
        </is>
      </c>
    </row>
    <row r="22" ht="18.75" customHeight="1">
      <c r="A22" s="973" t="n"/>
      <c r="B22" s="971" t="n"/>
      <c r="C22" s="972" t="n"/>
      <c r="D22" s="973" t="n"/>
      <c r="E22" s="994" t="n"/>
      <c r="F22" s="994" t="n"/>
      <c r="G22" s="973" t="n"/>
      <c r="H22" s="994" t="n"/>
      <c r="I22" s="994" t="n"/>
      <c r="J22" s="973" t="n"/>
      <c r="K22" s="973" t="n"/>
      <c r="L22" s="253" t="n"/>
      <c r="M22" s="254" t="n"/>
      <c r="N22" s="254" t="n"/>
      <c r="O22" s="1183" t="n"/>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inlineStr">
        <is>
          <t>BOYACA</t>
        </is>
      </c>
      <c r="AZ22" s="231" t="inlineStr">
        <is>
          <t>SEPTIEMBRE</t>
        </is>
      </c>
    </row>
    <row r="23" ht="18.75" customHeight="1">
      <c r="A23" s="973" t="n"/>
      <c r="B23" s="971" t="n"/>
      <c r="C23" s="972" t="n"/>
      <c r="D23" s="973"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inlineStr">
        <is>
          <t>CAQUETA</t>
        </is>
      </c>
      <c r="AZ23" s="231" t="inlineStr">
        <is>
          <t>NOVIEMBRE</t>
        </is>
      </c>
    </row>
    <row r="24" ht="18.75" customHeight="1">
      <c r="A24" s="975" t="n"/>
      <c r="B24" s="1182" t="n"/>
      <c r="C24" s="1103" t="n"/>
      <c r="D24" s="975"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496">
        <f>MARZO!K25</f>
        <v/>
      </c>
      <c r="E25" s="731" t="n"/>
      <c r="F25" s="731" t="n"/>
      <c r="G25" s="730">
        <f>E25+F25</f>
        <v/>
      </c>
      <c r="H25" s="731" t="n">
        <v>140</v>
      </c>
      <c r="I25" s="731" t="n"/>
      <c r="J25" s="732">
        <f>AM25</f>
        <v/>
      </c>
      <c r="K25" s="738">
        <f>+(D25+G25)-(H25+I25+J25)</f>
        <v/>
      </c>
      <c r="L25" s="253" t="n"/>
      <c r="M25" s="254" t="n"/>
      <c r="N25" s="254" t="n"/>
      <c r="O25" s="1183" t="n"/>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inlineStr">
        <is>
          <t>BOLIVAR</t>
        </is>
      </c>
    </row>
    <row r="26" ht="18.75" customHeight="1">
      <c r="A26" s="973" t="n"/>
      <c r="B26" s="971" t="n"/>
      <c r="C26" s="972" t="n"/>
      <c r="D26" s="973"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73"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inlineStr">
        <is>
          <t>CARTAGENA</t>
        </is>
      </c>
    </row>
    <row r="28" ht="18.75" customHeight="1">
      <c r="A28" s="973" t="n"/>
      <c r="B28" s="971" t="n"/>
      <c r="C28" s="972" t="n"/>
      <c r="D28" s="973"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inlineStr">
        <is>
          <t>BOYACA</t>
        </is>
      </c>
    </row>
    <row r="29" ht="18.75" customHeight="1">
      <c r="A29" s="973" t="n"/>
      <c r="B29" s="971" t="n"/>
      <c r="C29" s="972" t="n"/>
      <c r="D29" s="973"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inlineStr">
        <is>
          <t>CAQUETA</t>
        </is>
      </c>
    </row>
    <row r="30" ht="18.75" customHeight="1">
      <c r="A30" s="975" t="n"/>
      <c r="B30" s="1182" t="n"/>
      <c r="C30" s="1103" t="n"/>
      <c r="D30" s="975"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496">
        <f>MARZO!K31</f>
        <v/>
      </c>
      <c r="E31" s="731" t="n"/>
      <c r="F31" s="731" t="n"/>
      <c r="G31" s="730">
        <f>E31+F31</f>
        <v/>
      </c>
      <c r="H31" s="731" t="n">
        <v>3075</v>
      </c>
      <c r="I31" s="731" t="n"/>
      <c r="J31" s="732">
        <f>AM31</f>
        <v/>
      </c>
      <c r="K31" s="738">
        <f>+(D31+G31)-(H31+I31+J31)</f>
        <v/>
      </c>
      <c r="L31" s="253" t="n">
        <v>7000</v>
      </c>
      <c r="M31" s="254" t="inlineStr">
        <is>
          <t>2526003A</t>
        </is>
      </c>
      <c r="N31" s="254" t="inlineStr">
        <is>
          <t>Bilthoven Biologicals BV</t>
        </is>
      </c>
      <c r="O31" s="1183" t="inlineStr">
        <is>
          <t>12/06/2028</t>
        </is>
      </c>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inlineStr">
        <is>
          <t>CAUCA</t>
        </is>
      </c>
    </row>
    <row r="32" ht="18.75" customHeight="1">
      <c r="A32" s="973" t="n"/>
      <c r="B32" s="971" t="n"/>
      <c r="C32" s="972" t="n"/>
      <c r="D32" s="973" t="n"/>
      <c r="E32" s="994" t="n"/>
      <c r="F32" s="994" t="n"/>
      <c r="G32" s="973" t="n"/>
      <c r="H32" s="994" t="n"/>
      <c r="I32" s="994" t="n"/>
      <c r="J32" s="973" t="n"/>
      <c r="K32" s="973" t="n"/>
      <c r="L32" s="253">
        <f>9210-3075</f>
        <v/>
      </c>
      <c r="M32" s="254" t="inlineStr">
        <is>
          <t>2522006A</t>
        </is>
      </c>
      <c r="N32" s="254" t="inlineStr">
        <is>
          <t>Bilthoven Biologicals BV</t>
        </is>
      </c>
      <c r="O32" s="1183" t="inlineStr">
        <is>
          <t>25/02/2028</t>
        </is>
      </c>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73" t="n"/>
      <c r="E33" s="994" t="n"/>
      <c r="F33" s="994" t="n"/>
      <c r="G33" s="973" t="n"/>
      <c r="H33" s="994" t="n"/>
      <c r="I33" s="994" t="n"/>
      <c r="J33" s="973" t="n"/>
      <c r="K33" s="973" t="n"/>
      <c r="L33" s="253" t="n"/>
      <c r="M33" s="254" t="n"/>
      <c r="N33" s="254" t="n"/>
      <c r="O33" s="1183" t="n"/>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inlineStr">
        <is>
          <t>CESAR</t>
        </is>
      </c>
    </row>
    <row r="34" ht="18.75" customHeight="1">
      <c r="A34" s="973" t="n"/>
      <c r="B34" s="971" t="n"/>
      <c r="C34" s="972" t="n"/>
      <c r="D34" s="973"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inlineStr">
        <is>
          <t>CHOCO</t>
        </is>
      </c>
    </row>
    <row r="35" ht="18.75" customHeight="1">
      <c r="A35" s="973" t="n"/>
      <c r="B35" s="971" t="n"/>
      <c r="C35" s="972" t="n"/>
      <c r="D35" s="973"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inlineStr">
        <is>
          <t>CORDOBA</t>
        </is>
      </c>
    </row>
    <row r="36" ht="18.75" customHeight="1">
      <c r="A36" s="975" t="n"/>
      <c r="B36" s="1182" t="n"/>
      <c r="C36" s="1103" t="n"/>
      <c r="D36" s="975"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496">
        <f>MARZO!K37</f>
        <v/>
      </c>
      <c r="E37" s="731" t="n"/>
      <c r="F37" s="731" t="n"/>
      <c r="G37" s="730">
        <f>E37+F37</f>
        <v/>
      </c>
      <c r="H37" s="731" t="n">
        <v>2786</v>
      </c>
      <c r="I37" s="731" t="n"/>
      <c r="J37" s="732">
        <f>AM37</f>
        <v/>
      </c>
      <c r="K37" s="738">
        <f>+(D37+G37)-(H37+I37+J37)</f>
        <v/>
      </c>
      <c r="L37" s="253">
        <f>5500-490</f>
        <v/>
      </c>
      <c r="M37" s="254" t="inlineStr">
        <is>
          <t>2855X002C</t>
        </is>
      </c>
      <c r="N37" s="254" t="inlineStr">
        <is>
          <t>Serum</t>
        </is>
      </c>
      <c r="O37" s="1183" t="inlineStr">
        <is>
          <t>30/06/2027</t>
        </is>
      </c>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inlineStr">
        <is>
          <t>NARIÑO</t>
        </is>
      </c>
    </row>
    <row r="38" ht="19.5" customHeight="1">
      <c r="A38" s="973" t="n"/>
      <c r="B38" s="971" t="n"/>
      <c r="C38" s="972" t="n"/>
      <c r="D38" s="973" t="n"/>
      <c r="E38" s="994" t="n"/>
      <c r="F38" s="994" t="n"/>
      <c r="G38" s="973" t="n"/>
      <c r="H38" s="994" t="n"/>
      <c r="I38" s="994" t="n"/>
      <c r="J38" s="973" t="n"/>
      <c r="K38" s="973" t="n"/>
      <c r="L38" s="253">
        <f>3975-2291-5</f>
        <v/>
      </c>
      <c r="M38" s="254" t="inlineStr">
        <is>
          <t>2855X001A</t>
        </is>
      </c>
      <c r="N38" s="254" t="inlineStr">
        <is>
          <t>Serum</t>
        </is>
      </c>
      <c r="O38" s="1183" t="inlineStr">
        <is>
          <t>30/06/2027</t>
        </is>
      </c>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73" t="n"/>
      <c r="E39" s="994" t="n"/>
      <c r="F39" s="994" t="n"/>
      <c r="G39" s="973" t="n"/>
      <c r="H39" s="994" t="n"/>
      <c r="I39" s="994" t="n"/>
      <c r="J39" s="973" t="n"/>
      <c r="K39" s="973" t="n"/>
      <c r="L39" s="253" t="n"/>
      <c r="M39" s="254" t="n"/>
      <c r="N39" s="254" t="n"/>
      <c r="O39" s="1183" t="n"/>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inlineStr">
        <is>
          <t>NORTE DE SANTANDER</t>
        </is>
      </c>
    </row>
    <row r="40" ht="19.5" customHeight="1">
      <c r="A40" s="973" t="n"/>
      <c r="B40" s="971" t="n"/>
      <c r="C40" s="972" t="n"/>
      <c r="D40" s="973"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73"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inlineStr">
        <is>
          <t>PUTUMAYO</t>
        </is>
      </c>
    </row>
    <row r="42" ht="19.5" customHeight="1">
      <c r="A42" s="975" t="n"/>
      <c r="B42" s="1182" t="n"/>
      <c r="C42" s="1103" t="n"/>
      <c r="D42" s="975"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496">
        <f>MARZO!K43</f>
        <v/>
      </c>
      <c r="E43" s="731" t="n"/>
      <c r="F43" s="731" t="n"/>
      <c r="G43" s="730">
        <f>E43+F43</f>
        <v/>
      </c>
      <c r="H43" s="731" t="n">
        <v>6</v>
      </c>
      <c r="I43" s="731" t="n"/>
      <c r="J43" s="732">
        <f>AM43</f>
        <v/>
      </c>
      <c r="K43" s="706">
        <f>+(D43+G43)-(H43+I43+J43)</f>
        <v/>
      </c>
      <c r="L43" s="253">
        <f>14-6</f>
        <v/>
      </c>
      <c r="M43" s="254" t="inlineStr">
        <is>
          <t>Y3C49</t>
        </is>
      </c>
      <c r="N43" s="254" t="inlineStr">
        <is>
          <t>Sanofi Pasteur</t>
        </is>
      </c>
      <c r="O43" s="1183" t="inlineStr">
        <is>
          <t>29/02/2028</t>
        </is>
      </c>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inlineStr">
        <is>
          <t>NARIÑO</t>
        </is>
      </c>
    </row>
    <row r="44" ht="19.5" customHeight="1">
      <c r="A44" s="973" t="n"/>
      <c r="B44" s="971" t="n"/>
      <c r="C44" s="972" t="n"/>
      <c r="D44" s="973"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73"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inlineStr">
        <is>
          <t>NORTE DE SANTANDER</t>
        </is>
      </c>
    </row>
    <row r="46" ht="19.5" customHeight="1">
      <c r="A46" s="973" t="n"/>
      <c r="B46" s="971" t="n"/>
      <c r="C46" s="972" t="n"/>
      <c r="D46" s="973"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inlineStr">
        <is>
          <t>PUTUMAYO</t>
        </is>
      </c>
    </row>
    <row r="47" ht="19.5" customHeight="1">
      <c r="A47" s="973" t="n"/>
      <c r="B47" s="971" t="n"/>
      <c r="C47" s="972" t="n"/>
      <c r="D47" s="973"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inlineStr">
        <is>
          <t>QUINDIO</t>
        </is>
      </c>
    </row>
    <row r="48" ht="19.5" customHeight="1">
      <c r="A48" s="975" t="n"/>
      <c r="B48" s="1182" t="n"/>
      <c r="C48" s="1103" t="n"/>
      <c r="D48" s="975"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496">
        <f>MARZO!K49</f>
        <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inlineStr">
        <is>
          <t>NARIÑO</t>
        </is>
      </c>
    </row>
    <row r="50" ht="19.5" customHeight="1">
      <c r="A50" s="973" t="n"/>
      <c r="B50" s="971" t="n"/>
      <c r="C50" s="972" t="n"/>
      <c r="D50" s="973"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73"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inlineStr">
        <is>
          <t>NORTE DE SANTANDER</t>
        </is>
      </c>
    </row>
    <row r="52" ht="19.5" customHeight="1">
      <c r="A52" s="973" t="n"/>
      <c r="B52" s="971" t="n"/>
      <c r="C52" s="972" t="n"/>
      <c r="D52" s="973"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inlineStr">
        <is>
          <t>PUTUMAYO</t>
        </is>
      </c>
    </row>
    <row r="53" ht="19.5" customHeight="1">
      <c r="A53" s="973" t="n"/>
      <c r="B53" s="971" t="n"/>
      <c r="C53" s="972" t="n"/>
      <c r="D53" s="973"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inlineStr">
        <is>
          <t>QUINDIO</t>
        </is>
      </c>
    </row>
    <row r="54" ht="19.5" customHeight="1">
      <c r="A54" s="975" t="n"/>
      <c r="B54" s="1182" t="n"/>
      <c r="C54" s="1103" t="n"/>
      <c r="D54" s="975"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496">
        <f>MARZO!K55</f>
        <v/>
      </c>
      <c r="E55" s="731" t="n"/>
      <c r="F55" s="731" t="n"/>
      <c r="G55" s="730">
        <f>E55+F55</f>
        <v/>
      </c>
      <c r="H55" s="731" t="n">
        <v>1080</v>
      </c>
      <c r="I55" s="731" t="n"/>
      <c r="J55" s="732">
        <f>AM55</f>
        <v/>
      </c>
      <c r="K55" s="738">
        <f>+(D55+G55)-(H55+I55+J55)</f>
        <v/>
      </c>
      <c r="L55" s="253">
        <f>2640-370</f>
        <v/>
      </c>
      <c r="M55" s="254" t="inlineStr">
        <is>
          <t>2825Q005A</t>
        </is>
      </c>
      <c r="N55" s="254" t="inlineStr">
        <is>
          <t>Serum</t>
        </is>
      </c>
      <c r="O55" s="1183" t="inlineStr">
        <is>
          <t>28/02/2027</t>
        </is>
      </c>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inlineStr">
        <is>
          <t>SANTANDER</t>
        </is>
      </c>
    </row>
    <row r="56" ht="19.5" customHeight="1">
      <c r="A56" s="973" t="n"/>
      <c r="B56" s="971" t="n"/>
      <c r="C56" s="972" t="n"/>
      <c r="D56" s="973" t="n"/>
      <c r="E56" s="994" t="n"/>
      <c r="F56" s="994" t="n"/>
      <c r="G56" s="973" t="n"/>
      <c r="H56" s="994" t="n"/>
      <c r="I56" s="994" t="n"/>
      <c r="J56" s="973" t="n"/>
      <c r="K56" s="973" t="n"/>
      <c r="L56" s="253" t="n"/>
      <c r="M56" s="254" t="n"/>
      <c r="N56" s="254" t="n"/>
      <c r="O56" s="1183" t="n"/>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73"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inlineStr">
        <is>
          <t>SUCRE</t>
        </is>
      </c>
    </row>
    <row r="58" ht="19.5" customHeight="1">
      <c r="A58" s="973" t="n"/>
      <c r="B58" s="971" t="n"/>
      <c r="C58" s="972" t="n"/>
      <c r="D58" s="973"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inlineStr">
        <is>
          <t>TOLIMA</t>
        </is>
      </c>
    </row>
    <row r="59" ht="19.5" customHeight="1">
      <c r="A59" s="973" t="n"/>
      <c r="B59" s="971" t="n"/>
      <c r="C59" s="972" t="n"/>
      <c r="D59" s="973"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inlineStr">
        <is>
          <t>VALLE</t>
        </is>
      </c>
    </row>
    <row r="60" ht="19.5" customHeight="1">
      <c r="A60" s="975" t="n"/>
      <c r="B60" s="971" t="n"/>
      <c r="C60" s="972" t="n"/>
      <c r="D60" s="975"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496">
        <f>MARZO!K61</f>
        <v/>
      </c>
      <c r="E61" s="731" t="n"/>
      <c r="F61" s="731" t="n"/>
      <c r="G61" s="730">
        <f>E61+F61</f>
        <v/>
      </c>
      <c r="H61" s="731" t="n">
        <v>5</v>
      </c>
      <c r="I61" s="731" t="n"/>
      <c r="J61" s="732">
        <f>AM61</f>
        <v/>
      </c>
      <c r="K61" s="738">
        <f>+(D61+G61)-(H61+I61+J61)</f>
        <v/>
      </c>
      <c r="L61" s="253">
        <f>18-5</f>
        <v/>
      </c>
      <c r="M61" s="254" t="inlineStr">
        <is>
          <t>4CA34C1</t>
        </is>
      </c>
      <c r="N61" s="254" t="inlineStr">
        <is>
          <t>Sanofi Pasteur</t>
        </is>
      </c>
      <c r="O61" s="1183" t="inlineStr">
        <is>
          <t>31/05/2027</t>
        </is>
      </c>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inlineStr">
        <is>
          <t>VICHADA</t>
        </is>
      </c>
    </row>
    <row r="62" ht="19.5" customHeight="1">
      <c r="A62" s="973" t="n"/>
      <c r="B62" s="971" t="n"/>
      <c r="C62" s="972" t="n"/>
      <c r="D62" s="973"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73"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73"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73"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75"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496">
        <f>MARZO!K67</f>
        <v/>
      </c>
      <c r="E67" s="731" t="n"/>
      <c r="F67" s="731" t="n"/>
      <c r="G67" s="730">
        <f>E67+F67</f>
        <v/>
      </c>
      <c r="H67" s="731" t="n">
        <v>1385</v>
      </c>
      <c r="I67" s="731" t="n"/>
      <c r="J67" s="732">
        <f>AM67</f>
        <v/>
      </c>
      <c r="K67" s="738">
        <f>+(D67+G67)-(H67+I67+J67)</f>
        <v/>
      </c>
      <c r="L67" s="253" t="n">
        <v>3</v>
      </c>
      <c r="M67" s="254" t="inlineStr">
        <is>
          <t>AROLE197AB</t>
        </is>
      </c>
      <c r="N67" s="254" t="inlineStr">
        <is>
          <t>Glaxo SmithKline</t>
        </is>
      </c>
      <c r="O67" s="1183" t="inlineStr">
        <is>
          <t>28/02/2027</t>
        </is>
      </c>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73" t="n"/>
      <c r="E68" s="994" t="n"/>
      <c r="F68" s="994" t="n"/>
      <c r="G68" s="973" t="n"/>
      <c r="H68" s="994" t="n"/>
      <c r="I68" s="994" t="n"/>
      <c r="J68" s="973" t="n"/>
      <c r="K68" s="973" t="n"/>
      <c r="L68" s="253" t="n">
        <v>20</v>
      </c>
      <c r="M68" s="254" t="inlineStr">
        <is>
          <t>AROLE203AC</t>
        </is>
      </c>
      <c r="N68" s="254" t="inlineStr">
        <is>
          <t>Glaxo SmithKline</t>
        </is>
      </c>
      <c r="O68" s="1183" t="inlineStr">
        <is>
          <t>31/03/2027</t>
        </is>
      </c>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73" t="n"/>
      <c r="E69" s="994" t="n"/>
      <c r="F69" s="994" t="n"/>
      <c r="G69" s="973" t="n"/>
      <c r="H69" s="994" t="n"/>
      <c r="I69" s="994" t="n"/>
      <c r="J69" s="973" t="n"/>
      <c r="K69" s="973" t="n"/>
      <c r="L69" s="253">
        <f>3300-150-1070</f>
        <v/>
      </c>
      <c r="M69" s="254" t="inlineStr">
        <is>
          <t>AROLE419AA</t>
        </is>
      </c>
      <c r="N69" s="254" t="inlineStr">
        <is>
          <t>Glaxo SmithKline</t>
        </is>
      </c>
      <c r="O69" s="1183" t="inlineStr">
        <is>
          <t>30/09/2027</t>
        </is>
      </c>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73"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73"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75"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496">
        <f>MARZO!K73</f>
        <v/>
      </c>
      <c r="E73" s="731" t="n"/>
      <c r="F73" s="731" t="n"/>
      <c r="G73" s="730">
        <f>E73+F73</f>
        <v/>
      </c>
      <c r="H73" s="731" t="n">
        <v>2186</v>
      </c>
      <c r="I73" s="731" t="n"/>
      <c r="J73" s="732">
        <f>AM73</f>
        <v/>
      </c>
      <c r="K73" s="738">
        <f>+(D73+G73)-(H73+I73+J73)</f>
        <v/>
      </c>
      <c r="L73" s="253">
        <f>3835-990-1400-336</f>
        <v/>
      </c>
      <c r="M73" s="254" t="inlineStr">
        <is>
          <t>LK3156</t>
        </is>
      </c>
      <c r="N73" s="254" t="inlineStr">
        <is>
          <t>PFIZER</t>
        </is>
      </c>
      <c r="O73" s="1183" t="inlineStr">
        <is>
          <t>31/05/2027</t>
        </is>
      </c>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73" t="n"/>
      <c r="E74" s="994" t="n"/>
      <c r="F74" s="994" t="n"/>
      <c r="G74" s="973" t="n"/>
      <c r="H74" s="994" t="n"/>
      <c r="I74" s="994" t="n"/>
      <c r="J74" s="973" t="n"/>
      <c r="K74" s="973" t="n"/>
      <c r="L74" s="253">
        <f>5000-1850</f>
        <v/>
      </c>
      <c r="M74" s="254" t="inlineStr">
        <is>
          <t>LR6371</t>
        </is>
      </c>
      <c r="N74" s="254" t="inlineStr">
        <is>
          <t>PFIZER</t>
        </is>
      </c>
      <c r="O74" s="1183" t="inlineStr">
        <is>
          <t>30/09/2027</t>
        </is>
      </c>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73" t="n"/>
      <c r="E75" s="994" t="n"/>
      <c r="F75" s="994" t="n"/>
      <c r="G75" s="973" t="n"/>
      <c r="H75" s="994" t="n"/>
      <c r="I75" s="994" t="n"/>
      <c r="J75" s="973" t="n"/>
      <c r="K75" s="973" t="n"/>
      <c r="L75" s="253" t="n"/>
      <c r="M75" s="254" t="n"/>
      <c r="N75" s="254" t="n"/>
      <c r="O75" s="1183" t="n"/>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73"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73"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75"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496">
        <f>MARZO!K79</f>
        <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73"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73"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73"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73"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75"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496">
        <f>MARZO!K85</f>
        <v/>
      </c>
      <c r="E85" s="731" t="n"/>
      <c r="F85" s="731" t="n"/>
      <c r="G85" s="730">
        <f>E85+F85</f>
        <v/>
      </c>
      <c r="H85" s="731" t="n">
        <v>1303</v>
      </c>
      <c r="I85" s="731" t="n"/>
      <c r="J85" s="732">
        <f>AM85</f>
        <v/>
      </c>
      <c r="K85" s="738">
        <f>+(D85+G85)-(H85+I85+J85)</f>
        <v/>
      </c>
      <c r="L85" s="253">
        <f>823-780-34</f>
        <v/>
      </c>
      <c r="M85" s="254" t="inlineStr">
        <is>
          <t>0133N146B</t>
        </is>
      </c>
      <c r="N85" s="254" t="inlineStr">
        <is>
          <t>Serum</t>
        </is>
      </c>
      <c r="O85" s="1183" t="inlineStr">
        <is>
          <t>30/09/2026</t>
        </is>
      </c>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73" t="n"/>
      <c r="E86" s="994" t="n"/>
      <c r="F86" s="994" t="n"/>
      <c r="G86" s="973" t="n"/>
      <c r="H86" s="994" t="n"/>
      <c r="I86" s="994" t="n"/>
      <c r="J86" s="973" t="n"/>
      <c r="K86" s="973" t="n"/>
      <c r="L86" s="253">
        <f>5000-199</f>
        <v/>
      </c>
      <c r="M86" s="254" t="inlineStr">
        <is>
          <t>0134N093A</t>
        </is>
      </c>
      <c r="N86" s="254" t="inlineStr">
        <is>
          <t>Serum</t>
        </is>
      </c>
      <c r="O86" s="1183" t="inlineStr">
        <is>
          <t>30/04/2027</t>
        </is>
      </c>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73" t="n"/>
      <c r="E87" s="994" t="n"/>
      <c r="F87" s="994" t="n"/>
      <c r="G87" s="973" t="n"/>
      <c r="H87" s="994" t="n"/>
      <c r="I87" s="994" t="n"/>
      <c r="J87" s="973" t="n"/>
      <c r="K87" s="973" t="n"/>
      <c r="L87" s="253">
        <f>5000-300-1070</f>
        <v/>
      </c>
      <c r="M87" s="254" t="inlineStr">
        <is>
          <t>0134N096A</t>
        </is>
      </c>
      <c r="N87" s="254" t="inlineStr">
        <is>
          <t>Serum</t>
        </is>
      </c>
      <c r="O87" s="1183" t="inlineStr">
        <is>
          <t>30/04/2027</t>
        </is>
      </c>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73" t="n"/>
      <c r="E88" s="994" t="n"/>
      <c r="F88" s="994" t="n"/>
      <c r="G88" s="973" t="n"/>
      <c r="H88" s="994" t="n"/>
      <c r="I88" s="994" t="n"/>
      <c r="J88" s="973" t="n"/>
      <c r="K88" s="973" t="n"/>
      <c r="L88" s="253" t="n">
        <v>3000</v>
      </c>
      <c r="M88" s="254" t="inlineStr">
        <is>
          <t>0135AB117</t>
        </is>
      </c>
      <c r="N88" s="254" t="inlineStr">
        <is>
          <t>Serum</t>
        </is>
      </c>
      <c r="O88" s="1183" t="inlineStr">
        <is>
          <t>31/12/2027</t>
        </is>
      </c>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73"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75"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496">
        <f>MARZO!K91</f>
        <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73"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73"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73"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73"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75"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496">
        <f>MARZO!K97</f>
        <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73"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73"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73"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73"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75"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496">
        <f>MARZO!K103</f>
        <v/>
      </c>
      <c r="E103" s="731" t="n"/>
      <c r="F103" s="731" t="n"/>
      <c r="G103" s="730">
        <f>E103+F103</f>
        <v/>
      </c>
      <c r="H103" s="731" t="n">
        <v>355</v>
      </c>
      <c r="I103" s="731" t="n"/>
      <c r="J103" s="732">
        <f>AM103</f>
        <v/>
      </c>
      <c r="K103" s="738">
        <f>+(D103+G103)-(H103+I103+J103)</f>
        <v/>
      </c>
      <c r="L103" s="253" t="n"/>
      <c r="M103" s="254" t="n"/>
      <c r="N103" s="254" t="n"/>
      <c r="O103" s="1183" t="n"/>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73" t="n"/>
      <c r="E104" s="994" t="n"/>
      <c r="F104" s="994" t="n"/>
      <c r="G104" s="973" t="n"/>
      <c r="H104" s="994" t="n"/>
      <c r="I104" s="994" t="n"/>
      <c r="J104" s="973" t="n"/>
      <c r="K104" s="973" t="n"/>
      <c r="L104" s="253" t="n"/>
      <c r="M104" s="254" t="n"/>
      <c r="N104" s="254" t="n"/>
      <c r="O104" s="1183" t="n"/>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73"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73"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73"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75"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496">
        <f>MARZO!K109</f>
        <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73"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73"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73"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73"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75"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496">
        <f>MARZO!K115</f>
        <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73"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73"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73"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73"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75"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496">
        <f>MARZO!K121</f>
        <v/>
      </c>
      <c r="E121" s="731" t="n"/>
      <c r="F121" s="731" t="n"/>
      <c r="G121" s="730">
        <f>E121+F121</f>
        <v/>
      </c>
      <c r="H121" s="731" t="n">
        <v>1400</v>
      </c>
      <c r="I121" s="731" t="n"/>
      <c r="J121" s="732">
        <f>AM121</f>
        <v/>
      </c>
      <c r="K121" s="738">
        <f>+(D121+G121)-(H121+I121+J121)</f>
        <v/>
      </c>
      <c r="L121" s="253">
        <f>11400-2800-1200-1400</f>
        <v/>
      </c>
      <c r="M121" s="254" t="inlineStr">
        <is>
          <t>Y3D32</t>
        </is>
      </c>
      <c r="N121" s="254" t="inlineStr">
        <is>
          <t>Sanofi Pasteur</t>
        </is>
      </c>
      <c r="O121" s="1183" t="inlineStr">
        <is>
          <t>30/04/2027</t>
        </is>
      </c>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73" t="n"/>
      <c r="E122" s="994" t="n"/>
      <c r="F122" s="994" t="n"/>
      <c r="G122" s="973" t="n"/>
      <c r="H122" s="994" t="n"/>
      <c r="I122" s="994" t="n"/>
      <c r="J122" s="973" t="n"/>
      <c r="K122" s="973" t="n"/>
      <c r="L122" s="253" t="n">
        <v>30000</v>
      </c>
      <c r="M122" s="254" t="inlineStr">
        <is>
          <t>Y3H33</t>
        </is>
      </c>
      <c r="N122" s="254" t="inlineStr">
        <is>
          <t>Sanofi Pasteur</t>
        </is>
      </c>
      <c r="O122" s="1183" t="inlineStr">
        <is>
          <t>31/08/2027</t>
        </is>
      </c>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73" t="n"/>
      <c r="E123" s="994" t="n"/>
      <c r="F123" s="994" t="n"/>
      <c r="G123" s="973" t="n"/>
      <c r="H123" s="994" t="n"/>
      <c r="I123" s="994" t="n"/>
      <c r="J123" s="973" t="n"/>
      <c r="K123" s="973" t="n"/>
      <c r="L123" s="253" t="n"/>
      <c r="M123" s="254" t="n"/>
      <c r="N123" s="254" t="n"/>
      <c r="O123" s="1183" t="n"/>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73"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73"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75"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496">
        <f>MARZO!K127</f>
        <v/>
      </c>
      <c r="E127" s="731" t="n"/>
      <c r="F127" s="731" t="n"/>
      <c r="G127" s="730">
        <f>E127+F127</f>
        <v/>
      </c>
      <c r="H127" s="731" t="n">
        <v>744</v>
      </c>
      <c r="I127" s="731" t="n"/>
      <c r="J127" s="732">
        <f>AM127</f>
        <v/>
      </c>
      <c r="K127" s="738">
        <f>+(D127+G127)-(H127+I127+J127)</f>
        <v/>
      </c>
      <c r="L127" s="253">
        <f>950-500-150</f>
        <v/>
      </c>
      <c r="M127" s="254" t="inlineStr">
        <is>
          <t>AB202403009</t>
        </is>
      </c>
      <c r="N127" s="254" t="inlineStr">
        <is>
          <t>Sinovac</t>
        </is>
      </c>
      <c r="O127" s="1183" t="inlineStr">
        <is>
          <t>04/09/2027</t>
        </is>
      </c>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73" t="n"/>
      <c r="E128" s="994" t="n"/>
      <c r="F128" s="994" t="n"/>
      <c r="G128" s="973" t="n"/>
      <c r="H128" s="994" t="n"/>
      <c r="I128" s="994" t="n"/>
      <c r="J128" s="973" t="n"/>
      <c r="K128" s="973" t="n"/>
      <c r="L128" s="253">
        <f>1715-350-320-594</f>
        <v/>
      </c>
      <c r="M128" s="254" t="inlineStr">
        <is>
          <t>AB202404013</t>
        </is>
      </c>
      <c r="N128" s="254" t="inlineStr">
        <is>
          <t>Sinovac</t>
        </is>
      </c>
      <c r="O128" s="1183" t="inlineStr">
        <is>
          <t>21/10/2027</t>
        </is>
      </c>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73" t="n"/>
      <c r="E129" s="994" t="n"/>
      <c r="F129" s="994" t="n"/>
      <c r="G129" s="973" t="n"/>
      <c r="H129" s="994" t="n"/>
      <c r="I129" s="994" t="n"/>
      <c r="J129" s="973" t="n"/>
      <c r="K129" s="973" t="n"/>
      <c r="L129" s="253" t="n">
        <v>1500</v>
      </c>
      <c r="M129" s="254" t="inlineStr">
        <is>
          <t>AB202410043</t>
        </is>
      </c>
      <c r="N129" s="254" t="inlineStr">
        <is>
          <t>Sinovac</t>
        </is>
      </c>
      <c r="O129" s="1183" t="inlineStr">
        <is>
          <t>25/04/2028</t>
        </is>
      </c>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73"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73"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75"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496">
        <f>MARZO!K133</f>
        <v/>
      </c>
      <c r="E133" s="731" t="n"/>
      <c r="F133" s="731" t="n"/>
      <c r="G133" s="730">
        <f>E133+F133</f>
        <v/>
      </c>
      <c r="H133" s="731" t="n">
        <v>1308</v>
      </c>
      <c r="I133" s="731" t="n"/>
      <c r="J133" s="732">
        <f>AM133</f>
        <v/>
      </c>
      <c r="K133" s="738">
        <f>+(D133+G133)-(H133+I133+J133)</f>
        <v/>
      </c>
      <c r="L133" s="253">
        <f>3705-510-870-1108</f>
        <v/>
      </c>
      <c r="M133" s="254" t="inlineStr">
        <is>
          <t>BB202506051</t>
        </is>
      </c>
      <c r="N133" s="254" t="inlineStr">
        <is>
          <t>Sinovac</t>
        </is>
      </c>
      <c r="O133" s="1183" t="inlineStr">
        <is>
          <t>12/06/2027</t>
        </is>
      </c>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73" t="n"/>
      <c r="E134" s="994" t="n"/>
      <c r="F134" s="994" t="n"/>
      <c r="G134" s="973" t="n"/>
      <c r="H134" s="994" t="n"/>
      <c r="I134" s="994" t="n"/>
      <c r="J134" s="973" t="n"/>
      <c r="K134" s="973" t="n"/>
      <c r="L134" s="253">
        <f>2400-200</f>
        <v/>
      </c>
      <c r="M134" s="254" t="inlineStr">
        <is>
          <t>BB202506052</t>
        </is>
      </c>
      <c r="N134" s="254" t="inlineStr">
        <is>
          <t>Sinovac</t>
        </is>
      </c>
      <c r="O134" s="1183" t="inlineStr">
        <is>
          <t>16/06/2027</t>
        </is>
      </c>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73" t="n"/>
      <c r="E135" s="994" t="n"/>
      <c r="F135" s="994" t="n"/>
      <c r="G135" s="973" t="n"/>
      <c r="H135" s="994" t="n"/>
      <c r="I135" s="994" t="n"/>
      <c r="J135" s="973" t="n"/>
      <c r="K135" s="973" t="n"/>
      <c r="L135" s="253" t="n"/>
      <c r="M135" s="254" t="n"/>
      <c r="N135" s="254" t="n"/>
      <c r="O135" s="1183" t="n"/>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73"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73"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75"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496">
        <f>MARZO!K139</f>
        <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73"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73"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73"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73"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75"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496">
        <f>MARZO!K145</f>
        <v/>
      </c>
      <c r="E145" s="731" t="n"/>
      <c r="F145" s="731" t="n"/>
      <c r="G145" s="730">
        <f>E145+F145</f>
        <v/>
      </c>
      <c r="H145" s="731" t="n">
        <v>980</v>
      </c>
      <c r="I145" s="731" t="n"/>
      <c r="J145" s="732">
        <f>AM145</f>
        <v/>
      </c>
      <c r="K145" s="738">
        <f>+(D145+G145)-(H145+I145+J145)</f>
        <v/>
      </c>
      <c r="L145" s="253">
        <f>4330-620-900-980</f>
        <v/>
      </c>
      <c r="M145" s="254" t="inlineStr">
        <is>
          <t>2334L016E</t>
        </is>
      </c>
      <c r="N145" s="254" t="inlineStr">
        <is>
          <t>Serum</t>
        </is>
      </c>
      <c r="O145" s="1183" t="inlineStr">
        <is>
          <t>31/03/2027</t>
        </is>
      </c>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73" t="n"/>
      <c r="E146" s="994" t="n"/>
      <c r="F146" s="994" t="n"/>
      <c r="G146" s="973" t="n"/>
      <c r="H146" s="994" t="n"/>
      <c r="I146" s="994" t="n"/>
      <c r="J146" s="973" t="n"/>
      <c r="K146" s="973" t="n"/>
      <c r="L146" s="253" t="n">
        <v>3000</v>
      </c>
      <c r="M146" s="254" t="inlineStr">
        <is>
          <t>2335L013D</t>
        </is>
      </c>
      <c r="N146" s="254" t="inlineStr">
        <is>
          <t>Serum</t>
        </is>
      </c>
      <c r="O146" s="1183" t="inlineStr">
        <is>
          <t>30/04/2028</t>
        </is>
      </c>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73"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73"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73"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75"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496">
        <f>MARZO!K151</f>
        <v/>
      </c>
      <c r="E151" s="731" t="n"/>
      <c r="F151" s="731" t="n"/>
      <c r="G151" s="730">
        <f>E151+F151</f>
        <v/>
      </c>
      <c r="H151" s="731" t="n">
        <v>855</v>
      </c>
      <c r="I151" s="731" t="n"/>
      <c r="J151" s="732">
        <f>AM151</f>
        <v/>
      </c>
      <c r="K151" s="738">
        <f>+(D151+G151)-(H151+I151+J151)</f>
        <v/>
      </c>
      <c r="L151" s="253">
        <f>2880-470-855</f>
        <v/>
      </c>
      <c r="M151" s="254" t="inlineStr">
        <is>
          <t>5DA79D1</t>
        </is>
      </c>
      <c r="N151" s="254" t="inlineStr">
        <is>
          <t>Sanofi Pasteur</t>
        </is>
      </c>
      <c r="O151" s="1183" t="inlineStr">
        <is>
          <t>30/09/2028</t>
        </is>
      </c>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73" t="n"/>
      <c r="E152" s="994" t="n"/>
      <c r="F152" s="994" t="n"/>
      <c r="G152" s="973" t="n"/>
      <c r="H152" s="994" t="n"/>
      <c r="I152" s="994" t="n"/>
      <c r="J152" s="973" t="n"/>
      <c r="K152" s="973" t="n"/>
      <c r="L152" s="253" t="n"/>
      <c r="M152" s="254" t="n"/>
      <c r="N152" s="254" t="n"/>
      <c r="O152" s="1183" t="n"/>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73"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73"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73"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75"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496">
        <f>MARZO!K157</f>
        <v/>
      </c>
      <c r="E157" s="731" t="n">
        <v>12320</v>
      </c>
      <c r="F157" s="731" t="n"/>
      <c r="G157" s="730">
        <f>E157+F157</f>
        <v/>
      </c>
      <c r="H157" s="731" t="n">
        <v>5420</v>
      </c>
      <c r="I157" s="731" t="n"/>
      <c r="J157" s="732">
        <f>AM157</f>
        <v/>
      </c>
      <c r="K157" s="738">
        <f>+(D157+G157)-(H157+I157+J157)</f>
        <v/>
      </c>
      <c r="L157" s="253">
        <f>12320-5420</f>
        <v/>
      </c>
      <c r="M157" s="521" t="inlineStr">
        <is>
          <t>2600761/00</t>
        </is>
      </c>
      <c r="N157" s="254" t="inlineStr">
        <is>
          <t>BUTANTAN</t>
        </is>
      </c>
      <c r="O157" s="1269" t="n">
        <v>46426</v>
      </c>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73"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73"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73"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73"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75"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496">
        <f>MARZO!K163</f>
        <v/>
      </c>
      <c r="E163" s="731" t="n">
        <v>69840</v>
      </c>
      <c r="F163" s="731" t="n"/>
      <c r="G163" s="730">
        <f>E163+F163</f>
        <v/>
      </c>
      <c r="H163" s="731" t="n">
        <v>29610</v>
      </c>
      <c r="I163" s="731" t="n"/>
      <c r="J163" s="732">
        <f>AM163</f>
        <v/>
      </c>
      <c r="K163" s="738">
        <f>+(D163+G163)-(H163+I163+J163)</f>
        <v/>
      </c>
      <c r="L163" s="253">
        <f>7840-710</f>
        <v/>
      </c>
      <c r="M163" s="254" t="inlineStr">
        <is>
          <t>2600761-00</t>
        </is>
      </c>
      <c r="N163" s="254" t="inlineStr">
        <is>
          <t>BUTANTAN</t>
        </is>
      </c>
      <c r="O163" s="1183" t="n">
        <v>46426</v>
      </c>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73" t="n"/>
      <c r="E164" s="994" t="n"/>
      <c r="F164" s="994" t="n"/>
      <c r="G164" s="973" t="n"/>
      <c r="H164" s="994" t="n"/>
      <c r="I164" s="994" t="n"/>
      <c r="J164" s="973" t="n"/>
      <c r="K164" s="973" t="n"/>
      <c r="L164" s="253">
        <f>40000-27100</f>
        <v/>
      </c>
      <c r="M164" s="254" t="inlineStr">
        <is>
          <t>V50526002</t>
        </is>
      </c>
      <c r="N164" s="254" t="inlineStr">
        <is>
          <t>GC BIOPHARMA CORP</t>
        </is>
      </c>
      <c r="O164" s="1183" t="inlineStr">
        <is>
          <t>29/01/2027</t>
        </is>
      </c>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73" t="n"/>
      <c r="E165" s="994" t="n"/>
      <c r="F165" s="994" t="n"/>
      <c r="G165" s="973" t="n"/>
      <c r="H165" s="994" t="n"/>
      <c r="I165" s="994" t="n"/>
      <c r="J165" s="973" t="n"/>
      <c r="K165" s="973" t="n"/>
      <c r="L165" s="253">
        <f>22000-1800</f>
        <v/>
      </c>
      <c r="M165" s="254" t="inlineStr">
        <is>
          <t>V50526006</t>
        </is>
      </c>
      <c r="N165" s="254" t="inlineStr">
        <is>
          <t>GC BIOPHARMA CORP</t>
        </is>
      </c>
      <c r="O165" s="1183" t="inlineStr">
        <is>
          <t>09/02/2026</t>
        </is>
      </c>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73"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73"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75"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496">
        <f>MARZO!K169</f>
        <v/>
      </c>
      <c r="E169" s="731" t="n">
        <v>1200</v>
      </c>
      <c r="F169" s="731" t="n"/>
      <c r="G169" s="730">
        <f>E169+F169</f>
        <v/>
      </c>
      <c r="H169" s="731" t="n">
        <v>536</v>
      </c>
      <c r="I169" s="731" t="n"/>
      <c r="J169" s="732">
        <f>AM169</f>
        <v/>
      </c>
      <c r="K169" s="738">
        <f>+(D169+G169)-(H169+I169+J169)</f>
        <v/>
      </c>
      <c r="L169" s="253">
        <f>1200-70</f>
        <v/>
      </c>
      <c r="M169" s="254" t="inlineStr">
        <is>
          <t>NJ0375</t>
        </is>
      </c>
      <c r="N169" s="254" t="inlineStr">
        <is>
          <t>PFIZER</t>
        </is>
      </c>
      <c r="O169" s="1183" t="inlineStr">
        <is>
          <t>31/10/2027</t>
        </is>
      </c>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73" t="n"/>
      <c r="E170" s="994" t="n"/>
      <c r="F170" s="994" t="n"/>
      <c r="G170" s="973" t="n"/>
      <c r="H170" s="994" t="n"/>
      <c r="I170" s="994" t="n"/>
      <c r="J170" s="973" t="n"/>
      <c r="K170" s="973" t="n"/>
      <c r="L170" s="253" t="n"/>
      <c r="M170" s="521"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73"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73"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73"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75"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496">
        <f>MARZO!K175</f>
        <v/>
      </c>
      <c r="E175" s="731" t="n"/>
      <c r="F175" s="731" t="n"/>
      <c r="G175" s="730">
        <f>E175+F175</f>
        <v/>
      </c>
      <c r="H175" s="731" t="n">
        <v>940</v>
      </c>
      <c r="I175" s="731" t="n"/>
      <c r="J175" s="732">
        <f>AM175</f>
        <v/>
      </c>
      <c r="K175" s="738">
        <f>+(D175+G175)-(H175+I175+J175)</f>
        <v/>
      </c>
      <c r="L175" s="253">
        <f>2048-555-900-70</f>
        <v/>
      </c>
      <c r="M175" s="254" t="inlineStr">
        <is>
          <t>Y014828</t>
        </is>
      </c>
      <c r="N175" s="254" t="inlineStr">
        <is>
          <t>MERCK SHARP DOHME</t>
        </is>
      </c>
      <c r="O175" s="1183" t="inlineStr">
        <is>
          <t>31/05/2027</t>
        </is>
      </c>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73" t="n"/>
      <c r="E176" s="994" t="n"/>
      <c r="F176" s="994" t="n"/>
      <c r="G176" s="973" t="n"/>
      <c r="H176" s="994" t="n"/>
      <c r="I176" s="994" t="n"/>
      <c r="J176" s="973" t="n"/>
      <c r="K176" s="973" t="n"/>
      <c r="L176" s="253">
        <f>2880-870</f>
        <v/>
      </c>
      <c r="M176" s="254" t="inlineStr">
        <is>
          <t>Y017576</t>
        </is>
      </c>
      <c r="N176" s="254" t="inlineStr">
        <is>
          <t>MERCK SHARP DOHME</t>
        </is>
      </c>
      <c r="O176" s="1183" t="inlineStr">
        <is>
          <t>05/06/2027</t>
        </is>
      </c>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73" t="n"/>
      <c r="E177" s="994" t="n"/>
      <c r="F177" s="994" t="n"/>
      <c r="G177" s="973" t="n"/>
      <c r="H177" s="994" t="n"/>
      <c r="I177" s="994" t="n"/>
      <c r="J177" s="973" t="n"/>
      <c r="K177" s="973" t="n"/>
      <c r="L177" s="253" t="n"/>
      <c r="M177" s="254" t="n"/>
      <c r="N177" s="254" t="n"/>
      <c r="O177" s="1183" t="n"/>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73"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73"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75"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496">
        <f>MARZO!K181</f>
        <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73"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73"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73"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73"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75"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496">
        <f>MARZO!K187</f>
        <v/>
      </c>
      <c r="E187" s="731" t="n"/>
      <c r="F187" s="731" t="n"/>
      <c r="G187" s="730">
        <f>E187+F187</f>
        <v/>
      </c>
      <c r="H187" s="731" t="n">
        <v>436</v>
      </c>
      <c r="I187" s="731" t="n"/>
      <c r="J187" s="732">
        <f>AM187</f>
        <v/>
      </c>
      <c r="K187" s="738">
        <f>+(D187+G187)-(H187+I187+J187)</f>
        <v/>
      </c>
      <c r="L187" s="253">
        <f>90-60-5+30-35</f>
        <v/>
      </c>
      <c r="M187" s="254" t="inlineStr">
        <is>
          <t>1484T128</t>
        </is>
      </c>
      <c r="N187" s="254" t="inlineStr">
        <is>
          <t>Serum</t>
        </is>
      </c>
      <c r="O187" s="1183" t="inlineStr">
        <is>
          <t>31/10/2027</t>
        </is>
      </c>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73" t="n"/>
      <c r="E188" s="994" t="n"/>
      <c r="F188" s="994" t="n"/>
      <c r="G188" s="973" t="n"/>
      <c r="H188" s="994" t="n"/>
      <c r="I188" s="994" t="n"/>
      <c r="J188" s="973" t="n"/>
      <c r="K188" s="973" t="n"/>
      <c r="L188" s="253">
        <f>1500-590-401</f>
        <v/>
      </c>
      <c r="M188" s="254" t="inlineStr">
        <is>
          <t>1485T007</t>
        </is>
      </c>
      <c r="N188" s="254" t="inlineStr">
        <is>
          <t>Serum</t>
        </is>
      </c>
      <c r="O188" s="1183" t="inlineStr">
        <is>
          <t>31/01/2028</t>
        </is>
      </c>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73"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73"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73"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75"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496">
        <f>MARZO!K193</f>
        <v/>
      </c>
      <c r="E193" s="731" t="n"/>
      <c r="F193" s="731" t="n"/>
      <c r="G193" s="730">
        <f>E193+F193</f>
        <v/>
      </c>
      <c r="H193" s="731" t="n"/>
      <c r="I193" s="731" t="n"/>
      <c r="J193" s="732">
        <f>AM193</f>
        <v/>
      </c>
      <c r="K193" s="738">
        <f>+(D193+G193)-(H193+I193+J193)</f>
        <v/>
      </c>
      <c r="L193" s="253">
        <f>78</f>
        <v/>
      </c>
      <c r="M193" s="254" t="inlineStr">
        <is>
          <t>P100819448</t>
        </is>
      </c>
      <c r="N193" s="254" t="inlineStr">
        <is>
          <t>CSL BEHRING</t>
        </is>
      </c>
      <c r="O193" s="1183" t="inlineStr">
        <is>
          <t>24/03/2028</t>
        </is>
      </c>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73"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73"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73"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73"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75"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496">
        <f>MARZO!K199</f>
        <v/>
      </c>
      <c r="E199" s="731" t="n"/>
      <c r="F199" s="731" t="n"/>
      <c r="G199" s="730">
        <f>E199+F199</f>
        <v/>
      </c>
      <c r="H199" s="731" t="n">
        <v>32</v>
      </c>
      <c r="I199" s="731" t="n"/>
      <c r="J199" s="732">
        <f>AM199</f>
        <v/>
      </c>
      <c r="K199" s="738">
        <f>+(D199+G199)-(H199+I199+J199)</f>
        <v/>
      </c>
      <c r="L199" s="253">
        <f>344-60-68-32</f>
        <v/>
      </c>
      <c r="M199" s="254" t="inlineStr">
        <is>
          <t>08AR25015</t>
        </is>
      </c>
      <c r="N199" s="254" t="inlineStr">
        <is>
          <t>VINS BIOPRODUCTS LIMITED</t>
        </is>
      </c>
      <c r="O199" s="1183" t="inlineStr">
        <is>
          <t>31/05/2027</t>
        </is>
      </c>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73" t="n"/>
      <c r="E200" s="994" t="n"/>
      <c r="F200" s="994" t="n"/>
      <c r="G200" s="973" t="n"/>
      <c r="H200" s="994" t="n"/>
      <c r="I200" s="994" t="n"/>
      <c r="J200" s="973" t="n"/>
      <c r="K200" s="973" t="n"/>
      <c r="L200" s="253" t="n">
        <v>300</v>
      </c>
      <c r="M200" s="254" t="inlineStr">
        <is>
          <t>08AR25031</t>
        </is>
      </c>
      <c r="N200" s="254" t="inlineStr">
        <is>
          <t>VINS BIOPRODUCTS LIMITED</t>
        </is>
      </c>
      <c r="O200" s="1183" t="inlineStr">
        <is>
          <t>30/07/2027</t>
        </is>
      </c>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73"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73"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73"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75"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496">
        <f>MARZO!K205</f>
        <v/>
      </c>
      <c r="E205" s="731" t="n"/>
      <c r="F205" s="731" t="n"/>
      <c r="G205" s="730">
        <f>E205+F205</f>
        <v/>
      </c>
      <c r="H205" s="731" t="n">
        <v>13</v>
      </c>
      <c r="I205" s="731" t="n"/>
      <c r="J205" s="732">
        <f>AM205</f>
        <v/>
      </c>
      <c r="K205" s="738">
        <f>+(D205+G205)-(H205+I205+J205)</f>
        <v/>
      </c>
      <c r="L205" s="253">
        <f>43-11-14-13</f>
        <v/>
      </c>
      <c r="M205" s="254" t="inlineStr">
        <is>
          <t>P100756726</t>
        </is>
      </c>
      <c r="N205" s="254" t="inlineStr">
        <is>
          <t>CSL BEHRING</t>
        </is>
      </c>
      <c r="O205" s="1183" t="inlineStr">
        <is>
          <t>09/10/2027</t>
        </is>
      </c>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73"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73"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73"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73"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75"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496">
        <f>MARZO!K211</f>
        <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73"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73"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73"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73"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75"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496">
        <f>MARZO!K217</f>
        <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73"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73"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73"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73"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75"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496">
        <f>MARZO!K223</f>
        <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73"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73"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73"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73"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75"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496">
        <f>MARZO!K230</f>
        <v/>
      </c>
      <c r="E230" s="731" t="n"/>
      <c r="F230" s="731" t="n"/>
      <c r="G230" s="730">
        <f>E230+F230</f>
        <v/>
      </c>
      <c r="H230" s="731" t="n">
        <v>1240</v>
      </c>
      <c r="I230" s="731" t="n"/>
      <c r="J230" s="732">
        <f>AM230</f>
        <v/>
      </c>
      <c r="K230" s="738">
        <f>+(D230+G230)-(H230+I230+J230)</f>
        <v/>
      </c>
      <c r="L230" s="253">
        <f>8230-1940-2110-1240</f>
        <v/>
      </c>
      <c r="M230" s="254" t="inlineStr">
        <is>
          <t>0704S4011</t>
        </is>
      </c>
      <c r="N230" s="254" t="inlineStr">
        <is>
          <t>Serum</t>
        </is>
      </c>
      <c r="O230" s="1183" t="inlineStr">
        <is>
          <t>30/06/2028</t>
        </is>
      </c>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73" t="n"/>
      <c r="E231" s="994" t="n"/>
      <c r="F231" s="994" t="n"/>
      <c r="G231" s="973" t="n"/>
      <c r="H231" s="994" t="n"/>
      <c r="I231" s="994" t="n"/>
      <c r="J231" s="973" t="n"/>
      <c r="K231" s="973" t="n"/>
      <c r="L231" s="253" t="n">
        <v>5000</v>
      </c>
      <c r="M231" s="254" t="inlineStr">
        <is>
          <t>0704S1005</t>
        </is>
      </c>
      <c r="N231" s="254" t="inlineStr">
        <is>
          <t>Serum</t>
        </is>
      </c>
      <c r="O231" s="1183" t="inlineStr">
        <is>
          <t>31/08/2028</t>
        </is>
      </c>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73" t="n"/>
      <c r="E232" s="994" t="n"/>
      <c r="F232" s="994" t="n"/>
      <c r="G232" s="973" t="n"/>
      <c r="H232" s="994" t="n"/>
      <c r="I232" s="994" t="n"/>
      <c r="J232" s="973" t="n"/>
      <c r="K232" s="973" t="n"/>
      <c r="L232" s="253" t="n"/>
      <c r="M232" s="254" t="n"/>
      <c r="N232" s="254" t="n"/>
      <c r="O232" s="1183" t="n"/>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73"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73"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75" t="n"/>
      <c r="E235" s="998" t="n"/>
      <c r="F235" s="998" t="n"/>
      <c r="G235" s="975" t="n"/>
      <c r="H235" s="998" t="n"/>
      <c r="I235" s="998" t="n"/>
      <c r="J235" s="975" t="n"/>
      <c r="K235" s="1189">
        <f>K230=L235</f>
        <v/>
      </c>
      <c r="L235" s="491">
        <f>SUM(L230:L234)</f>
        <v/>
      </c>
      <c r="M235" s="1190" t="inlineStr">
        <is>
          <t xml:space="preserve">“Verdadero” indica que la cantidad por lote, coincide con el saldo que inicia al mes siguiente. "Falso" no coinicide. </t>
        </is>
      </c>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496">
        <f>MARZO!K236</f>
        <v/>
      </c>
      <c r="E236" s="731" t="n"/>
      <c r="F236" s="731" t="n"/>
      <c r="G236" s="730">
        <f>E236+F236</f>
        <v/>
      </c>
      <c r="H236" s="731" t="n">
        <v>1303</v>
      </c>
      <c r="I236" s="731" t="n"/>
      <c r="J236" s="732">
        <f>AM236</f>
        <v/>
      </c>
      <c r="K236" s="738">
        <f>+(D236+G236)-(H236+I236+J236)</f>
        <v/>
      </c>
      <c r="L236" s="253">
        <f>4793-855-1089-1303</f>
        <v/>
      </c>
      <c r="M236" s="254" t="inlineStr">
        <is>
          <t>0643S1010</t>
        </is>
      </c>
      <c r="N236" s="254" t="inlineStr">
        <is>
          <t>Serum</t>
        </is>
      </c>
      <c r="O236" s="1183" t="inlineStr">
        <is>
          <t>30/04/2028</t>
        </is>
      </c>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73" t="n"/>
      <c r="E237" s="994" t="n"/>
      <c r="F237" s="994" t="n"/>
      <c r="G237" s="973" t="n"/>
      <c r="H237" s="994" t="n"/>
      <c r="I237" s="994" t="n"/>
      <c r="J237" s="973" t="n"/>
      <c r="K237" s="973" t="n"/>
      <c r="L237" s="253" t="n">
        <v>10000</v>
      </c>
      <c r="M237" s="254" t="inlineStr">
        <is>
          <t>0644S4011</t>
        </is>
      </c>
      <c r="N237" s="254" t="inlineStr">
        <is>
          <t>Serum</t>
        </is>
      </c>
      <c r="O237" s="1183" t="inlineStr">
        <is>
          <t>30/06/2029</t>
        </is>
      </c>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73" t="n"/>
      <c r="E238" s="994" t="n"/>
      <c r="F238" s="994" t="n"/>
      <c r="G238" s="973" t="n"/>
      <c r="H238" s="994" t="n"/>
      <c r="I238" s="994" t="n"/>
      <c r="J238" s="973" t="n"/>
      <c r="K238" s="973" t="n"/>
      <c r="L238" s="253" t="n">
        <v>3000</v>
      </c>
      <c r="M238" s="254" t="inlineStr">
        <is>
          <t>0644S1004</t>
        </is>
      </c>
      <c r="N238" s="254" t="inlineStr">
        <is>
          <t>Serum</t>
        </is>
      </c>
      <c r="O238" s="1183" t="inlineStr">
        <is>
          <t>31/08/2029</t>
        </is>
      </c>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73"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73"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75" t="n"/>
      <c r="E241" s="998" t="n"/>
      <c r="F241" s="998" t="n"/>
      <c r="G241" s="975" t="n"/>
      <c r="H241" s="998" t="n"/>
      <c r="I241" s="998" t="n"/>
      <c r="J241" s="975" t="n"/>
      <c r="K241" s="1189">
        <f>K236=L241</f>
        <v/>
      </c>
      <c r="L241" s="491">
        <f>SUM(L236:L240)</f>
        <v/>
      </c>
      <c r="M241" s="1190" t="inlineStr">
        <is>
          <t xml:space="preserve">“Verdadero” indica que la cantidad por lote, coincide con el saldo que inicia al mes siguiente. "Falso" no coinicide. </t>
        </is>
      </c>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496">
        <f>MARZO!K242</f>
        <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73"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73"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73"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73"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75" t="n"/>
      <c r="E247" s="998" t="n"/>
      <c r="F247" s="998" t="n"/>
      <c r="G247" s="975" t="n"/>
      <c r="H247" s="998" t="n"/>
      <c r="I247" s="998" t="n"/>
      <c r="J247" s="975" t="n"/>
      <c r="K247" s="1189">
        <f>K242=L247</f>
        <v/>
      </c>
      <c r="L247" s="491">
        <f>SUM(L242:L246)</f>
        <v/>
      </c>
      <c r="M247" s="1190" t="inlineStr">
        <is>
          <t xml:space="preserve">“Verdadero” indica que la cantidad por lote, coincide con el saldo que inicia al mes siguiente. "Falso" no coinicide. </t>
        </is>
      </c>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496">
        <f>MARZO!K248</f>
        <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73"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73"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73"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73"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75" t="n"/>
      <c r="E253" s="998" t="n"/>
      <c r="F253" s="998" t="n"/>
      <c r="G253" s="975" t="n"/>
      <c r="H253" s="998" t="n"/>
      <c r="I253" s="998" t="n"/>
      <c r="J253" s="975" t="n"/>
      <c r="K253" s="1189">
        <f>K248=L253</f>
        <v/>
      </c>
      <c r="L253" s="491">
        <f>SUM(L248:L252)</f>
        <v/>
      </c>
      <c r="M253" s="1190" t="inlineStr">
        <is>
          <t xml:space="preserve">“Verdadero” indica que la cantidad por lote, coincide con el saldo que inicia al mes siguiente. "Falso" no coinicide. </t>
        </is>
      </c>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496">
        <f>MARZO!K254</f>
        <v/>
      </c>
      <c r="E254" s="731" t="n"/>
      <c r="F254" s="731" t="n"/>
      <c r="G254" s="730">
        <f>E254+F254</f>
        <v/>
      </c>
      <c r="H254" s="731" t="n">
        <v>430</v>
      </c>
      <c r="I254" s="731" t="n"/>
      <c r="J254" s="732">
        <f>AM254</f>
        <v/>
      </c>
      <c r="K254" s="738">
        <f>+(D254+G254)-(H254+I254+J254)</f>
        <v/>
      </c>
      <c r="L254" s="253" t="n">
        <v>4</v>
      </c>
      <c r="M254" s="254" t="inlineStr">
        <is>
          <t>0643S4002</t>
        </is>
      </c>
      <c r="N254" s="254" t="inlineStr">
        <is>
          <t>Serum</t>
        </is>
      </c>
      <c r="O254" s="1183" t="inlineStr">
        <is>
          <t>30/04/2028</t>
        </is>
      </c>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73" t="n"/>
      <c r="E255" s="994" t="n"/>
      <c r="F255" s="994" t="n"/>
      <c r="G255" s="973" t="n"/>
      <c r="H255" s="994" t="n"/>
      <c r="I255" s="994" t="n"/>
      <c r="J255" s="973" t="n"/>
      <c r="K255" s="973" t="n"/>
      <c r="L255" s="253">
        <f>5900-3090-2022-230</f>
        <v/>
      </c>
      <c r="M255" s="254" t="inlineStr">
        <is>
          <t>0643S4003</t>
        </is>
      </c>
      <c r="N255" s="254" t="inlineStr">
        <is>
          <t>Serum</t>
        </is>
      </c>
      <c r="O255" s="1183" t="inlineStr">
        <is>
          <t>31/08/2028</t>
        </is>
      </c>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73" t="n"/>
      <c r="E256" s="994" t="n"/>
      <c r="F256" s="994" t="n"/>
      <c r="G256" s="973" t="n"/>
      <c r="H256" s="994" t="n"/>
      <c r="I256" s="994" t="n"/>
      <c r="J256" s="973" t="n"/>
      <c r="K256" s="973" t="n"/>
      <c r="L256" s="253">
        <f>500-200</f>
        <v/>
      </c>
      <c r="M256" s="254" t="inlineStr">
        <is>
          <t>0644S4014</t>
        </is>
      </c>
      <c r="N256" s="254" t="inlineStr">
        <is>
          <t>Serum</t>
        </is>
      </c>
      <c r="O256" s="1183" t="inlineStr">
        <is>
          <t>30/08/2029</t>
        </is>
      </c>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73" t="n"/>
      <c r="E257" s="994" t="n"/>
      <c r="F257" s="994" t="n"/>
      <c r="G257" s="973" t="n"/>
      <c r="H257" s="994" t="n"/>
      <c r="I257" s="994" t="n"/>
      <c r="J257" s="973" t="n"/>
      <c r="K257" s="973" t="n"/>
      <c r="L257" s="253" t="n"/>
      <c r="M257" s="254" t="n"/>
      <c r="N257" s="254" t="n"/>
      <c r="O257" s="1183" t="n"/>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73"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75" t="n"/>
      <c r="E259" s="998" t="n"/>
      <c r="F259" s="998" t="n"/>
      <c r="G259" s="975" t="n"/>
      <c r="H259" s="998" t="n"/>
      <c r="I259" s="998" t="n"/>
      <c r="J259" s="975" t="n"/>
      <c r="K259" s="1189">
        <f>K254=L259</f>
        <v/>
      </c>
      <c r="L259" s="491">
        <f>SUM(L254:L258)</f>
        <v/>
      </c>
      <c r="M259" s="1190" t="inlineStr">
        <is>
          <t xml:space="preserve">“Verdadero” indica que la cantidad por lote, coincide con el saldo que inicia al mes siguiente. "Falso" no coinicide. </t>
        </is>
      </c>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496">
        <f>MARZO!K260</f>
        <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73"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73"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73"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73"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75" t="n"/>
      <c r="E265" s="998" t="n"/>
      <c r="F265" s="998" t="n"/>
      <c r="G265" s="975" t="n"/>
      <c r="H265" s="998" t="n"/>
      <c r="I265" s="998" t="n"/>
      <c r="J265" s="975" t="n"/>
      <c r="K265" s="1189">
        <f>K260=L265</f>
        <v/>
      </c>
      <c r="L265" s="491">
        <f>SUM(L260:L264)</f>
        <v/>
      </c>
      <c r="M265" s="1190" t="inlineStr">
        <is>
          <t xml:space="preserve">“Verdadero” indica que la cantidad por lote, coincide con el saldo que inicia al mes siguiente. "Falso" no coinicide. </t>
        </is>
      </c>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496">
        <f>MARZO!K266</f>
        <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73"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73"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73"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73"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75" t="n"/>
      <c r="E271" s="998" t="n"/>
      <c r="F271" s="998" t="n"/>
      <c r="G271" s="975" t="n"/>
      <c r="H271" s="998" t="n"/>
      <c r="I271" s="998" t="n"/>
      <c r="J271" s="975" t="n"/>
      <c r="K271" s="1189">
        <f>K266=L271</f>
        <v/>
      </c>
      <c r="L271" s="491">
        <f>SUM(L266:L270)</f>
        <v/>
      </c>
      <c r="M271" s="1190" t="inlineStr">
        <is>
          <t xml:space="preserve">“Verdadero” indica que la cantidad por lote, coincide con el saldo que inicia al mes siguiente. "Falso" no coinicide. </t>
        </is>
      </c>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496">
        <f>MARZO!K272</f>
        <v/>
      </c>
      <c r="E272" s="731" t="n"/>
      <c r="F272" s="731" t="n"/>
      <c r="G272" s="730">
        <f>E272+F272</f>
        <v/>
      </c>
      <c r="H272" s="731" t="n">
        <v>1400</v>
      </c>
      <c r="I272" s="731" t="n"/>
      <c r="J272" s="732">
        <f>AM272</f>
        <v/>
      </c>
      <c r="K272" s="738">
        <f>+(D272+G272)-(H272+I272+J272)</f>
        <v/>
      </c>
      <c r="L272" s="253">
        <f>8000-1400</f>
        <v/>
      </c>
      <c r="M272" s="254" t="inlineStr">
        <is>
          <t>Y4X16</t>
        </is>
      </c>
      <c r="N272" s="254" t="inlineStr">
        <is>
          <t>Sanofi Pasteur</t>
        </is>
      </c>
      <c r="O272" s="1183" t="inlineStr">
        <is>
          <t>30/06/2027</t>
        </is>
      </c>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73" t="n"/>
      <c r="E273" s="994" t="n"/>
      <c r="F273" s="994" t="n"/>
      <c r="G273" s="973" t="n"/>
      <c r="H273" s="994" t="n"/>
      <c r="I273" s="994" t="n"/>
      <c r="J273" s="973" t="n"/>
      <c r="K273" s="973" t="n"/>
      <c r="L273" s="253" t="n">
        <v>30000</v>
      </c>
      <c r="M273" s="254" t="inlineStr">
        <is>
          <t>Y4X19</t>
        </is>
      </c>
      <c r="N273" s="254" t="inlineStr">
        <is>
          <t>Sanofi Pasteur</t>
        </is>
      </c>
      <c r="O273" s="1183" t="inlineStr">
        <is>
          <t>31/08/2027</t>
        </is>
      </c>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73" t="n"/>
      <c r="E274" s="994" t="n"/>
      <c r="F274" s="994" t="n"/>
      <c r="G274" s="973" t="n"/>
      <c r="H274" s="994" t="n"/>
      <c r="I274" s="994" t="n"/>
      <c r="J274" s="973" t="n"/>
      <c r="K274" s="973" t="n"/>
      <c r="L274" s="253" t="n"/>
      <c r="M274" s="254" t="n"/>
      <c r="N274" s="254" t="n"/>
      <c r="O274" s="1183" t="n"/>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73"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73"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75" t="n"/>
      <c r="E277" s="998" t="n"/>
      <c r="F277" s="998" t="n"/>
      <c r="G277" s="975" t="n"/>
      <c r="H277" s="998" t="n"/>
      <c r="I277" s="998" t="n"/>
      <c r="J277" s="975" t="n"/>
      <c r="K277" s="1189">
        <f>K272=L277</f>
        <v/>
      </c>
      <c r="L277" s="491">
        <f>SUM(L272:L276)</f>
        <v/>
      </c>
      <c r="M277" s="1190" t="inlineStr">
        <is>
          <t xml:space="preserve">“Verdadero” indica que la cantidad por lote, coincide con el saldo que inicia al mes siguiente. "Falso" no coinicide. </t>
        </is>
      </c>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496">
        <f>MARZO!K278</f>
        <v/>
      </c>
      <c r="E278" s="731" t="n"/>
      <c r="F278" s="731" t="n"/>
      <c r="G278" s="730">
        <f>E278+F278</f>
        <v/>
      </c>
      <c r="H278" s="731" t="n">
        <v>1092</v>
      </c>
      <c r="I278" s="731" t="n"/>
      <c r="J278" s="732">
        <f>AM278</f>
        <v/>
      </c>
      <c r="K278" s="738">
        <f>+(D278+G278)-(H278+I278+J278)</f>
        <v/>
      </c>
      <c r="L278" s="253">
        <f>3695-510-880-1092</f>
        <v/>
      </c>
      <c r="M278" s="254" t="inlineStr">
        <is>
          <t>90250603-1</t>
        </is>
      </c>
      <c r="N278" s="254" t="inlineStr">
        <is>
          <t>Sinovac</t>
        </is>
      </c>
      <c r="O278" s="1183" t="inlineStr">
        <is>
          <t>05/06/2029</t>
        </is>
      </c>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73" t="n"/>
      <c r="E279" s="994" t="n"/>
      <c r="F279" s="994" t="n"/>
      <c r="G279" s="973" t="n"/>
      <c r="H279" s="994" t="n"/>
      <c r="I279" s="994" t="n"/>
      <c r="J279" s="973" t="n"/>
      <c r="K279" s="973" t="n"/>
      <c r="L279" s="253" t="n">
        <v>2400</v>
      </c>
      <c r="M279" s="254" t="inlineStr">
        <is>
          <t>90250603-1</t>
        </is>
      </c>
      <c r="N279" s="254" t="inlineStr">
        <is>
          <t>Sinovac</t>
        </is>
      </c>
      <c r="O279" s="1183" t="inlineStr">
        <is>
          <t>05/06/2029</t>
        </is>
      </c>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73"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73"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73"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75" t="n"/>
      <c r="E283" s="998" t="n"/>
      <c r="F283" s="998" t="n"/>
      <c r="G283" s="975" t="n"/>
      <c r="H283" s="998" t="n"/>
      <c r="I283" s="998" t="n"/>
      <c r="J283" s="975" t="n"/>
      <c r="K283" s="1189">
        <f>K278=L283</f>
        <v/>
      </c>
      <c r="L283" s="491">
        <f>SUM(L278:L282)</f>
        <v/>
      </c>
      <c r="M283" s="1190" t="inlineStr">
        <is>
          <t xml:space="preserve">“Verdadero” indica que la cantidad por lote, coincide con el saldo que inicia al mes siguiente. "Falso" no coinicide. </t>
        </is>
      </c>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496">
        <f>MARZO!K284</f>
        <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73"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73"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73"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73"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75" t="n"/>
      <c r="E289" s="998" t="n"/>
      <c r="F289" s="998" t="n"/>
      <c r="G289" s="975" t="n"/>
      <c r="H289" s="998" t="n"/>
      <c r="I289" s="998" t="n"/>
      <c r="J289" s="975" t="n"/>
      <c r="K289" s="1189">
        <f>K284=L289</f>
        <v/>
      </c>
      <c r="L289" s="491">
        <f>SUM(L284:L288)</f>
        <v/>
      </c>
      <c r="M289" s="1190" t="inlineStr">
        <is>
          <t xml:space="preserve">“Verdadero” indica que la cantidad por lote, coincide con el saldo que inicia al mes siguiente. "Falso" no coinicide. </t>
        </is>
      </c>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496">
        <f>MARZO!K290</f>
        <v/>
      </c>
      <c r="E290" s="731" t="n"/>
      <c r="F290" s="731" t="n"/>
      <c r="G290" s="730">
        <f>E290+F290</f>
        <v/>
      </c>
      <c r="H290" s="731" t="n">
        <v>436</v>
      </c>
      <c r="I290" s="731" t="n"/>
      <c r="J290" s="732">
        <f>AM290</f>
        <v/>
      </c>
      <c r="K290" s="738">
        <f>+(D290+G290)-(H290+I290+J290)</f>
        <v/>
      </c>
      <c r="L290" s="253">
        <f>1500-590-401</f>
        <v/>
      </c>
      <c r="M290" s="254" t="inlineStr">
        <is>
          <t>0654S4016</t>
        </is>
      </c>
      <c r="N290" s="254" t="inlineStr">
        <is>
          <t>Serum</t>
        </is>
      </c>
      <c r="O290" s="1183" t="inlineStr">
        <is>
          <t>31/07/2029</t>
        </is>
      </c>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73" t="n"/>
      <c r="E291" s="994" t="n"/>
      <c r="F291" s="994" t="n"/>
      <c r="G291" s="973" t="n"/>
      <c r="H291" s="994" t="n"/>
      <c r="I291" s="994" t="n"/>
      <c r="J291" s="973" t="n"/>
      <c r="K291" s="973" t="n"/>
      <c r="L291" s="253" t="n"/>
      <c r="M291" s="254" t="n"/>
      <c r="N291" s="254" t="n"/>
      <c r="O291" s="1183" t="n"/>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73"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73"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73"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75" t="n"/>
      <c r="E295" s="998" t="n"/>
      <c r="F295" s="998" t="n"/>
      <c r="G295" s="975" t="n"/>
      <c r="H295" s="998" t="n"/>
      <c r="I295" s="998" t="n"/>
      <c r="J295" s="975" t="n"/>
      <c r="K295" s="1189">
        <f>K290=L295</f>
        <v/>
      </c>
      <c r="L295" s="491">
        <f>SUM(L290:L294)</f>
        <v/>
      </c>
      <c r="M295" s="1190" t="inlineStr">
        <is>
          <t xml:space="preserve">“Verdadero” indica que la cantidad por lote, coincide con el saldo que inicia al mes siguiente. "Falso" no coinicide. </t>
        </is>
      </c>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496">
        <f>MARZO!K296</f>
        <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73"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73"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73"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73"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75" t="n"/>
      <c r="E301" s="998" t="n"/>
      <c r="F301" s="998" t="n"/>
      <c r="G301" s="975" t="n"/>
      <c r="H301" s="998" t="n"/>
      <c r="I301" s="998" t="n"/>
      <c r="J301" s="975" t="n"/>
      <c r="K301" s="1189">
        <f>K296=L301</f>
        <v/>
      </c>
      <c r="L301" s="491">
        <f>SUM(L296:L300)</f>
        <v/>
      </c>
      <c r="M301" s="1190" t="inlineStr">
        <is>
          <t xml:space="preserve">“Verdadero” indica que la cantidad por lote, coincide con el saldo que inicia al mes siguiente. "Falso" no coinicide. </t>
        </is>
      </c>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647" t="inlineStr">
        <is>
          <t>JERINGAS</t>
        </is>
      </c>
      <c r="C302" s="967" t="n"/>
      <c r="D302" s="1257"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496">
        <f>MARZO!K303</f>
        <v/>
      </c>
      <c r="E303" s="731" t="n"/>
      <c r="F303" s="731" t="n"/>
      <c r="G303" s="730">
        <f>E303+F303</f>
        <v/>
      </c>
      <c r="H303" s="731" t="n">
        <v>12500</v>
      </c>
      <c r="I303" s="731" t="n"/>
      <c r="J303" s="732">
        <f>+AM303</f>
        <v/>
      </c>
      <c r="K303" s="706">
        <f>+(D303+G303)-(H303+I303+J303)</f>
        <v/>
      </c>
      <c r="L303" s="253">
        <f>14900-500-1700-12500</f>
        <v/>
      </c>
      <c r="M303" s="254" t="inlineStr">
        <is>
          <t>252216</t>
        </is>
      </c>
      <c r="N303" s="254" t="inlineStr">
        <is>
          <t>Fabricante</t>
        </is>
      </c>
      <c r="O303" s="1183" t="inlineStr">
        <is>
          <t>30/08/2027</t>
        </is>
      </c>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73"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73" t="n"/>
      <c r="E305" s="994" t="n"/>
      <c r="F305" s="994" t="n"/>
      <c r="G305" s="973" t="n"/>
      <c r="H305" s="994" t="n"/>
      <c r="I305" s="994" t="n"/>
      <c r="J305" s="973" t="n"/>
      <c r="K305" s="973" t="n"/>
      <c r="L305" s="253" t="n"/>
      <c r="M305" s="254" t="n"/>
      <c r="N305" s="254" t="n"/>
      <c r="O305" s="1183" t="n"/>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73"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73"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73"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75" t="n"/>
      <c r="E309" s="998" t="n"/>
      <c r="F309" s="998" t="n"/>
      <c r="G309" s="975" t="n"/>
      <c r="H309" s="998" t="n"/>
      <c r="I309" s="998" t="n"/>
      <c r="J309" s="975" t="n"/>
      <c r="K309" s="1189">
        <f>K303=L309</f>
        <v/>
      </c>
      <c r="L309" s="491">
        <f>SUM(L303:L308)</f>
        <v/>
      </c>
      <c r="M309" s="1190" t="inlineStr">
        <is>
          <t xml:space="preserve">“Verdadero” indica que la cantidad por lote, coincide con el saldo que inicia al mes siguiente. "Falso" no coinicide. </t>
        </is>
      </c>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496">
        <f>MARZO!K310</f>
        <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73"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73"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73"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73"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73"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75" t="n"/>
      <c r="E316" s="998" t="n"/>
      <c r="F316" s="998" t="n"/>
      <c r="G316" s="975" t="n"/>
      <c r="H316" s="998" t="n"/>
      <c r="I316" s="998" t="n"/>
      <c r="J316" s="975" t="n"/>
      <c r="K316" s="1189">
        <f>K310=L316</f>
        <v/>
      </c>
      <c r="L316" s="491">
        <f>SUM(L310:L315)</f>
        <v/>
      </c>
      <c r="M316" s="1190" t="inlineStr">
        <is>
          <t xml:space="preserve">“Verdadero” indica que la cantidad por lote, coincide con el saldo que inicia al mes siguiente. "Falso" no coinicide. </t>
        </is>
      </c>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496">
        <f>MARZO!K317</f>
        <v/>
      </c>
      <c r="E317" s="731" t="n">
        <v>30000</v>
      </c>
      <c r="F317" s="731" t="n"/>
      <c r="G317" s="730">
        <f>E317+F317</f>
        <v/>
      </c>
      <c r="H317" s="731">
        <f>6000+3133</f>
        <v/>
      </c>
      <c r="I317" s="731" t="n"/>
      <c r="J317" s="732">
        <f>+AM317</f>
        <v/>
      </c>
      <c r="K317" s="706">
        <f>+(D317+G317)-(H317+I317+J317)</f>
        <v/>
      </c>
      <c r="L317" s="253">
        <f>9000-2500-3000-3133</f>
        <v/>
      </c>
      <c r="M317" s="254" t="inlineStr">
        <is>
          <t>AR13095</t>
        </is>
      </c>
      <c r="N317" s="254" t="inlineStr">
        <is>
          <t>NUBENCO</t>
        </is>
      </c>
      <c r="O317" s="1183" t="inlineStr">
        <is>
          <t>30/09/2026</t>
        </is>
      </c>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73" t="n"/>
      <c r="E318" s="994" t="n"/>
      <c r="F318" s="994" t="n"/>
      <c r="G318" s="973" t="n"/>
      <c r="H318" s="994" t="n"/>
      <c r="I318" s="994" t="n"/>
      <c r="J318" s="973" t="n"/>
      <c r="K318" s="973" t="n"/>
      <c r="L318" s="253" t="n">
        <v>20</v>
      </c>
      <c r="M318" s="254" t="inlineStr">
        <is>
          <t>AR13158</t>
        </is>
      </c>
      <c r="N318" s="254" t="inlineStr">
        <is>
          <t>NUBENCO</t>
        </is>
      </c>
      <c r="O318" s="1183" t="inlineStr">
        <is>
          <t>31/03/2027</t>
        </is>
      </c>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73" t="n"/>
      <c r="E319" s="994" t="n"/>
      <c r="F319" s="994" t="n"/>
      <c r="G319" s="973" t="n"/>
      <c r="H319" s="994" t="n"/>
      <c r="I319" s="994" t="n"/>
      <c r="J319" s="973" t="n"/>
      <c r="K319" s="973" t="n"/>
      <c r="L319" s="253" t="n">
        <v>30000</v>
      </c>
      <c r="M319" s="521" t="n">
        <v>2407226</v>
      </c>
      <c r="N319" s="254" t="n"/>
      <c r="O319" s="1183" t="n"/>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73"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73"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73"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75" t="n"/>
      <c r="E323" s="998" t="n"/>
      <c r="F323" s="998" t="n"/>
      <c r="G323" s="975" t="n"/>
      <c r="H323" s="998" t="n"/>
      <c r="I323" s="998" t="n"/>
      <c r="J323" s="975" t="n"/>
      <c r="K323" s="1189">
        <f>K317=L323</f>
        <v/>
      </c>
      <c r="L323" s="491">
        <f>SUM(L317:L322)</f>
        <v/>
      </c>
      <c r="M323" s="1190" t="inlineStr">
        <is>
          <t xml:space="preserve">“Verdadero” indica que la cantidad por lote, coincide con el saldo que inicia al mes siguiente. "Falso" no coinicide. </t>
        </is>
      </c>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496">
        <f>MARZO!K324</f>
        <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73"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73"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73"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73"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73"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75"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496">
        <f>MARZO!K331</f>
        <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73"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73"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73"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73"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73"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75" t="n"/>
      <c r="E337" s="998" t="n"/>
      <c r="F337" s="998" t="n"/>
      <c r="G337" s="975" t="n"/>
      <c r="H337" s="998" t="n"/>
      <c r="I337" s="998" t="n"/>
      <c r="J337" s="975" t="n"/>
      <c r="K337" s="1189">
        <f>K331=L337</f>
        <v/>
      </c>
      <c r="L337" s="491">
        <f>SUM(L331:L336)</f>
        <v/>
      </c>
      <c r="M337" s="1190" t="inlineStr">
        <is>
          <t xml:space="preserve">“Verdadero” indica que la cantidad por lote, coincide con el saldo que inicia al mes siguiente. "Falso" no coinicide. </t>
        </is>
      </c>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496">
        <f>MARZO!K338</f>
        <v/>
      </c>
      <c r="E338" s="731" t="n">
        <v>30000</v>
      </c>
      <c r="F338" s="731" t="n"/>
      <c r="G338" s="730">
        <f>E338+F338</f>
        <v/>
      </c>
      <c r="H338" s="731" t="n">
        <v>21700</v>
      </c>
      <c r="I338" s="731" t="n"/>
      <c r="J338" s="732">
        <f>+AM338</f>
        <v/>
      </c>
      <c r="K338" s="706">
        <f>+(D338+G338)-(H338+I338+J338)</f>
        <v/>
      </c>
      <c r="L338" s="253" t="n">
        <v>39000</v>
      </c>
      <c r="M338" s="254" t="inlineStr">
        <is>
          <t>AR13133-8</t>
        </is>
      </c>
      <c r="N338" s="254" t="inlineStr">
        <is>
          <t>JIANGXI SANXIN MEDTEC</t>
        </is>
      </c>
      <c r="O338" s="1183" t="inlineStr">
        <is>
          <t>31/03/2027</t>
        </is>
      </c>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73" t="n"/>
      <c r="E339" s="994" t="n"/>
      <c r="F339" s="994" t="n"/>
      <c r="G339" s="973" t="n"/>
      <c r="H339" s="994" t="n"/>
      <c r="I339" s="994" t="n"/>
      <c r="J339" s="973" t="n"/>
      <c r="K339" s="973" t="n"/>
      <c r="L339" s="253" t="n"/>
      <c r="M339" s="254" t="n"/>
      <c r="N339" s="254" t="n"/>
      <c r="O339" s="1183" t="n"/>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73" t="n"/>
      <c r="E340" s="994" t="n"/>
      <c r="F340" s="994" t="n"/>
      <c r="G340" s="973" t="n"/>
      <c r="H340" s="994" t="n"/>
      <c r="I340" s="994" t="n"/>
      <c r="J340" s="973" t="n"/>
      <c r="K340" s="973" t="n"/>
      <c r="L340" s="253" t="n"/>
      <c r="M340" s="521" t="n"/>
      <c r="N340" s="254" t="n"/>
      <c r="O340" s="1183" t="n"/>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73"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73"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73"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75" t="n"/>
      <c r="E344" s="998" t="n"/>
      <c r="F344" s="998" t="n"/>
      <c r="G344" s="975" t="n"/>
      <c r="H344" s="998" t="n"/>
      <c r="I344" s="998" t="n"/>
      <c r="J344" s="975" t="n"/>
      <c r="K344" s="1189">
        <f>K338=L344</f>
        <v/>
      </c>
      <c r="L344" s="491">
        <f>SUM(L338:L343)</f>
        <v/>
      </c>
      <c r="M344" s="1190" t="inlineStr">
        <is>
          <t xml:space="preserve">“Verdadero” indica que la cantidad por lote, coincide con el saldo que inicia al mes siguiente. "Falso" no coinicide. </t>
        </is>
      </c>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496">
        <f>MARZO!K345</f>
        <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73"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73"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73"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73"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73"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75" t="n"/>
      <c r="E351" s="998" t="n"/>
      <c r="F351" s="998" t="n"/>
      <c r="G351" s="975" t="n"/>
      <c r="H351" s="998" t="n"/>
      <c r="I351" s="998" t="n"/>
      <c r="J351" s="975" t="n"/>
      <c r="K351" s="1189">
        <f>K345=L351</f>
        <v/>
      </c>
      <c r="L351" s="491">
        <f>SUM(L345:L350)</f>
        <v/>
      </c>
      <c r="M351" s="1190" t="inlineStr">
        <is>
          <t xml:space="preserve">“Verdadero” indica que la cantidad por lote, coincide con el saldo que inicia al mes siguiente. "Falso" no coinicide. </t>
        </is>
      </c>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496">
        <f>MARZO!K352</f>
        <v/>
      </c>
      <c r="E352" s="731" t="n"/>
      <c r="F352" s="731" t="n"/>
      <c r="G352" s="730">
        <f>E352+F352</f>
        <v/>
      </c>
      <c r="H352" s="731" t="n">
        <v>7730</v>
      </c>
      <c r="I352" s="731" t="n"/>
      <c r="J352" s="732">
        <f>AM352</f>
        <v/>
      </c>
      <c r="K352" s="706">
        <f>+(D352+G352)-(H352+I352+J352)</f>
        <v/>
      </c>
      <c r="L352" s="253">
        <f>32800-7400-5400-7730</f>
        <v/>
      </c>
      <c r="M352" s="254" t="inlineStr">
        <is>
          <t>20250903</t>
        </is>
      </c>
      <c r="N352" s="254" t="inlineStr">
        <is>
          <t>YIXIN China</t>
        </is>
      </c>
      <c r="O352" s="1183" t="inlineStr">
        <is>
          <t>02/09/2030</t>
        </is>
      </c>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73" t="n"/>
      <c r="E353" s="994" t="n"/>
      <c r="F353" s="994" t="n"/>
      <c r="G353" s="973" t="n"/>
      <c r="H353" s="994" t="n"/>
      <c r="I353" s="994" t="n"/>
      <c r="J353" s="973" t="n"/>
      <c r="K353" s="973" t="n"/>
      <c r="L353" s="253" t="n">
        <v>48</v>
      </c>
      <c r="M353" s="254" t="inlineStr">
        <is>
          <t>23FA1</t>
        </is>
      </c>
      <c r="N353" s="254" t="inlineStr">
        <is>
          <t>Fabricante</t>
        </is>
      </c>
      <c r="O353" s="1183" t="inlineStr">
        <is>
          <t>31/05/2028</t>
        </is>
      </c>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73" t="n"/>
      <c r="E354" s="994" t="n"/>
      <c r="F354" s="994" t="n"/>
      <c r="G354" s="973" t="n"/>
      <c r="H354" s="994" t="n"/>
      <c r="I354" s="994" t="n"/>
      <c r="J354" s="973" t="n"/>
      <c r="K354" s="973" t="n"/>
      <c r="L354" s="253" t="n"/>
      <c r="M354" s="254" t="n"/>
      <c r="N354" s="254" t="n"/>
      <c r="O354" s="1183" t="n"/>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73"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73"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73"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75" t="n"/>
      <c r="E358" s="998" t="n"/>
      <c r="F358" s="998" t="n"/>
      <c r="G358" s="975" t="n"/>
      <c r="H358" s="998" t="n"/>
      <c r="I358" s="998" t="n"/>
      <c r="J358" s="975" t="n"/>
      <c r="K358" s="1189">
        <f>K352=L358</f>
        <v/>
      </c>
      <c r="L358" s="491">
        <f>SUM(L352:L357)</f>
        <v/>
      </c>
      <c r="M358" s="1190" t="inlineStr">
        <is>
          <t xml:space="preserve">“Verdadero” indica que la cantidad por lote, coincide con el saldo que inicia al mes siguiente. "Falso" no coinicide. </t>
        </is>
      </c>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496">
        <f>MARZO!K359</f>
        <v/>
      </c>
      <c r="E359" s="731" t="n"/>
      <c r="F359" s="731" t="n"/>
      <c r="G359" s="730">
        <f>E359+F359</f>
        <v/>
      </c>
      <c r="H359" s="731" t="n">
        <v>1410</v>
      </c>
      <c r="I359" s="731" t="n"/>
      <c r="J359" s="732">
        <f>AM359</f>
        <v/>
      </c>
      <c r="K359" s="706">
        <f>+(D359+G359)-(H359+I359+J359)</f>
        <v/>
      </c>
      <c r="L359" s="253">
        <f>5100-610</f>
        <v/>
      </c>
      <c r="M359" s="254" t="inlineStr">
        <is>
          <t>622204</t>
        </is>
      </c>
      <c r="N359" s="254" t="inlineStr">
        <is>
          <t>Fabricante</t>
        </is>
      </c>
      <c r="O359" s="1183" t="inlineStr">
        <is>
          <t>28/02/2027</t>
        </is>
      </c>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73" t="n"/>
      <c r="E360" s="994" t="n"/>
      <c r="F360" s="994" t="n"/>
      <c r="G360" s="973" t="n"/>
      <c r="H360" s="994" t="n"/>
      <c r="I360" s="994" t="n"/>
      <c r="J360" s="973" t="n"/>
      <c r="K360" s="973" t="n"/>
      <c r="L360" s="253" t="n">
        <v>5500</v>
      </c>
      <c r="M360" s="254" t="inlineStr">
        <is>
          <t>662202</t>
        </is>
      </c>
      <c r="N360" s="254" t="inlineStr">
        <is>
          <t>Fabricante</t>
        </is>
      </c>
      <c r="O360" s="1183" t="inlineStr">
        <is>
          <t>30/09/2027</t>
        </is>
      </c>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73" t="n"/>
      <c r="E361" s="994" t="n"/>
      <c r="F361" s="994" t="n"/>
      <c r="G361" s="973" t="n"/>
      <c r="H361" s="994" t="n"/>
      <c r="I361" s="994" t="n"/>
      <c r="J361" s="973" t="n"/>
      <c r="K361" s="973" t="n"/>
      <c r="L361" s="253">
        <f>3000-720-1410</f>
        <v/>
      </c>
      <c r="M361" s="254" t="inlineStr">
        <is>
          <t>662203</t>
        </is>
      </c>
      <c r="N361" s="254" t="inlineStr">
        <is>
          <t>Fabricante</t>
        </is>
      </c>
      <c r="O361" s="1183" t="inlineStr">
        <is>
          <t>30/09/2027</t>
        </is>
      </c>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73" t="n"/>
      <c r="E362" s="994" t="n"/>
      <c r="F362" s="994" t="n"/>
      <c r="G362" s="973" t="n"/>
      <c r="H362" s="994" t="n"/>
      <c r="I362" s="994" t="n"/>
      <c r="J362" s="973" t="n"/>
      <c r="K362" s="973" t="n"/>
      <c r="L362" s="253" t="n">
        <v>3000</v>
      </c>
      <c r="M362" s="254" t="inlineStr">
        <is>
          <t>712401</t>
        </is>
      </c>
      <c r="N362" s="254" t="inlineStr">
        <is>
          <t>Fabricante</t>
        </is>
      </c>
      <c r="O362" s="1183" t="inlineStr">
        <is>
          <t>30/03/2029</t>
        </is>
      </c>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73"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73"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75" t="n"/>
      <c r="E365" s="998" t="n"/>
      <c r="F365" s="998" t="n"/>
      <c r="G365" s="975" t="n"/>
      <c r="H365" s="998" t="n"/>
      <c r="I365" s="998" t="n"/>
      <c r="J365" s="975" t="n"/>
      <c r="K365" s="1189">
        <f>K359=L365</f>
        <v/>
      </c>
      <c r="L365" s="491">
        <f>SUM(L359:L364)</f>
        <v/>
      </c>
      <c r="M365" s="1190" t="inlineStr">
        <is>
          <t xml:space="preserve">“Verdadero” indica que la cantidad por lote, coincide con el saldo que inicia al mes siguiente. "Falso" no coinicide. </t>
        </is>
      </c>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496">
        <f>MARZO!K366</f>
        <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73"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73"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73"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73"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73"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75"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496">
        <f>MARZO!K373</f>
        <v/>
      </c>
      <c r="E373" s="731" t="n"/>
      <c r="F373" s="731" t="n"/>
      <c r="G373" s="730">
        <f>E373+F373</f>
        <v/>
      </c>
      <c r="H373" s="731" t="n">
        <v>220</v>
      </c>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496">
        <f>MARZO!K374</f>
        <v/>
      </c>
      <c r="E374" s="731" t="n"/>
      <c r="F374" s="731" t="n"/>
      <c r="G374" s="730">
        <f>E374+F374</f>
        <v/>
      </c>
      <c r="H374" s="731" t="n">
        <v>3700</v>
      </c>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496">
        <f>MARZO!K375</f>
        <v/>
      </c>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496">
        <f>MARZO!K376</f>
        <v/>
      </c>
      <c r="E376" s="731" t="n"/>
      <c r="F376" s="731" t="n"/>
      <c r="G376" s="730">
        <f>E376+F376</f>
        <v/>
      </c>
      <c r="H376" s="731" t="n">
        <v>320</v>
      </c>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496">
        <f>MARZO!K377</f>
        <v/>
      </c>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496">
        <f>MARZO!K378</f>
        <v/>
      </c>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496">
        <f>MARZO!K379</f>
        <v/>
      </c>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623" t="inlineStr">
        <is>
          <t>ÍTEM</t>
        </is>
      </c>
      <c r="B381" s="719" t="inlineStr">
        <is>
          <t>VACUNA COVID-19</t>
        </is>
      </c>
      <c r="C381" s="965" t="n"/>
      <c r="D381" s="716" t="inlineStr">
        <is>
          <t>SALDO MES ANTERIOR</t>
        </is>
      </c>
      <c r="E381" s="1179" t="inlineStr">
        <is>
          <t>ENTRADA</t>
        </is>
      </c>
      <c r="F381" s="1180" t="n"/>
      <c r="G381" s="965" t="n"/>
      <c r="H381" s="715" t="inlineStr">
        <is>
          <t>SALIDAS</t>
        </is>
      </c>
      <c r="I381" s="968" t="n"/>
      <c r="J381" s="967" t="n"/>
      <c r="K381" s="623" t="inlineStr">
        <is>
          <t>SALDO QUE INICIA EL MES SIGUIENTE</t>
        </is>
      </c>
      <c r="L381" s="623" t="inlineStr">
        <is>
          <t>DOSIS POR LOTES</t>
        </is>
      </c>
      <c r="M381" s="623" t="inlineStr">
        <is>
          <t xml:space="preserve">No. LOTE </t>
        </is>
      </c>
      <c r="N381" s="623" t="inlineStr">
        <is>
          <t>LABORATORIO</t>
        </is>
      </c>
      <c r="O381" s="623" t="inlineStr">
        <is>
          <t>FECHA DE VENCIMIENTO</t>
        </is>
      </c>
      <c r="P381" s="623" t="inlineStr">
        <is>
          <t>SEMAFORIZACION VIDA  ÚTIL DEL BIOLÓGICO</t>
        </is>
      </c>
      <c r="Q381" s="623" t="inlineStr">
        <is>
          <t>CONDICIÓN FINAL DEL BIOLÓGICO, DILUYENTE Y CARNET</t>
        </is>
      </c>
      <c r="R381" s="613" t="inlineStr">
        <is>
          <t>DOSIS EN CUARENTENA</t>
        </is>
      </c>
      <c r="S381" s="613" t="inlineStr">
        <is>
          <t>LABORATORIO</t>
        </is>
      </c>
      <c r="T381" s="613" t="inlineStr">
        <is>
          <t>No. LOTE</t>
        </is>
      </c>
      <c r="U381" s="613" t="inlineStr">
        <is>
          <t>FECHA DE VENCIMEINTO</t>
        </is>
      </c>
      <c r="V381" s="613" t="inlineStr">
        <is>
          <t>FECHA DE INICIO CUARENTENA</t>
        </is>
      </c>
      <c r="W381" s="613" t="inlineStr">
        <is>
          <t>OBSERVACIONES</t>
        </is>
      </c>
      <c r="X381" s="250" t="n"/>
      <c r="Z381" s="1221" t="inlineStr">
        <is>
          <t>MOTIVOS DE NO USO DE VACUNAS CONTRA LA COVID-19
RESOLUCIÓN 0118 DEL 27 DE ENERO DE 2026
DISPONIBLE EN EL SIGUIENTE LINK: https://www.minsalud.gov.co/Normatividad_Nuevo/Resolucion%20No%20118%20de%202026.pdf</t>
        </is>
      </c>
      <c r="AA381" s="968" t="n"/>
      <c r="AB381" s="968" t="n"/>
      <c r="AC381" s="968" t="n"/>
      <c r="AD381" s="968" t="n"/>
      <c r="AE381" s="968" t="n"/>
      <c r="AF381" s="968" t="n"/>
      <c r="AG381" s="968" t="n"/>
      <c r="AH381" s="968" t="n"/>
      <c r="AI381" s="968" t="n"/>
      <c r="AJ381" s="968" t="n"/>
      <c r="AK381" s="968" t="n"/>
      <c r="AL381" s="967" t="n"/>
      <c r="AM381" s="532" t="inlineStr">
        <is>
          <t xml:space="preserve">TOTAL DOSIS PERDIDAS        </t>
        </is>
      </c>
      <c r="AN381" s="478" t="n"/>
      <c r="AO381" s="368" t="n"/>
      <c r="AU381" s="251" t="n"/>
      <c r="AV381" s="251" t="n"/>
    </row>
    <row r="382" ht="28.5" customHeight="1">
      <c r="A382" s="973" t="n"/>
      <c r="B382" s="971" t="n"/>
      <c r="C382" s="972" t="n"/>
      <c r="D382" s="973" t="n"/>
      <c r="E382" s="623" t="inlineStr">
        <is>
          <t>DOSIS RECIBIDAS DEL ALMACÉN CENTRAL DEL MSPS</t>
        </is>
      </c>
      <c r="F382" s="623" t="inlineStr">
        <is>
          <t>DOSIS RECIBIDAS X TRASLADO DEL CA DEPARTAMENTAL O DISTRITAL</t>
        </is>
      </c>
      <c r="G382" s="623" t="inlineStr">
        <is>
          <t>TOTAL ENTRADAS</t>
        </is>
      </c>
      <c r="H382" s="711" t="inlineStr">
        <is>
          <t>DOSIS DESPACHADAS A LOS MUNICIPIOS / DISTRITOS A IPS</t>
        </is>
      </c>
      <c r="I382" s="711" t="inlineStr">
        <is>
          <t>DOSIS TRASLADADAS A OTROS DEPARTAMENTOS O DISTRITOS</t>
        </is>
      </c>
      <c r="J382" s="716" t="inlineStr">
        <is>
          <t>DOSIS PERDIDAS</t>
        </is>
      </c>
      <c r="K382" s="973" t="n"/>
      <c r="L382" s="973" t="n"/>
      <c r="M382" s="973" t="n"/>
      <c r="N382" s="973" t="n"/>
      <c r="O382" s="973" t="n"/>
      <c r="P382" s="973" t="n"/>
      <c r="Q382" s="973" t="n"/>
      <c r="R382" s="973" t="n"/>
      <c r="S382" s="973" t="n"/>
      <c r="T382" s="973" t="n"/>
      <c r="U382" s="973" t="n"/>
      <c r="V382" s="973" t="n"/>
      <c r="W382" s="973" t="n"/>
      <c r="X382" s="250" t="n"/>
      <c r="Y382" s="252" t="n"/>
      <c r="Z382" s="533" t="n">
        <v>1</v>
      </c>
      <c r="AA382" s="967" t="n"/>
      <c r="AB382" s="533" t="n">
        <v>2</v>
      </c>
      <c r="AC382" s="533" t="n">
        <v>3</v>
      </c>
      <c r="AD382" s="533" t="n">
        <v>4</v>
      </c>
      <c r="AE382" s="533" t="n">
        <v>5</v>
      </c>
      <c r="AF382" s="533" t="n">
        <v>6</v>
      </c>
      <c r="AG382" s="533" t="n">
        <v>7</v>
      </c>
      <c r="AH382" s="533" t="n">
        <v>8</v>
      </c>
      <c r="AI382" s="533" t="n">
        <v>9</v>
      </c>
      <c r="AJ382" s="533" t="n">
        <v>10</v>
      </c>
      <c r="AK382" s="533" t="n">
        <v>11</v>
      </c>
      <c r="AL382" s="533" t="n">
        <v>12</v>
      </c>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inlineStr">
        <is>
          <t>POLÍTICA DE FRASCOS ABIERTO</t>
        </is>
      </c>
      <c r="AA383" s="967" t="n"/>
      <c r="AB383" s="1222" t="inlineStr">
        <is>
          <t>INTERRUPCIÓN DE LA CADENA DE FRÍO</t>
        </is>
      </c>
      <c r="AC383" s="537" t="inlineStr">
        <is>
          <t>CONTAMINACIÓN DEL BIOLÓGICO</t>
        </is>
      </c>
      <c r="AD383" s="1222" t="inlineStr">
        <is>
          <t>ERROR EN LA MANIPULACIÓN</t>
        </is>
      </c>
      <c r="AE383" s="537" t="inlineStr">
        <is>
          <t>ERROR EN LA RECONSTITUCIÓN/DILUCIÓN</t>
        </is>
      </c>
      <c r="AF383" s="1222" t="inlineStr">
        <is>
          <t>ERROR EN LA DOSIFICACIÓN</t>
        </is>
      </c>
      <c r="AG383" s="537" t="inlineStr">
        <is>
          <t>VACUNA QUE EXCEDE EL TIEMPO DE ALMACENAMIENTO EN REFRIGERACIÓN</t>
        </is>
      </c>
      <c r="AH383" s="1222" t="inlineStr">
        <is>
          <t>VENCIMIENTO DEL BIOLÓGICO</t>
        </is>
      </c>
      <c r="AI383" s="537" t="inlineStr">
        <is>
          <t>FRASCO VIAL ROTO</t>
        </is>
      </c>
      <c r="AJ383" s="1222" t="inlineStr">
        <is>
          <t>FALLAS DE FABRICACIÓN/CALIDAD</t>
        </is>
      </c>
      <c r="AK383" s="537" t="inlineStr">
        <is>
          <t>SINIESTRO / ACCIDENTE</t>
        </is>
      </c>
      <c r="AL383" s="1222" t="inlineStr">
        <is>
          <t>ROBO/HURTO BIOLÓGICO</t>
        </is>
      </c>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496">
        <f>MARZO!K385</f>
        <v/>
      </c>
      <c r="E385" s="731" t="n"/>
      <c r="F385" s="731" t="n"/>
      <c r="G385" s="730">
        <f>E385+F385</f>
        <v/>
      </c>
      <c r="H385" s="731" t="n"/>
      <c r="I385" s="731" t="n"/>
      <c r="J385" s="732">
        <f>AM385</f>
        <v/>
      </c>
      <c r="K385" s="706">
        <f>+(D385+G385)-(H385+I385+J385)</f>
        <v/>
      </c>
      <c r="L385" s="486" t="n"/>
      <c r="M385" s="487" t="n"/>
      <c r="N385" s="487" t="n"/>
      <c r="O385" s="1223" t="n"/>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73"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73"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73"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75" t="n"/>
      <c r="E389" s="998" t="n"/>
      <c r="F389" s="998" t="n"/>
      <c r="G389" s="975" t="n"/>
      <c r="H389" s="998" t="n"/>
      <c r="I389" s="998" t="n"/>
      <c r="J389" s="975" t="n"/>
      <c r="K389" s="1189">
        <f>K385=L389</f>
        <v/>
      </c>
      <c r="L389" s="491">
        <f>SUM(L385:L388)</f>
        <v/>
      </c>
      <c r="M389" s="1190" t="inlineStr">
        <is>
          <t xml:space="preserve">“Verdadero” indica que la cantidad por lote, coincide con el saldo que inicia al mes siguiente. "Falso" no coinicide. </t>
        </is>
      </c>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496">
        <f>MARZO!K390</f>
        <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73"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73"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73"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75" t="n"/>
      <c r="E394" s="998" t="n"/>
      <c r="F394" s="998" t="n"/>
      <c r="G394" s="975" t="n"/>
      <c r="H394" s="998" t="n"/>
      <c r="I394" s="998" t="n"/>
      <c r="J394" s="975" t="n"/>
      <c r="K394" s="1189">
        <f>K390=L394</f>
        <v/>
      </c>
      <c r="L394" s="491">
        <f>SUM(L390:L393)</f>
        <v/>
      </c>
      <c r="M394" s="1190" t="inlineStr">
        <is>
          <t xml:space="preserve">“Verdadero” indica que la cantidad por lote, coincide con el saldo que inicia al mes siguiente. "Falso" no coinicide. </t>
        </is>
      </c>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496">
        <f>MARZO!K395</f>
        <v/>
      </c>
      <c r="E395" s="731" t="n">
        <v>1200</v>
      </c>
      <c r="F395" s="731" t="n"/>
      <c r="G395" s="730">
        <f>E395+F395</f>
        <v/>
      </c>
      <c r="H395" s="731" t="n"/>
      <c r="I395" s="731" t="n"/>
      <c r="J395" s="732">
        <f>AM395</f>
        <v/>
      </c>
      <c r="K395" s="706">
        <f>+(D395+G395)-(H395+I395+J395)</f>
        <v/>
      </c>
      <c r="L395" s="486" t="n">
        <v>1200</v>
      </c>
      <c r="M395" s="521" t="inlineStr">
        <is>
          <t>MT6633</t>
        </is>
      </c>
      <c r="N395" s="487" t="n"/>
      <c r="O395" s="1223" t="n"/>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73"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73"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73"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75" t="n"/>
      <c r="E399" s="998" t="n"/>
      <c r="F399" s="998" t="n"/>
      <c r="G399" s="975" t="n"/>
      <c r="H399" s="998" t="n"/>
      <c r="I399" s="998" t="n"/>
      <c r="J399" s="975" t="n"/>
      <c r="K399" s="1189">
        <f>K395=L399</f>
        <v/>
      </c>
      <c r="L399" s="491">
        <f>SUM(L395:L398)</f>
        <v/>
      </c>
      <c r="M399" s="1190" t="inlineStr">
        <is>
          <t xml:space="preserve">“Verdadero” indica que la cantidad por lote, coincide con el saldo que inicia al mes siguiente. "Falso" no coinicide. </t>
        </is>
      </c>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496">
        <f>MARZO!K400</f>
        <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73"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73"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73"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75" t="n"/>
      <c r="E404" s="998" t="n"/>
      <c r="F404" s="998" t="n"/>
      <c r="G404" s="975" t="n"/>
      <c r="H404" s="998" t="n"/>
      <c r="I404" s="998" t="n"/>
      <c r="J404" s="975" t="n"/>
      <c r="K404" s="1189">
        <f>K400=L404</f>
        <v/>
      </c>
      <c r="L404" s="491">
        <f>SUM(L400:L403)</f>
        <v/>
      </c>
      <c r="M404" s="1190" t="inlineStr">
        <is>
          <t xml:space="preserve">“Verdadero” indica que la cantidad por lote, coincide con el saldo que inicia al mes siguiente. "Falso" no coinicide. </t>
        </is>
      </c>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496">
        <f>MARZO!K405</f>
        <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73"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73"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73"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75" t="n"/>
      <c r="E409" s="998" t="n"/>
      <c r="F409" s="998" t="n"/>
      <c r="G409" s="975" t="n"/>
      <c r="H409" s="998" t="n"/>
      <c r="I409" s="998" t="n"/>
      <c r="J409" s="975" t="n"/>
      <c r="K409" s="1189">
        <f>K405=L409</f>
        <v/>
      </c>
      <c r="L409" s="491">
        <f>SUM(L405:L408)</f>
        <v/>
      </c>
      <c r="M409" s="1190" t="inlineStr">
        <is>
          <t xml:space="preserve">“Verdadero” indica que la cantidad por lote, coincide con el saldo que inicia al mes siguiente. "Falso" no coinicide. </t>
        </is>
      </c>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1268" t="inlineStr">
        <is>
          <t>ÍTEM</t>
        </is>
      </c>
      <c r="B413" s="1268" t="inlineStr">
        <is>
          <t>INSUMOS</t>
        </is>
      </c>
      <c r="C413" s="965" t="n"/>
      <c r="D413" s="1231" t="inlineStr">
        <is>
          <t>SALDO MES ANTERIOR</t>
        </is>
      </c>
      <c r="E413" s="961" t="inlineStr">
        <is>
          <t>BIOLÓGICO RECIBIDO DEL CENTRO DE ACOPIO DEPARTAMENTAL / DISTRITAL</t>
        </is>
      </c>
      <c r="F413" s="1231" t="inlineStr">
        <is>
          <t>DOSIS APLICADAS</t>
        </is>
      </c>
      <c r="G413" s="967" t="n"/>
      <c r="H413" s="1232" t="inlineStr">
        <is>
          <t>TOTAL DOSIS APLICADAS</t>
        </is>
      </c>
      <c r="I413" s="961" t="inlineStr">
        <is>
          <t>DOSIS PERDIDAS</t>
        </is>
      </c>
      <c r="J413" s="1231" t="inlineStr">
        <is>
          <t>TOTAL DOSIS ÚTILIZADAS EN EL MES</t>
        </is>
      </c>
      <c r="K413" s="623" t="inlineStr">
        <is>
          <t>SALDO QUE INICIA EL MES SIGUIENTE (SOLO MUNICIPIOS)</t>
        </is>
      </c>
      <c r="L413" s="623" t="inlineStr">
        <is>
          <t>DOSIS POR LOTES</t>
        </is>
      </c>
      <c r="M413" s="623" t="inlineStr">
        <is>
          <t xml:space="preserve">No. LOTE </t>
        </is>
      </c>
      <c r="N413" s="1233" t="inlineStr">
        <is>
          <t>LABORATORIO</t>
        </is>
      </c>
      <c r="O413" s="623" t="inlineStr">
        <is>
          <t>FECHA DE VENCIMIENTO</t>
        </is>
      </c>
      <c r="P413" s="623" t="inlineStr">
        <is>
          <t>SEMAFORIZACION VIDA  ÚTIL DEL BIOLÓGICO</t>
        </is>
      </c>
      <c r="Q413" s="623" t="inlineStr">
        <is>
          <t>CONDICIÓN FINAL DEL BIOLÓGICO, DILUYENTE Y CARNET</t>
        </is>
      </c>
      <c r="R413" s="613" t="inlineStr">
        <is>
          <t>DOSIS EN CUARENTENA</t>
        </is>
      </c>
      <c r="S413" s="613" t="inlineStr">
        <is>
          <t>LABORATORIO</t>
        </is>
      </c>
      <c r="T413" s="613" t="inlineStr">
        <is>
          <t>No. LOTE</t>
        </is>
      </c>
      <c r="U413" s="613" t="inlineStr">
        <is>
          <t>FECHA DE VENCIMEINTO</t>
        </is>
      </c>
      <c r="V413" s="613" t="inlineStr">
        <is>
          <t>FECHA DE INICIO CUARENTENA</t>
        </is>
      </c>
      <c r="W413" s="961" t="inlineStr">
        <is>
          <t>PORCENTAJE DE PERDIDA DEL MES</t>
        </is>
      </c>
      <c r="X413" s="961" t="inlineStr">
        <is>
          <t>OBSERVACIONES</t>
        </is>
      </c>
      <c r="Y413" s="232" t="n"/>
      <c r="Z413" s="400" t="inlineStr">
        <is>
          <t>CAUSAS PERDIDA DE BIOLÓGICOS (Remítase a la primera hoja donde se especifica la clasificación de las perdidas)</t>
        </is>
      </c>
      <c r="AA413" s="400" t="n"/>
      <c r="AB413" s="400" t="n"/>
      <c r="AC413" s="400" t="n"/>
      <c r="AD413" s="400" t="n"/>
      <c r="AE413" s="400" t="n"/>
      <c r="AF413" s="400" t="n"/>
      <c r="AG413" s="400" t="n"/>
      <c r="AH413" s="400" t="n"/>
      <c r="AI413" s="400" t="n"/>
      <c r="AJ413" s="400" t="n"/>
      <c r="AK413" s="400" t="n"/>
      <c r="AL413" s="400" t="n"/>
      <c r="AM413" s="1181" t="inlineStr">
        <is>
          <t xml:space="preserve">TOTAL DOSIS PERDIDAS        </t>
        </is>
      </c>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inlineStr">
        <is>
          <t>POLÍTICA DE FRASCOS ABIERTO</t>
        </is>
      </c>
      <c r="AA415" s="968" t="n"/>
      <c r="AB415" s="967" t="n"/>
      <c r="AC415" s="330" t="inlineStr">
        <is>
          <t>INTERRUPCIÓN DE CADENA DE FRÍO</t>
        </is>
      </c>
      <c r="AD415" s="566" t="inlineStr">
        <is>
          <t>CONTAMINACION DEL BIOLÓGICO/DISPOSITIVO MÉDICO</t>
        </is>
      </c>
      <c r="AE415" s="533" t="inlineStr">
        <is>
          <t>VIAL ROTO</t>
        </is>
      </c>
      <c r="AF415" s="566" t="inlineStr">
        <is>
          <t>ERRORES EN LA MANIPULACIÓN</t>
        </is>
      </c>
      <c r="AG415" s="533" t="inlineStr">
        <is>
          <t>VENCIMIENTO DEL BIOLÓGICO O JERINGA</t>
        </is>
      </c>
      <c r="AH415" s="566" t="inlineStr">
        <is>
          <t>FARMACOVIGILANCIA / TECNOVIGILANCIA</t>
        </is>
      </c>
      <c r="AI415" s="533" t="inlineStr">
        <is>
          <t>VOMITO FRANCO</t>
        </is>
      </c>
      <c r="AJ415" s="533" t="inlineStr">
        <is>
          <t>APLICACIÓN FUERA DE LA EDAD</t>
        </is>
      </c>
      <c r="AK415" s="533" t="inlineStr">
        <is>
          <t>POR DECISIÓN FINAL DEL PACIENTE DE NO VACUNACIÓN</t>
        </is>
      </c>
      <c r="AL415" s="566" t="inlineStr">
        <is>
          <t>SINIESTRO O ROBO</t>
        </is>
      </c>
      <c r="AM415" s="973" t="n"/>
      <c r="AN415" s="333" t="n"/>
      <c r="AQ415" s="332" t="n"/>
      <c r="AR415" s="332" t="n"/>
      <c r="AS415" s="332" t="n"/>
      <c r="AT415" s="332" t="n"/>
      <c r="AU415" s="332" t="n"/>
      <c r="AV415" s="566" t="inlineStr">
        <is>
          <t>Dosis reportadas Plantilla Cero</t>
        </is>
      </c>
      <c r="AW415" s="566" t="inlineStr">
        <is>
          <t>Diferencia dosis aplicadas vs dosis reportadas plantilla cero</t>
        </is>
      </c>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inlineStr">
        <is>
          <t>INSTITUCIONAL</t>
        </is>
      </c>
      <c r="AA416" s="533" t="inlineStr">
        <is>
          <t>EXTRAMURAL</t>
        </is>
      </c>
      <c r="AB416" s="533" t="inlineStr">
        <is>
          <t>TOTAL</t>
        </is>
      </c>
      <c r="AC416" s="975" t="n"/>
      <c r="AD416" s="975" t="n"/>
      <c r="AE416" s="975" t="n"/>
      <c r="AF416" s="975" t="n"/>
      <c r="AG416" s="975" t="n"/>
      <c r="AH416" s="975" t="n"/>
      <c r="AI416" s="975" t="n"/>
      <c r="AJ416" s="975" t="n"/>
      <c r="AK416" s="975" t="n"/>
      <c r="AL416" s="975" t="n"/>
      <c r="AM416" s="975" t="n"/>
      <c r="AN416" s="333" t="n"/>
      <c r="AQ416" s="546" t="inlineStr">
        <is>
          <t>PORCENTAJE DE PERDIDA DEL MES
%</t>
        </is>
      </c>
      <c r="AR416" s="546" t="inlineStr">
        <is>
          <t>FACTOR DE PERDIDA DEL MES</t>
        </is>
      </c>
      <c r="AS416" s="420" t="inlineStr">
        <is>
          <t>% DE PERDIDA DEL MSPS</t>
        </is>
      </c>
      <c r="AT416" s="420" t="inlineStr">
        <is>
          <t>DOSIS POR VIAL</t>
        </is>
      </c>
      <c r="AU416" s="332" t="n"/>
      <c r="AV416" s="975" t="n"/>
      <c r="AW416" s="975" t="n"/>
    </row>
    <row r="417" ht="17.25" customHeight="1">
      <c r="A417" s="585" t="n">
        <v>1</v>
      </c>
      <c r="B417" s="640" t="inlineStr">
        <is>
          <t>Vacuna de BCG (Bacilo de Calmette y Guérin) Liofilizada</t>
        </is>
      </c>
      <c r="C417" s="965" t="n"/>
      <c r="D417" s="413">
        <f>MARZO!K417</f>
        <v/>
      </c>
      <c r="E417" s="339">
        <f>H13</f>
        <v/>
      </c>
      <c r="F417" s="338" t="n">
        <v>572</v>
      </c>
      <c r="G417" s="338" t="n">
        <v>27</v>
      </c>
      <c r="H417" s="1235">
        <f>+F417+G417</f>
        <v/>
      </c>
      <c r="I417" s="340">
        <f>+AM417</f>
        <v/>
      </c>
      <c r="J417" s="341">
        <f>+H417+I417</f>
        <v/>
      </c>
      <c r="K417" s="583">
        <f>+(D417+E417)-(J417)</f>
        <v/>
      </c>
      <c r="L417" s="253" t="n">
        <v>1215</v>
      </c>
      <c r="M417" s="254" t="inlineStr">
        <is>
          <t>0374MA072</t>
        </is>
      </c>
      <c r="N417" s="254" t="inlineStr">
        <is>
          <t>Serum</t>
        </is>
      </c>
      <c r="O417" s="1183" t="inlineStr">
        <is>
          <t>31/12/2026</t>
        </is>
      </c>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v>714</v>
      </c>
      <c r="AA417" s="648" t="n">
        <v>167</v>
      </c>
      <c r="AB417" s="649">
        <f>+Z417+AA417</f>
        <v/>
      </c>
      <c r="AC417" s="648" t="n">
        <v>0</v>
      </c>
      <c r="AD417" s="648" t="n">
        <v>0</v>
      </c>
      <c r="AE417" s="648" t="n">
        <v>0</v>
      </c>
      <c r="AF417" s="648" t="n">
        <v>0</v>
      </c>
      <c r="AG417" s="648" t="n">
        <v>0</v>
      </c>
      <c r="AH417" s="648" t="n">
        <v>0</v>
      </c>
      <c r="AI417" s="648" t="n">
        <v>0</v>
      </c>
      <c r="AJ417" s="648" t="n">
        <v>0</v>
      </c>
      <c r="AK417" s="648" t="n">
        <v>0</v>
      </c>
      <c r="AL417" s="648" t="n">
        <v>0</v>
      </c>
      <c r="AM417" s="421">
        <f>SUM(AB417:AL421)</f>
        <v/>
      </c>
      <c r="AN417" s="726" t="n"/>
      <c r="AQ417" s="1238">
        <f>IFERROR(I417/J417*100,"0")</f>
        <v/>
      </c>
      <c r="AR417" s="343">
        <f>IFERROR(1/(1-(AQ417/100)),"0")</f>
        <v/>
      </c>
      <c r="AS417" s="1239" t="n">
        <v>75</v>
      </c>
      <c r="AT417" s="345" t="n">
        <v>20</v>
      </c>
      <c r="AU417" s="1240" t="n"/>
      <c r="AV417" s="1241" t="n"/>
      <c r="AW417" s="1242">
        <f>+H417-AV417</f>
        <v/>
      </c>
    </row>
    <row r="418" ht="17.25" customHeight="1">
      <c r="A418" s="973" t="n"/>
      <c r="B418" s="971" t="n"/>
      <c r="C418" s="972" t="n"/>
      <c r="D418" s="973" t="n"/>
      <c r="E418" s="973" t="n"/>
      <c r="F418" s="994" t="n"/>
      <c r="G418" s="994" t="n"/>
      <c r="H418" s="973" t="n"/>
      <c r="I418" s="973" t="n"/>
      <c r="J418" s="973" t="n"/>
      <c r="K418" s="973" t="n"/>
      <c r="L418" s="253" t="n">
        <v>780</v>
      </c>
      <c r="M418" s="254" t="inlineStr">
        <is>
          <t>0374MA071</t>
        </is>
      </c>
      <c r="N418" s="254" t="inlineStr">
        <is>
          <t>Serum</t>
        </is>
      </c>
      <c r="O418" s="1183" t="inlineStr">
        <is>
          <t>31/12/2026</t>
        </is>
      </c>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73" t="n"/>
      <c r="E419" s="973" t="n"/>
      <c r="F419" s="994" t="n"/>
      <c r="G419" s="994" t="n"/>
      <c r="H419" s="973" t="n"/>
      <c r="I419" s="973" t="n"/>
      <c r="J419" s="973" t="n"/>
      <c r="K419" s="973" t="n"/>
      <c r="L419" s="253" t="n">
        <v>330</v>
      </c>
      <c r="M419" s="254" t="inlineStr">
        <is>
          <t>0373MA117</t>
        </is>
      </c>
      <c r="N419" s="254" t="inlineStr">
        <is>
          <t>Serum</t>
        </is>
      </c>
      <c r="O419" s="1183" t="inlineStr">
        <is>
          <t>30/06/2026</t>
        </is>
      </c>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73" t="n"/>
      <c r="E420" s="973" t="n"/>
      <c r="F420" s="994" t="n"/>
      <c r="G420" s="994" t="n"/>
      <c r="H420" s="973" t="n"/>
      <c r="I420" s="973" t="n"/>
      <c r="J420" s="973" t="n"/>
      <c r="K420" s="973" t="n"/>
      <c r="L420" s="253" t="n"/>
      <c r="M420" s="254" t="n"/>
      <c r="N420" s="254" t="n"/>
      <c r="O420" s="1183" t="n"/>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73"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75" t="n"/>
      <c r="E422" s="975" t="n"/>
      <c r="F422" s="998" t="n"/>
      <c r="G422" s="998" t="n"/>
      <c r="H422" s="975" t="n"/>
      <c r="I422" s="975" t="n"/>
      <c r="J422" s="975" t="n"/>
      <c r="K422" s="1189">
        <f>K417=L422</f>
        <v/>
      </c>
      <c r="L422" s="491">
        <f>SUM(L417:L421)</f>
        <v/>
      </c>
      <c r="M422" s="1190" t="inlineStr">
        <is>
          <t xml:space="preserve">“Verdadero” indica que la cantidad por lote, coincide con el saldo que inicia al mes siguiente. "Falso" no coinicide. </t>
        </is>
      </c>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413">
        <f>MARZO!K423</f>
        <v/>
      </c>
      <c r="E423" s="339">
        <f>H19</f>
        <v/>
      </c>
      <c r="F423" s="338" t="n">
        <v>573</v>
      </c>
      <c r="G423" s="338" t="n">
        <v>28</v>
      </c>
      <c r="H423" s="1235">
        <f>+F423+G423</f>
        <v/>
      </c>
      <c r="I423" s="340">
        <f>+AM423</f>
        <v/>
      </c>
      <c r="J423" s="341">
        <f>+H423+I423</f>
        <v/>
      </c>
      <c r="K423" s="583">
        <f>+(D423+E423)-(J423)</f>
        <v/>
      </c>
      <c r="L423" s="253" t="n">
        <v>521</v>
      </c>
      <c r="M423" s="254" t="inlineStr">
        <is>
          <t>0324L013B</t>
        </is>
      </c>
      <c r="N423" s="254" t="inlineStr">
        <is>
          <t>Serum</t>
        </is>
      </c>
      <c r="O423" s="1183" t="inlineStr">
        <is>
          <t>30/11/2027</t>
        </is>
      </c>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v>2</v>
      </c>
      <c r="AA423" s="648" t="n">
        <v>0</v>
      </c>
      <c r="AB423" s="649">
        <f>+Z423+AA423</f>
        <v/>
      </c>
      <c r="AC423" s="648" t="n">
        <v>0</v>
      </c>
      <c r="AD423" s="648" t="n">
        <v>0</v>
      </c>
      <c r="AE423" s="648" t="n">
        <v>0</v>
      </c>
      <c r="AF423" s="648" t="n">
        <v>0</v>
      </c>
      <c r="AG423" s="648" t="n">
        <v>11</v>
      </c>
      <c r="AH423" s="648" t="n">
        <v>0</v>
      </c>
      <c r="AI423" s="648" t="n">
        <v>0</v>
      </c>
      <c r="AJ423" s="648" t="n">
        <v>0</v>
      </c>
      <c r="AK423" s="648" t="n">
        <v>0</v>
      </c>
      <c r="AL423" s="648" t="n">
        <v>0</v>
      </c>
      <c r="AM423" s="421">
        <f>SUM(AB423:AL427)</f>
        <v/>
      </c>
      <c r="AN423" s="726" t="n"/>
      <c r="AQ423" s="1238">
        <f>IFERROR(I423/J423*100,"0")</f>
        <v/>
      </c>
      <c r="AR423" s="343">
        <f>IFERROR(1/(1-(AQ423/100)),"0")</f>
        <v/>
      </c>
      <c r="AS423" s="1239" t="n">
        <v>0</v>
      </c>
      <c r="AT423" s="345" t="n">
        <v>1</v>
      </c>
      <c r="AU423" s="1240" t="n"/>
      <c r="AV423" s="1241" t="n"/>
      <c r="AW423" s="1242">
        <f>+H423-AV423</f>
        <v/>
      </c>
    </row>
    <row r="424" ht="17.25" customHeight="1">
      <c r="A424" s="973" t="n"/>
      <c r="B424" s="971" t="n"/>
      <c r="C424" s="972" t="n"/>
      <c r="D424" s="973" t="n"/>
      <c r="E424" s="973" t="n"/>
      <c r="F424" s="994" t="n"/>
      <c r="G424" s="994" t="n"/>
      <c r="H424" s="973" t="n"/>
      <c r="I424" s="973" t="n"/>
      <c r="J424" s="973" t="n"/>
      <c r="K424" s="973" t="n"/>
      <c r="L424" s="253" t="n">
        <v>175</v>
      </c>
      <c r="M424" s="254" t="inlineStr">
        <is>
          <t>0324L013A</t>
        </is>
      </c>
      <c r="N424" s="254" t="inlineStr">
        <is>
          <t>Serum</t>
        </is>
      </c>
      <c r="O424" s="1183" t="inlineStr">
        <is>
          <t>30/11/2027</t>
        </is>
      </c>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73" t="n"/>
      <c r="E425" s="973" t="n"/>
      <c r="F425" s="994" t="n"/>
      <c r="G425" s="994" t="n"/>
      <c r="H425" s="973" t="n"/>
      <c r="I425" s="973" t="n"/>
      <c r="J425" s="973" t="n"/>
      <c r="K425" s="973" t="n"/>
      <c r="L425" s="253" t="n">
        <v>67</v>
      </c>
      <c r="M425" s="254" t="inlineStr">
        <is>
          <t>0323X019E</t>
        </is>
      </c>
      <c r="N425" s="254" t="inlineStr">
        <is>
          <t>Serum</t>
        </is>
      </c>
      <c r="O425" s="1183" t="inlineStr">
        <is>
          <t>31/05/2026</t>
        </is>
      </c>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73" t="n"/>
      <c r="E426" s="973" t="n"/>
      <c r="F426" s="994" t="n"/>
      <c r="G426" s="994" t="n"/>
      <c r="H426" s="973" t="n"/>
      <c r="I426" s="973" t="n"/>
      <c r="J426" s="973" t="n"/>
      <c r="K426" s="973" t="n"/>
      <c r="L426" s="253" t="n">
        <v>3</v>
      </c>
      <c r="M426" s="254" t="inlineStr">
        <is>
          <t>0324Q002D</t>
        </is>
      </c>
      <c r="N426" s="254" t="inlineStr">
        <is>
          <t>Serum</t>
        </is>
      </c>
      <c r="O426" s="1183" t="inlineStr">
        <is>
          <t>31/05/2027</t>
        </is>
      </c>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73" t="n"/>
      <c r="E427" s="973" t="n"/>
      <c r="F427" s="994" t="n"/>
      <c r="G427" s="994" t="n"/>
      <c r="H427" s="973" t="n"/>
      <c r="I427" s="973" t="n"/>
      <c r="J427" s="973" t="n"/>
      <c r="K427" s="975" t="n"/>
      <c r="L427" s="253" t="n"/>
      <c r="M427" s="254" t="n"/>
      <c r="N427" s="254" t="n"/>
      <c r="O427" s="1183" t="n"/>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75" t="n"/>
      <c r="E428" s="975" t="n"/>
      <c r="F428" s="998" t="n"/>
      <c r="G428" s="998" t="n"/>
      <c r="H428" s="975" t="n"/>
      <c r="I428" s="975" t="n"/>
      <c r="J428" s="975" t="n"/>
      <c r="K428" s="1189">
        <f>K423=L428</f>
        <v/>
      </c>
      <c r="L428" s="491">
        <f>SUM(L423:L427)</f>
        <v/>
      </c>
      <c r="M428" s="1190" t="inlineStr">
        <is>
          <t xml:space="preserve">“Verdadero” indica que la cantidad por lote, coincide con el saldo que inicia al mes siguiente. "Falso" no coinicide. </t>
        </is>
      </c>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413">
        <f>MARZO!K429</f>
        <v/>
      </c>
      <c r="E429" s="339">
        <f>H25</f>
        <v/>
      </c>
      <c r="F429" s="338" t="n">
        <v>133</v>
      </c>
      <c r="G429" s="338" t="n">
        <v>1</v>
      </c>
      <c r="H429" s="1235">
        <f>+F429+G429</f>
        <v/>
      </c>
      <c r="I429" s="340">
        <f>+AM429</f>
        <v/>
      </c>
      <c r="J429" s="341">
        <f>+H429+I429</f>
        <v/>
      </c>
      <c r="K429" s="583">
        <f>+(D429+E429)-(J429)</f>
        <v/>
      </c>
      <c r="L429" s="253" t="n">
        <v>220</v>
      </c>
      <c r="M429" s="254" t="inlineStr">
        <is>
          <t>0344X002C</t>
        </is>
      </c>
      <c r="N429" s="254" t="inlineStr">
        <is>
          <t>Serum</t>
        </is>
      </c>
      <c r="O429" s="1183" t="inlineStr">
        <is>
          <t>30/06/2027</t>
        </is>
      </c>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v>0</v>
      </c>
      <c r="AA429" s="648" t="n">
        <v>0</v>
      </c>
      <c r="AB429" s="649">
        <f>+Z429+AA429</f>
        <v/>
      </c>
      <c r="AC429" s="648" t="n">
        <v>0</v>
      </c>
      <c r="AD429" s="648" t="n">
        <v>0</v>
      </c>
      <c r="AE429" s="648" t="n">
        <v>0</v>
      </c>
      <c r="AF429" s="648" t="n">
        <v>0</v>
      </c>
      <c r="AG429" s="648" t="n">
        <v>0</v>
      </c>
      <c r="AH429" s="648" t="n">
        <v>0</v>
      </c>
      <c r="AI429" s="648" t="n">
        <v>0</v>
      </c>
      <c r="AJ429" s="648" t="n">
        <v>0</v>
      </c>
      <c r="AK429" s="648" t="n">
        <v>0</v>
      </c>
      <c r="AL429" s="648" t="n">
        <v>0</v>
      </c>
      <c r="AM429" s="421">
        <f>SUM(AB429:AL433)</f>
        <v/>
      </c>
      <c r="AN429" s="726" t="n"/>
      <c r="AQ429" s="1238">
        <f>IFERROR(I429/J429*100,"0")</f>
        <v/>
      </c>
      <c r="AR429" s="343">
        <f>IFERROR(1/(1-(AQ429/100)),"0")</f>
        <v/>
      </c>
      <c r="AS429" s="1239" t="n">
        <v>0</v>
      </c>
      <c r="AT429" s="345" t="n">
        <v>1</v>
      </c>
      <c r="AU429" s="1240" t="n"/>
      <c r="AV429" s="1241" t="n"/>
      <c r="AW429" s="1242">
        <f>+H429-AV429</f>
        <v/>
      </c>
    </row>
    <row r="430" ht="17.25" customHeight="1">
      <c r="A430" s="973" t="n"/>
      <c r="B430" s="971" t="n"/>
      <c r="C430" s="972" t="n"/>
      <c r="D430" s="973" t="n"/>
      <c r="E430" s="973" t="n"/>
      <c r="F430" s="994" t="n"/>
      <c r="G430" s="994" t="n"/>
      <c r="H430" s="973" t="n"/>
      <c r="I430" s="973" t="n"/>
      <c r="J430" s="973" t="n"/>
      <c r="K430" s="973" t="n"/>
      <c r="L430" s="253" t="n">
        <v>30</v>
      </c>
      <c r="M430" s="254" t="inlineStr">
        <is>
          <t>0343Q010C</t>
        </is>
      </c>
      <c r="N430" s="254" t="inlineStr">
        <is>
          <t>Serum</t>
        </is>
      </c>
      <c r="O430" s="1183" t="inlineStr">
        <is>
          <t>31/07/2026</t>
        </is>
      </c>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73" t="n"/>
      <c r="E431" s="973" t="n"/>
      <c r="F431" s="994" t="n"/>
      <c r="G431" s="994" t="n"/>
      <c r="H431" s="973" t="n"/>
      <c r="I431" s="973" t="n"/>
      <c r="J431" s="973" t="n"/>
      <c r="K431" s="973" t="n"/>
      <c r="L431" s="253" t="n"/>
      <c r="M431" s="254" t="n"/>
      <c r="N431" s="254" t="n"/>
      <c r="O431" s="1183" t="n"/>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73" t="n"/>
      <c r="E432" s="973" t="n"/>
      <c r="F432" s="994" t="n"/>
      <c r="G432" s="994" t="n"/>
      <c r="H432" s="973" t="n"/>
      <c r="I432" s="973" t="n"/>
      <c r="J432" s="973" t="n"/>
      <c r="K432" s="973" t="n"/>
      <c r="L432" s="253" t="n"/>
      <c r="M432" s="254" t="n"/>
      <c r="N432" s="254" t="n"/>
      <c r="O432" s="1183" t="n"/>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73"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75" t="n"/>
      <c r="E434" s="975" t="n"/>
      <c r="F434" s="998" t="n"/>
      <c r="G434" s="998" t="n"/>
      <c r="H434" s="975" t="n"/>
      <c r="I434" s="975" t="n"/>
      <c r="J434" s="975" t="n"/>
      <c r="K434" s="1189">
        <f>K429=L434</f>
        <v/>
      </c>
      <c r="L434" s="491">
        <f>SUM(L429:L433)</f>
        <v/>
      </c>
      <c r="M434" s="1190" t="inlineStr">
        <is>
          <t xml:space="preserve">“Verdadero” indica que la cantidad por lote, coincide con el saldo que inicia al mes siguiente. "Falso" no coinicide. </t>
        </is>
      </c>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413">
        <f>MARZO!K435</f>
        <v/>
      </c>
      <c r="E435" s="339">
        <f>H31</f>
        <v/>
      </c>
      <c r="F435" s="338" t="n">
        <v>2911</v>
      </c>
      <c r="G435" s="338" t="n">
        <v>25</v>
      </c>
      <c r="H435" s="1235">
        <f>+F435+G435</f>
        <v/>
      </c>
      <c r="I435" s="340">
        <f>+AM435</f>
        <v/>
      </c>
      <c r="J435" s="341">
        <f>+H435+I435</f>
        <v/>
      </c>
      <c r="K435" s="583">
        <f>+(D435+E435)-(J435)</f>
        <v/>
      </c>
      <c r="L435" s="253" t="n">
        <v>1130</v>
      </c>
      <c r="M435" s="254" t="inlineStr">
        <is>
          <t>2522006A</t>
        </is>
      </c>
      <c r="N435" s="254" t="inlineStr">
        <is>
          <t>Bilthoven Biologicals BV</t>
        </is>
      </c>
      <c r="O435" s="1183" t="inlineStr">
        <is>
          <t>25/02/2028</t>
        </is>
      </c>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v>5</v>
      </c>
      <c r="AA435" s="648" t="n">
        <v>23</v>
      </c>
      <c r="AB435" s="649">
        <f>+Z435+AA435</f>
        <v/>
      </c>
      <c r="AC435" s="648" t="n">
        <v>0</v>
      </c>
      <c r="AD435" s="648" t="n">
        <v>0</v>
      </c>
      <c r="AE435" s="648" t="n">
        <v>0</v>
      </c>
      <c r="AF435" s="648" t="n">
        <v>0</v>
      </c>
      <c r="AG435" s="648" t="n">
        <v>0</v>
      </c>
      <c r="AH435" s="648" t="n">
        <v>0</v>
      </c>
      <c r="AI435" s="648" t="n">
        <v>0</v>
      </c>
      <c r="AJ435" s="648" t="n">
        <v>0</v>
      </c>
      <c r="AK435" s="648" t="n">
        <v>0</v>
      </c>
      <c r="AL435" s="648" t="n">
        <v>0</v>
      </c>
      <c r="AM435" s="421">
        <f>SUM(AB435:AL439)</f>
        <v/>
      </c>
      <c r="AN435" s="726" t="n"/>
      <c r="AQ435" s="1238">
        <f>IFERROR(I435/J435*100,"0")</f>
        <v/>
      </c>
      <c r="AR435" s="343">
        <f>IFERROR(1/(1-(AQ435/100)),"0")</f>
        <v/>
      </c>
      <c r="AS435" s="1239" t="n">
        <v>15</v>
      </c>
      <c r="AT435" s="345" t="n">
        <v>5</v>
      </c>
      <c r="AU435" s="1240" t="n"/>
      <c r="AV435" s="1241" t="n"/>
      <c r="AW435" s="1242">
        <f>+H435-AV435</f>
        <v/>
      </c>
    </row>
    <row r="436" ht="17.25" customHeight="1">
      <c r="A436" s="973" t="n"/>
      <c r="B436" s="971" t="n"/>
      <c r="C436" s="972" t="n"/>
      <c r="D436" s="973" t="n"/>
      <c r="E436" s="973" t="n"/>
      <c r="F436" s="994" t="n"/>
      <c r="G436" s="994" t="n"/>
      <c r="H436" s="973" t="n"/>
      <c r="I436" s="973" t="n"/>
      <c r="J436" s="973" t="n"/>
      <c r="K436" s="973" t="n"/>
      <c r="L436" s="253" t="n">
        <v>690</v>
      </c>
      <c r="M436" s="254" t="inlineStr">
        <is>
          <t>2435007A</t>
        </is>
      </c>
      <c r="N436" s="254" t="inlineStr">
        <is>
          <t>Bilthoven Biologicals BV</t>
        </is>
      </c>
      <c r="O436" s="1183" t="inlineStr">
        <is>
          <t>14/05/2027</t>
        </is>
      </c>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73" t="n"/>
      <c r="E437" s="973" t="n"/>
      <c r="F437" s="994" t="n"/>
      <c r="G437" s="994" t="n"/>
      <c r="H437" s="973" t="n"/>
      <c r="I437" s="973" t="n"/>
      <c r="J437" s="973" t="n"/>
      <c r="K437" s="973" t="n"/>
      <c r="L437" s="253" t="n">
        <v>35</v>
      </c>
      <c r="M437" s="254" t="inlineStr">
        <is>
          <t>2413007A</t>
        </is>
      </c>
      <c r="N437" s="254" t="inlineStr">
        <is>
          <t>Bilthoven Biologicals BV</t>
        </is>
      </c>
      <c r="O437" s="1183" t="inlineStr">
        <is>
          <t>30/01/2027</t>
        </is>
      </c>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73" t="n"/>
      <c r="E438" s="973" t="n"/>
      <c r="F438" s="994" t="n"/>
      <c r="G438" s="994" t="n"/>
      <c r="H438" s="973" t="n"/>
      <c r="I438" s="973" t="n"/>
      <c r="J438" s="973" t="n"/>
      <c r="K438" s="973" t="n"/>
      <c r="L438" s="253" t="n"/>
      <c r="M438" s="254" t="n"/>
      <c r="N438" s="254" t="n"/>
      <c r="O438" s="1183" t="n"/>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73" t="n"/>
      <c r="E439" s="973" t="n"/>
      <c r="F439" s="994" t="n"/>
      <c r="G439" s="994" t="n"/>
      <c r="H439" s="973" t="n"/>
      <c r="I439" s="973" t="n"/>
      <c r="J439" s="973" t="n"/>
      <c r="K439" s="975" t="n"/>
      <c r="L439" s="253" t="n"/>
      <c r="M439" s="254" t="n"/>
      <c r="N439" s="254" t="n"/>
      <c r="O439" s="1183" t="n"/>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75" t="n"/>
      <c r="E440" s="975" t="n"/>
      <c r="F440" s="998" t="n"/>
      <c r="G440" s="998" t="n"/>
      <c r="H440" s="975" t="n"/>
      <c r="I440" s="975" t="n"/>
      <c r="J440" s="975" t="n"/>
      <c r="K440" s="1189">
        <f>K435=L440</f>
        <v/>
      </c>
      <c r="L440" s="491">
        <f>SUM(L435:L439)</f>
        <v/>
      </c>
      <c r="M440" s="1190" t="inlineStr">
        <is>
          <t xml:space="preserve">“Verdadero” indica que la cantidad por lote, coincide con el saldo que inicia al mes siguiente. "Falso" no coinicide. </t>
        </is>
      </c>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413">
        <f>MARZO!K441</f>
        <v/>
      </c>
      <c r="E441" s="339">
        <f>H37</f>
        <v/>
      </c>
      <c r="F441" s="338" t="n">
        <v>2234</v>
      </c>
      <c r="G441" s="338" t="n">
        <v>15</v>
      </c>
      <c r="H441" s="1235">
        <f>+F441+G441</f>
        <v/>
      </c>
      <c r="I441" s="340">
        <f>+AM441</f>
        <v/>
      </c>
      <c r="J441" s="341">
        <f>+H441+I441</f>
        <v/>
      </c>
      <c r="K441" s="583">
        <f>+(D441+E441)-(J441)</f>
        <v/>
      </c>
      <c r="L441" s="253" t="n">
        <v>1830</v>
      </c>
      <c r="M441" s="254" t="inlineStr">
        <is>
          <t>2855X001A</t>
        </is>
      </c>
      <c r="N441" s="254" t="inlineStr">
        <is>
          <t>Serum</t>
        </is>
      </c>
      <c r="O441" s="1183" t="inlineStr">
        <is>
          <t>30/06/2027</t>
        </is>
      </c>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v>0</v>
      </c>
      <c r="AA441" s="648" t="n">
        <v>0</v>
      </c>
      <c r="AB441" s="649">
        <f>+Z441+AA441</f>
        <v/>
      </c>
      <c r="AC441" s="648" t="n">
        <v>0</v>
      </c>
      <c r="AD441" s="648" t="n">
        <v>0</v>
      </c>
      <c r="AE441" s="648" t="n">
        <v>0</v>
      </c>
      <c r="AF441" s="648" t="n">
        <v>0</v>
      </c>
      <c r="AG441" s="648" t="n">
        <v>0</v>
      </c>
      <c r="AH441" s="648" t="n">
        <v>0</v>
      </c>
      <c r="AI441" s="648" t="n">
        <v>0</v>
      </c>
      <c r="AJ441" s="648" t="n">
        <v>0</v>
      </c>
      <c r="AK441" s="648" t="n">
        <v>0</v>
      </c>
      <c r="AL441" s="648" t="n">
        <v>0</v>
      </c>
      <c r="AM441" s="421">
        <f>SUM(AB441:AL445)</f>
        <v/>
      </c>
      <c r="AN441" s="726" t="n"/>
      <c r="AQ441" s="1238">
        <f>IFERROR(I441/J441*100,"0")</f>
        <v/>
      </c>
      <c r="AR441" s="343">
        <f>IFERROR(1/(1-(AQ441/100)),"0")</f>
        <v/>
      </c>
      <c r="AS441" s="1239" t="n">
        <v>0</v>
      </c>
      <c r="AT441" s="345" t="n">
        <v>1</v>
      </c>
      <c r="AU441" s="1240" t="n"/>
      <c r="AV441" s="1241" t="n"/>
      <c r="AW441" s="1242">
        <f>+H441-AV441</f>
        <v/>
      </c>
    </row>
    <row r="442" ht="17.25" customHeight="1">
      <c r="A442" s="973" t="n"/>
      <c r="B442" s="971" t="n"/>
      <c r="C442" s="972" t="n"/>
      <c r="D442" s="973" t="n"/>
      <c r="E442" s="973" t="n"/>
      <c r="F442" s="994" t="n"/>
      <c r="G442" s="994" t="n"/>
      <c r="H442" s="973" t="n"/>
      <c r="I442" s="973" t="n"/>
      <c r="J442" s="973" t="n"/>
      <c r="K442" s="973" t="n"/>
      <c r="L442" s="253" t="n">
        <v>133</v>
      </c>
      <c r="M442" s="254" t="inlineStr">
        <is>
          <t>2855X002C</t>
        </is>
      </c>
      <c r="N442" s="254" t="inlineStr">
        <is>
          <t>Serum</t>
        </is>
      </c>
      <c r="O442" s="1183" t="inlineStr">
        <is>
          <t>30/06/2027</t>
        </is>
      </c>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73" t="n"/>
      <c r="E443" s="973" t="n"/>
      <c r="F443" s="994" t="n"/>
      <c r="G443" s="994" t="n"/>
      <c r="H443" s="973" t="n"/>
      <c r="I443" s="973" t="n"/>
      <c r="J443" s="973" t="n"/>
      <c r="K443" s="973" t="n"/>
      <c r="L443" s="253" t="n"/>
      <c r="M443" s="254" t="n"/>
      <c r="N443" s="254" t="n"/>
      <c r="O443" s="1183" t="n"/>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73" t="n"/>
      <c r="E444" s="973" t="n"/>
      <c r="F444" s="994" t="n"/>
      <c r="G444" s="994" t="n"/>
      <c r="H444" s="973" t="n"/>
      <c r="I444" s="973" t="n"/>
      <c r="J444" s="973" t="n"/>
      <c r="K444" s="973" t="n"/>
      <c r="L444" s="253" t="n"/>
      <c r="M444" s="254" t="n"/>
      <c r="N444" s="254" t="n"/>
      <c r="O444" s="1183" t="n"/>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73"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75" t="n"/>
      <c r="E446" s="975" t="n"/>
      <c r="F446" s="998" t="n"/>
      <c r="G446" s="998" t="n"/>
      <c r="H446" s="975" t="n"/>
      <c r="I446" s="975" t="n"/>
      <c r="J446" s="975" t="n"/>
      <c r="K446" s="1189">
        <f>K441=L446</f>
        <v/>
      </c>
      <c r="L446" s="491">
        <f>SUM(L441:L445)</f>
        <v/>
      </c>
      <c r="M446" s="1190" t="inlineStr">
        <is>
          <t xml:space="preserve">“Verdadero” indica que la cantidad por lote, coincide con el saldo que inicia al mes siguiente. "Falso" no coinicide. </t>
        </is>
      </c>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413">
        <f>MARZO!K447</f>
        <v/>
      </c>
      <c r="E447" s="339">
        <f>H43</f>
        <v/>
      </c>
      <c r="F447" s="338" t="n">
        <v>33</v>
      </c>
      <c r="G447" s="338" t="n">
        <v>0</v>
      </c>
      <c r="H447" s="1235">
        <f>+F447+G447</f>
        <v/>
      </c>
      <c r="I447" s="340">
        <f>+AM447</f>
        <v/>
      </c>
      <c r="J447" s="341">
        <f>+H447+I447</f>
        <v/>
      </c>
      <c r="K447" s="583">
        <f>+(D447+E447)-(J447)</f>
        <v/>
      </c>
      <c r="L447" s="253" t="n">
        <v>40</v>
      </c>
      <c r="M447" s="254" t="inlineStr">
        <is>
          <t>Y3C49</t>
        </is>
      </c>
      <c r="N447" s="254" t="inlineStr">
        <is>
          <t>Sanofi Pasteur</t>
        </is>
      </c>
      <c r="O447" s="1183" t="inlineStr">
        <is>
          <t>29/02/2028</t>
        </is>
      </c>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v>0</v>
      </c>
      <c r="AA447" s="648" t="n">
        <v>0</v>
      </c>
      <c r="AB447" s="649">
        <f>+Z447+AA447</f>
        <v/>
      </c>
      <c r="AC447" s="648" t="n">
        <v>0</v>
      </c>
      <c r="AD447" s="648" t="n">
        <v>0</v>
      </c>
      <c r="AE447" s="648" t="n">
        <v>0</v>
      </c>
      <c r="AF447" s="648" t="n">
        <v>0</v>
      </c>
      <c r="AG447" s="648" t="n">
        <v>0</v>
      </c>
      <c r="AH447" s="648" t="n">
        <v>0</v>
      </c>
      <c r="AI447" s="648" t="n">
        <v>0</v>
      </c>
      <c r="AJ447" s="648" t="n">
        <v>0</v>
      </c>
      <c r="AK447" s="648" t="n">
        <v>0</v>
      </c>
      <c r="AL447" s="648" t="n">
        <v>0</v>
      </c>
      <c r="AM447" s="421">
        <f>SUM(AB447:AL451)</f>
        <v/>
      </c>
      <c r="AN447" s="726" t="n"/>
      <c r="AQ447" s="1238">
        <f>IFERROR(I447/J447*100,"0")</f>
        <v/>
      </c>
      <c r="AR447" s="343">
        <f>IFERROR(1/(1-(AQ447/100)),"0")</f>
        <v/>
      </c>
      <c r="AS447" s="1239" t="n">
        <v>0</v>
      </c>
      <c r="AT447" s="345" t="n">
        <v>1</v>
      </c>
      <c r="AU447" s="1240" t="n"/>
      <c r="AV447" s="1241" t="n"/>
      <c r="AW447" s="1242">
        <f>+H447-AV447</f>
        <v/>
      </c>
    </row>
    <row r="448" ht="17.25" customHeight="1">
      <c r="A448" s="973" t="n"/>
      <c r="B448" s="971" t="n"/>
      <c r="C448" s="972" t="n"/>
      <c r="D448" s="973" t="n"/>
      <c r="E448" s="973" t="n"/>
      <c r="F448" s="994" t="n"/>
      <c r="G448" s="994" t="n"/>
      <c r="H448" s="973" t="n"/>
      <c r="I448" s="973" t="n"/>
      <c r="J448" s="973" t="n"/>
      <c r="K448" s="973" t="n"/>
      <c r="L448" s="253" t="n">
        <v>13</v>
      </c>
      <c r="M448" s="254" t="inlineStr">
        <is>
          <t>202124</t>
        </is>
      </c>
      <c r="N448" s="254" t="inlineStr">
        <is>
          <t>Rymco</t>
        </is>
      </c>
      <c r="O448" s="1183" t="inlineStr">
        <is>
          <t>30/06/2026</t>
        </is>
      </c>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73" t="n"/>
      <c r="E449" s="973" t="n"/>
      <c r="F449" s="994" t="n"/>
      <c r="G449" s="994" t="n"/>
      <c r="H449" s="973" t="n"/>
      <c r="I449" s="973" t="n"/>
      <c r="J449" s="973" t="n"/>
      <c r="K449" s="973" t="n"/>
      <c r="L449" s="253" t="n"/>
      <c r="M449" s="254" t="n"/>
      <c r="N449" s="254" t="n"/>
      <c r="O449" s="1183" t="n"/>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73" t="n"/>
      <c r="E450" s="973" t="n"/>
      <c r="F450" s="994" t="n"/>
      <c r="G450" s="994" t="n"/>
      <c r="H450" s="973" t="n"/>
      <c r="I450" s="973" t="n"/>
      <c r="J450" s="973" t="n"/>
      <c r="K450" s="973" t="n"/>
      <c r="L450" s="253" t="n"/>
      <c r="M450" s="254" t="n"/>
      <c r="N450" s="254" t="n"/>
      <c r="O450" s="1183" t="n"/>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73" t="n"/>
      <c r="E451" s="973" t="n"/>
      <c r="F451" s="994" t="n"/>
      <c r="G451" s="994" t="n"/>
      <c r="H451" s="973" t="n"/>
      <c r="I451" s="973" t="n"/>
      <c r="J451" s="973" t="n"/>
      <c r="K451" s="975" t="n"/>
      <c r="L451" s="253" t="n"/>
      <c r="M451" s="254" t="n"/>
      <c r="N451" s="254" t="n"/>
      <c r="O451" s="1183" t="n"/>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75" t="n"/>
      <c r="E452" s="975" t="n"/>
      <c r="F452" s="998" t="n"/>
      <c r="G452" s="998" t="n"/>
      <c r="H452" s="975" t="n"/>
      <c r="I452" s="975" t="n"/>
      <c r="J452" s="975" t="n"/>
      <c r="K452" s="1189">
        <f>K447=L452</f>
        <v/>
      </c>
      <c r="L452" s="491">
        <f>SUM(L447:L451)</f>
        <v/>
      </c>
      <c r="M452" s="1190" t="inlineStr">
        <is>
          <t xml:space="preserve">“Verdadero” indica que la cantidad por lote, coincide con el saldo que inicia al mes siguiente. "Falso" no coinicide. </t>
        </is>
      </c>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413">
        <f>MARZO!K453</f>
        <v/>
      </c>
      <c r="E453" s="339">
        <f>H49</f>
        <v/>
      </c>
      <c r="F453" s="338" t="n">
        <v>0</v>
      </c>
      <c r="G453" s="338" t="n">
        <v>0</v>
      </c>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v>0</v>
      </c>
      <c r="AA453" s="648" t="n">
        <v>0</v>
      </c>
      <c r="AB453" s="649">
        <f>+Z453+AA453</f>
        <v/>
      </c>
      <c r="AC453" s="648" t="n">
        <v>0</v>
      </c>
      <c r="AD453" s="648" t="n">
        <v>0</v>
      </c>
      <c r="AE453" s="648" t="n">
        <v>0</v>
      </c>
      <c r="AF453" s="648" t="n">
        <v>0</v>
      </c>
      <c r="AG453" s="648" t="n">
        <v>0</v>
      </c>
      <c r="AH453" s="648" t="n">
        <v>0</v>
      </c>
      <c r="AI453" s="648" t="n">
        <v>0</v>
      </c>
      <c r="AJ453" s="648" t="n">
        <v>0</v>
      </c>
      <c r="AK453" s="648" t="n">
        <v>0</v>
      </c>
      <c r="AL453" s="648" t="n">
        <v>0</v>
      </c>
      <c r="AM453" s="421">
        <f>SUM(AB453:AL457)</f>
        <v/>
      </c>
      <c r="AN453" s="726" t="n"/>
      <c r="AQ453" s="1238">
        <f>IFERROR(I453/J453*100,"0")</f>
        <v/>
      </c>
      <c r="AR453" s="343">
        <f>IFERROR(1/(1-(AQ453/100)),"0")</f>
        <v/>
      </c>
      <c r="AS453" s="1239" t="n">
        <v>0</v>
      </c>
      <c r="AT453" s="345" t="n">
        <v>1</v>
      </c>
      <c r="AU453" s="1240" t="n"/>
      <c r="AV453" s="1241" t="n"/>
      <c r="AW453" s="1242">
        <f>+H453-AV453</f>
        <v/>
      </c>
    </row>
    <row r="454" ht="17.25" customHeight="1">
      <c r="A454" s="973" t="n"/>
      <c r="B454" s="971" t="n"/>
      <c r="C454" s="972" t="n"/>
      <c r="D454" s="973"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73"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73"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73"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75" t="n"/>
      <c r="E458" s="975" t="n"/>
      <c r="F458" s="998" t="n"/>
      <c r="G458" s="998" t="n"/>
      <c r="H458" s="975" t="n"/>
      <c r="I458" s="975" t="n"/>
      <c r="J458" s="975" t="n"/>
      <c r="K458" s="1189">
        <f>K453=L458</f>
        <v/>
      </c>
      <c r="L458" s="491">
        <f>SUM(L453:L457)</f>
        <v/>
      </c>
      <c r="M458" s="1190" t="inlineStr">
        <is>
          <t xml:space="preserve">“Verdadero” indica que la cantidad por lote, coincide con el saldo que inicia al mes siguiente. "Falso" no coinicide. </t>
        </is>
      </c>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413">
        <f>MARZO!K459</f>
        <v/>
      </c>
      <c r="E459" s="339">
        <f>H55</f>
        <v/>
      </c>
      <c r="F459" s="338" t="n">
        <v>686</v>
      </c>
      <c r="G459" s="338" t="n">
        <v>10</v>
      </c>
      <c r="H459" s="1235">
        <f>+F459+G459</f>
        <v/>
      </c>
      <c r="I459" s="340">
        <f>+AM459</f>
        <v/>
      </c>
      <c r="J459" s="341">
        <f>+H459+I459</f>
        <v/>
      </c>
      <c r="K459" s="583">
        <f>+(D459+E459)-(J459)</f>
        <v/>
      </c>
      <c r="L459" s="253" t="n">
        <v>1570</v>
      </c>
      <c r="M459" s="254" t="inlineStr">
        <is>
          <t>221100624A</t>
        </is>
      </c>
      <c r="N459" s="254" t="inlineStr">
        <is>
          <t>BIOLÓGICAL E. LÍMITED</t>
        </is>
      </c>
      <c r="O459" s="1183" t="inlineStr">
        <is>
          <t>30/11/2026</t>
        </is>
      </c>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v>93</v>
      </c>
      <c r="AA459" s="648" t="n">
        <v>162</v>
      </c>
      <c r="AB459" s="649">
        <f>+Z459+AA459</f>
        <v/>
      </c>
      <c r="AC459" s="648" t="n">
        <v>0</v>
      </c>
      <c r="AD459" s="648" t="n">
        <v>0</v>
      </c>
      <c r="AE459" s="648" t="n">
        <v>0</v>
      </c>
      <c r="AF459" s="648" t="n">
        <v>0</v>
      </c>
      <c r="AG459" s="648" t="n">
        <v>0</v>
      </c>
      <c r="AH459" s="648" t="n">
        <v>0</v>
      </c>
      <c r="AI459" s="648" t="n">
        <v>0</v>
      </c>
      <c r="AJ459" s="648" t="n">
        <v>0</v>
      </c>
      <c r="AK459" s="648" t="n">
        <v>0</v>
      </c>
      <c r="AL459" s="648" t="n">
        <v>0</v>
      </c>
      <c r="AM459" s="421">
        <f>SUM(AB459:AL463)</f>
        <v/>
      </c>
      <c r="AN459" s="726" t="n"/>
      <c r="AQ459" s="1238">
        <f>IFERROR(I459/J459*100,"0")</f>
        <v/>
      </c>
      <c r="AR459" s="343">
        <f>IFERROR(1/(1-(AQ459/100)),"0")</f>
        <v/>
      </c>
      <c r="AS459" s="1239" t="n">
        <v>30</v>
      </c>
      <c r="AT459" s="345" t="n">
        <v>10</v>
      </c>
      <c r="AU459" s="1240" t="n"/>
      <c r="AV459" s="1241" t="n"/>
      <c r="AW459" s="1242">
        <f>+H459-AV459</f>
        <v/>
      </c>
    </row>
    <row r="460" ht="17.25" customHeight="1">
      <c r="A460" s="973" t="n"/>
      <c r="B460" s="971" t="n"/>
      <c r="C460" s="972" t="n"/>
      <c r="D460" s="973" t="n"/>
      <c r="E460" s="973" t="n"/>
      <c r="F460" s="994" t="n"/>
      <c r="G460" s="994" t="n"/>
      <c r="H460" s="973" t="n"/>
      <c r="I460" s="973" t="n"/>
      <c r="J460" s="973" t="n"/>
      <c r="K460" s="973" t="n"/>
      <c r="L460" s="253" t="n">
        <v>292</v>
      </c>
      <c r="M460" s="254" t="inlineStr">
        <is>
          <t>2825Q005A</t>
        </is>
      </c>
      <c r="N460" s="254" t="inlineStr">
        <is>
          <t>Serum</t>
        </is>
      </c>
      <c r="O460" s="1183" t="inlineStr">
        <is>
          <t>28/02/2027</t>
        </is>
      </c>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73"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73"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73"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75" t="n"/>
      <c r="E464" s="975" t="n"/>
      <c r="F464" s="998" t="n"/>
      <c r="G464" s="998" t="n"/>
      <c r="H464" s="975" t="n"/>
      <c r="I464" s="975" t="n"/>
      <c r="J464" s="975" t="n"/>
      <c r="K464" s="1189">
        <f>K459=L464</f>
        <v/>
      </c>
      <c r="L464" s="491">
        <f>SUM(L459:L463)</f>
        <v/>
      </c>
      <c r="M464" s="1190" t="inlineStr">
        <is>
          <t xml:space="preserve">“Verdadero” indica que la cantidad por lote, coincide con el saldo que inicia al mes siguiente. "Falso" no coinicide. </t>
        </is>
      </c>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413">
        <f>MARZO!K465</f>
        <v/>
      </c>
      <c r="E465" s="339">
        <f>H61</f>
        <v/>
      </c>
      <c r="F465" s="338" t="n">
        <v>5</v>
      </c>
      <c r="G465" s="338" t="n">
        <v>0</v>
      </c>
      <c r="H465" s="1235">
        <f>+F465+G465</f>
        <v/>
      </c>
      <c r="I465" s="340">
        <f>+AM465</f>
        <v/>
      </c>
      <c r="J465" s="341">
        <f>+H465+I465</f>
        <v/>
      </c>
      <c r="K465" s="583">
        <f>+(D465+E465)-(J465)</f>
        <v/>
      </c>
      <c r="L465" s="253" t="n">
        <v>45</v>
      </c>
      <c r="M465" s="254" t="inlineStr">
        <is>
          <t>4CA03C1</t>
        </is>
      </c>
      <c r="N465" s="254" t="inlineStr">
        <is>
          <t>Sanofi Pasteur</t>
        </is>
      </c>
      <c r="O465" s="1183" t="inlineStr">
        <is>
          <t>31/10/2026</t>
        </is>
      </c>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v>0</v>
      </c>
      <c r="AA465" s="648" t="n">
        <v>0</v>
      </c>
      <c r="AB465" s="649">
        <f>+Z465+AA465</f>
        <v/>
      </c>
      <c r="AC465" s="648" t="n">
        <v>0</v>
      </c>
      <c r="AD465" s="648" t="n">
        <v>0</v>
      </c>
      <c r="AE465" s="648" t="n">
        <v>0</v>
      </c>
      <c r="AF465" s="648" t="n">
        <v>0</v>
      </c>
      <c r="AG465" s="648" t="n">
        <v>0</v>
      </c>
      <c r="AH465" s="648" t="n">
        <v>0</v>
      </c>
      <c r="AI465" s="648" t="n">
        <v>0</v>
      </c>
      <c r="AJ465" s="648" t="n">
        <v>0</v>
      </c>
      <c r="AK465" s="648" t="n">
        <v>0</v>
      </c>
      <c r="AL465" s="648" t="n">
        <v>0</v>
      </c>
      <c r="AM465" s="421">
        <f>SUM(AB465:AL469)</f>
        <v/>
      </c>
      <c r="AN465" s="726" t="n"/>
      <c r="AQ465" s="1238">
        <f>IFERROR(I465/J465*100,"0")</f>
        <v/>
      </c>
      <c r="AR465" s="343">
        <f>IFERROR(1/(1-(AQ465/100)),"0")</f>
        <v/>
      </c>
      <c r="AS465" s="1239" t="n">
        <v>0</v>
      </c>
      <c r="AT465" s="345" t="n">
        <v>1</v>
      </c>
      <c r="AU465" s="1240" t="n"/>
      <c r="AV465" s="1241" t="n"/>
      <c r="AW465" s="1242">
        <f>+H465-AV465</f>
        <v/>
      </c>
    </row>
    <row r="466" ht="17.25" customHeight="1">
      <c r="A466" s="973" t="n"/>
      <c r="B466" s="971" t="n"/>
      <c r="C466" s="972" t="n"/>
      <c r="D466" s="973" t="n"/>
      <c r="E466" s="973" t="n"/>
      <c r="F466" s="994" t="n"/>
      <c r="G466" s="994" t="n"/>
      <c r="H466" s="973" t="n"/>
      <c r="I466" s="973" t="n"/>
      <c r="J466" s="973" t="n"/>
      <c r="K466" s="973" t="n"/>
      <c r="L466" s="253" t="n">
        <v>10</v>
      </c>
      <c r="M466" s="254" t="inlineStr">
        <is>
          <t>221100624A</t>
        </is>
      </c>
      <c r="N466" s="254" t="inlineStr">
        <is>
          <t>BIOLÓGICAL E. LÍMITED</t>
        </is>
      </c>
      <c r="O466" s="1183" t="inlineStr">
        <is>
          <t>30/11/2026</t>
        </is>
      </c>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73" t="n"/>
      <c r="E467" s="973" t="n"/>
      <c r="F467" s="994" t="n"/>
      <c r="G467" s="994" t="n"/>
      <c r="H467" s="973" t="n"/>
      <c r="I467" s="973" t="n"/>
      <c r="J467" s="973" t="n"/>
      <c r="K467" s="973" t="n"/>
      <c r="L467" s="253" t="n">
        <v>2</v>
      </c>
      <c r="M467" s="254" t="inlineStr">
        <is>
          <t>4CA34C1</t>
        </is>
      </c>
      <c r="N467" s="254" t="inlineStr">
        <is>
          <t>Sanofi Pasteur</t>
        </is>
      </c>
      <c r="O467" s="1183" t="inlineStr">
        <is>
          <t>31/05/2027</t>
        </is>
      </c>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73" t="n"/>
      <c r="E468" s="973" t="n"/>
      <c r="F468" s="994" t="n"/>
      <c r="G468" s="994" t="n"/>
      <c r="H468" s="973" t="n"/>
      <c r="I468" s="973" t="n"/>
      <c r="J468" s="973" t="n"/>
      <c r="K468" s="973" t="n"/>
      <c r="L468" s="253" t="n"/>
      <c r="M468" s="254" t="n"/>
      <c r="N468" s="254" t="n"/>
      <c r="O468" s="1183" t="n"/>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73"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75" t="n"/>
      <c r="E470" s="975" t="n"/>
      <c r="F470" s="998" t="n"/>
      <c r="G470" s="998" t="n"/>
      <c r="H470" s="975" t="n"/>
      <c r="I470" s="975" t="n"/>
      <c r="J470" s="975" t="n"/>
      <c r="K470" s="1189">
        <f>K465=L470</f>
        <v/>
      </c>
      <c r="L470" s="491">
        <f>SUM(L465:L469)</f>
        <v/>
      </c>
      <c r="M470" s="1190" t="inlineStr">
        <is>
          <t xml:space="preserve">“Verdadero” indica que la cantidad por lote, coincide con el saldo que inicia al mes siguiente. "Falso" no coinicide. </t>
        </is>
      </c>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413">
        <f>MARZO!K471</f>
        <v/>
      </c>
      <c r="E471" s="339">
        <f>H67</f>
        <v/>
      </c>
      <c r="F471" s="338" t="n">
        <v>1132</v>
      </c>
      <c r="G471" s="338" t="n">
        <v>3</v>
      </c>
      <c r="H471" s="1235">
        <f>+F471+G471</f>
        <v/>
      </c>
      <c r="I471" s="340">
        <f>+AM471</f>
        <v/>
      </c>
      <c r="J471" s="341">
        <f>+H471+I471</f>
        <v/>
      </c>
      <c r="K471" s="583">
        <f>+(D471+E471)-(J471)</f>
        <v/>
      </c>
      <c r="L471" s="253" t="n">
        <v>643</v>
      </c>
      <c r="M471" s="254" t="inlineStr">
        <is>
          <t>AROLE419AA</t>
        </is>
      </c>
      <c r="N471" s="254" t="inlineStr">
        <is>
          <t>Glaxo SmithKline</t>
        </is>
      </c>
      <c r="O471" s="1183" t="inlineStr">
        <is>
          <t>30/09/2027</t>
        </is>
      </c>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v>0</v>
      </c>
      <c r="AA471" s="648" t="n">
        <v>0</v>
      </c>
      <c r="AB471" s="649">
        <f>+Z471+AA471</f>
        <v/>
      </c>
      <c r="AC471" s="648" t="n">
        <v>0</v>
      </c>
      <c r="AD471" s="648" t="n">
        <v>0</v>
      </c>
      <c r="AE471" s="648" t="n">
        <v>0</v>
      </c>
      <c r="AF471" s="648" t="n">
        <v>0</v>
      </c>
      <c r="AG471" s="648" t="n">
        <v>0</v>
      </c>
      <c r="AH471" s="648" t="n">
        <v>0</v>
      </c>
      <c r="AI471" s="648" t="n">
        <v>0</v>
      </c>
      <c r="AJ471" s="648" t="n">
        <v>0</v>
      </c>
      <c r="AK471" s="648" t="n">
        <v>0</v>
      </c>
      <c r="AL471" s="648" t="n">
        <v>0</v>
      </c>
      <c r="AM471" s="421">
        <f>SUM(AB471:AL475)</f>
        <v/>
      </c>
      <c r="AN471" s="726" t="n"/>
      <c r="AQ471" s="1238">
        <f>IFERROR(I471/J471*100,"0")</f>
        <v/>
      </c>
      <c r="AR471" s="343">
        <f>IFERROR(1/(1-(AQ471/100)),"0")</f>
        <v/>
      </c>
      <c r="AS471" s="1239" t="n">
        <v>0</v>
      </c>
      <c r="AT471" s="345" t="n">
        <v>1</v>
      </c>
      <c r="AU471" s="1240" t="n"/>
      <c r="AV471" s="1241" t="n"/>
      <c r="AW471" s="1242">
        <f>+H471-AV471</f>
        <v/>
      </c>
    </row>
    <row r="472" ht="17.25" customHeight="1">
      <c r="A472" s="973" t="n"/>
      <c r="B472" s="971" t="n"/>
      <c r="C472" s="972" t="n"/>
      <c r="D472" s="973" t="n"/>
      <c r="E472" s="973" t="n"/>
      <c r="F472" s="994" t="n"/>
      <c r="G472" s="994" t="n"/>
      <c r="H472" s="973" t="n"/>
      <c r="I472" s="973" t="n"/>
      <c r="J472" s="973" t="n"/>
      <c r="K472" s="973" t="n"/>
      <c r="L472" s="253" t="n">
        <v>488</v>
      </c>
      <c r="M472" s="254" t="inlineStr">
        <is>
          <t>AROLE203AC</t>
        </is>
      </c>
      <c r="N472" s="254" t="inlineStr">
        <is>
          <t>Glaxo SmithKline</t>
        </is>
      </c>
      <c r="O472" s="1183" t="inlineStr">
        <is>
          <t>31/03/2027</t>
        </is>
      </c>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73" t="n"/>
      <c r="E473" s="973" t="n"/>
      <c r="F473" s="994" t="n"/>
      <c r="G473" s="994" t="n"/>
      <c r="H473" s="973" t="n"/>
      <c r="I473" s="973" t="n"/>
      <c r="J473" s="973" t="n"/>
      <c r="K473" s="973" t="n"/>
      <c r="L473" s="253" t="n">
        <v>302</v>
      </c>
      <c r="M473" s="254" t="inlineStr">
        <is>
          <t>AROLE197AB</t>
        </is>
      </c>
      <c r="N473" s="254" t="inlineStr">
        <is>
          <t>Glaxo SmithKline</t>
        </is>
      </c>
      <c r="O473" s="1183" t="inlineStr">
        <is>
          <t>28/02/2027</t>
        </is>
      </c>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73" t="n"/>
      <c r="E474" s="973" t="n"/>
      <c r="F474" s="994" t="n"/>
      <c r="G474" s="994" t="n"/>
      <c r="H474" s="973" t="n"/>
      <c r="I474" s="973" t="n"/>
      <c r="J474" s="973" t="n"/>
      <c r="K474" s="973" t="n"/>
      <c r="L474" s="253" t="n">
        <v>11</v>
      </c>
      <c r="M474" s="254" t="inlineStr">
        <is>
          <t>AROLE075AA</t>
        </is>
      </c>
      <c r="N474" s="254" t="inlineStr">
        <is>
          <t>Glaxo SmithKline</t>
        </is>
      </c>
      <c r="O474" s="1183" t="inlineStr">
        <is>
          <t>31/10/2026</t>
        </is>
      </c>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73" t="n"/>
      <c r="E475" s="973" t="n"/>
      <c r="F475" s="994" t="n"/>
      <c r="G475" s="994" t="n"/>
      <c r="H475" s="973" t="n"/>
      <c r="I475" s="973" t="n"/>
      <c r="J475" s="973" t="n"/>
      <c r="K475" s="975" t="n"/>
      <c r="L475" s="253" t="n"/>
      <c r="M475" s="254" t="n"/>
      <c r="N475" s="254" t="n"/>
      <c r="O475" s="1183" t="n"/>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75" t="n"/>
      <c r="E476" s="975" t="n"/>
      <c r="F476" s="998" t="n"/>
      <c r="G476" s="998" t="n"/>
      <c r="H476" s="975" t="n"/>
      <c r="I476" s="975" t="n"/>
      <c r="J476" s="975" t="n"/>
      <c r="K476" s="1189">
        <f>K471=L476</f>
        <v/>
      </c>
      <c r="L476" s="491">
        <f>SUM(L471:L475)</f>
        <v/>
      </c>
      <c r="M476" s="1190" t="inlineStr">
        <is>
          <t xml:space="preserve">“Verdadero” indica que la cantidad por lote, coincide con el saldo que inicia al mes siguiente. "Falso" no coinicide. </t>
        </is>
      </c>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413">
        <f>MARZO!K477</f>
        <v/>
      </c>
      <c r="E477" s="339">
        <f>H73</f>
        <v/>
      </c>
      <c r="F477" s="338" t="n">
        <v>1814</v>
      </c>
      <c r="G477" s="338" t="n">
        <v>17</v>
      </c>
      <c r="H477" s="1235">
        <f>+F477+G477</f>
        <v/>
      </c>
      <c r="I477" s="340">
        <f>+AM477</f>
        <v/>
      </c>
      <c r="J477" s="341">
        <f>+H477+I477</f>
        <v/>
      </c>
      <c r="K477" s="583">
        <f>+(D477+E477)-(J477)</f>
        <v/>
      </c>
      <c r="L477" s="253" t="n">
        <v>1046</v>
      </c>
      <c r="M477" s="254" t="inlineStr">
        <is>
          <t>LR6371</t>
        </is>
      </c>
      <c r="N477" s="254" t="inlineStr">
        <is>
          <t>PFIZER</t>
        </is>
      </c>
      <c r="O477" s="1183" t="inlineStr">
        <is>
          <t>30/09/2027</t>
        </is>
      </c>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v>0</v>
      </c>
      <c r="AA477" s="648" t="n">
        <v>0</v>
      </c>
      <c r="AB477" s="649">
        <f>+Z477+AA477</f>
        <v/>
      </c>
      <c r="AC477" s="648" t="n">
        <v>0</v>
      </c>
      <c r="AD477" s="648" t="n">
        <v>0</v>
      </c>
      <c r="AE477" s="648" t="n">
        <v>0</v>
      </c>
      <c r="AF477" s="648" t="n">
        <v>0</v>
      </c>
      <c r="AG477" s="648" t="n">
        <v>0</v>
      </c>
      <c r="AH477" s="648" t="n">
        <v>0</v>
      </c>
      <c r="AI477" s="648" t="n">
        <v>0</v>
      </c>
      <c r="AJ477" s="648" t="n">
        <v>0</v>
      </c>
      <c r="AK477" s="648" t="n">
        <v>0</v>
      </c>
      <c r="AL477" s="648" t="n">
        <v>0</v>
      </c>
      <c r="AM477" s="421">
        <f>SUM(AB477:AL481)</f>
        <v/>
      </c>
      <c r="AN477" s="726" t="n"/>
      <c r="AQ477" s="1238">
        <f>IFERROR(I477/J477*100,"0")</f>
        <v/>
      </c>
      <c r="AR477" s="343">
        <f>IFERROR(1/(1-(AQ477/100)),"0")</f>
        <v/>
      </c>
      <c r="AS477" s="1239" t="n">
        <v>0</v>
      </c>
      <c r="AT477" s="345" t="n">
        <v>1</v>
      </c>
      <c r="AU477" s="1240" t="n"/>
      <c r="AV477" s="1241" t="n"/>
      <c r="AW477" s="1242">
        <f>+H477-AV477</f>
        <v/>
      </c>
    </row>
    <row r="478" ht="17.25" customHeight="1">
      <c r="A478" s="973" t="n"/>
      <c r="B478" s="971" t="n"/>
      <c r="C478" s="972" t="n"/>
      <c r="D478" s="973" t="n"/>
      <c r="E478" s="973" t="n"/>
      <c r="F478" s="994" t="n"/>
      <c r="G478" s="994" t="n"/>
      <c r="H478" s="973" t="n"/>
      <c r="I478" s="973" t="n"/>
      <c r="J478" s="973" t="n"/>
      <c r="K478" s="973" t="n"/>
      <c r="L478" s="253" t="n">
        <v>954</v>
      </c>
      <c r="M478" s="254" t="inlineStr">
        <is>
          <t>LK3156</t>
        </is>
      </c>
      <c r="N478" s="254" t="inlineStr">
        <is>
          <t>PFIZER</t>
        </is>
      </c>
      <c r="O478" s="1183" t="inlineStr">
        <is>
          <t>31/05/2027</t>
        </is>
      </c>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73" t="n"/>
      <c r="E479" s="973" t="n"/>
      <c r="F479" s="994" t="n"/>
      <c r="G479" s="994" t="n"/>
      <c r="H479" s="973" t="n"/>
      <c r="I479" s="973" t="n"/>
      <c r="J479" s="973" t="n"/>
      <c r="K479" s="973" t="n"/>
      <c r="L479" s="253" t="n">
        <v>57</v>
      </c>
      <c r="M479" s="254" t="inlineStr">
        <is>
          <t>HJ5276</t>
        </is>
      </c>
      <c r="N479" s="254" t="inlineStr">
        <is>
          <t>PFIZER</t>
        </is>
      </c>
      <c r="O479" s="1183" t="inlineStr">
        <is>
          <t>31/07/2026</t>
        </is>
      </c>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73" t="n"/>
      <c r="E480" s="973" t="n"/>
      <c r="F480" s="994" t="n"/>
      <c r="G480" s="994" t="n"/>
      <c r="H480" s="973" t="n"/>
      <c r="I480" s="973" t="n"/>
      <c r="J480" s="973" t="n"/>
      <c r="K480" s="973" t="n"/>
      <c r="L480" s="253" t="n"/>
      <c r="M480" s="254" t="n"/>
      <c r="N480" s="254" t="n"/>
      <c r="O480" s="1183" t="n"/>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73"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75" t="n"/>
      <c r="E482" s="975" t="n"/>
      <c r="F482" s="998" t="n"/>
      <c r="G482" s="998" t="n"/>
      <c r="H482" s="975" t="n"/>
      <c r="I482" s="975" t="n"/>
      <c r="J482" s="975" t="n"/>
      <c r="K482" s="1189">
        <f>K477=L482</f>
        <v/>
      </c>
      <c r="L482" s="491">
        <f>SUM(L477:L481)</f>
        <v/>
      </c>
      <c r="M482" s="1190" t="inlineStr">
        <is>
          <t xml:space="preserve">“Verdadero” indica que la cantidad por lote, coincide con el saldo que inicia al mes siguiente. "Falso" no coinicide. </t>
        </is>
      </c>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413">
        <f>MARZO!K483</f>
        <v/>
      </c>
      <c r="E483" s="339">
        <f>H79</f>
        <v/>
      </c>
      <c r="F483" s="338" t="n">
        <v>0</v>
      </c>
      <c r="G483" s="338" t="n">
        <v>0</v>
      </c>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v>0</v>
      </c>
      <c r="AA483" s="648" t="n">
        <v>0</v>
      </c>
      <c r="AB483" s="649">
        <f>+Z483+AA483</f>
        <v/>
      </c>
      <c r="AC483" s="648" t="n">
        <v>0</v>
      </c>
      <c r="AD483" s="648" t="n">
        <v>0</v>
      </c>
      <c r="AE483" s="648" t="n">
        <v>0</v>
      </c>
      <c r="AF483" s="648" t="n">
        <v>0</v>
      </c>
      <c r="AG483" s="648" t="n">
        <v>0</v>
      </c>
      <c r="AH483" s="648" t="n">
        <v>0</v>
      </c>
      <c r="AI483" s="648" t="n">
        <v>0</v>
      </c>
      <c r="AJ483" s="648" t="n">
        <v>0</v>
      </c>
      <c r="AK483" s="648" t="n">
        <v>0</v>
      </c>
      <c r="AL483" s="648" t="n">
        <v>0</v>
      </c>
      <c r="AM483" s="421">
        <f>SUM(AB483:AL487)</f>
        <v/>
      </c>
      <c r="AN483" s="726" t="n"/>
      <c r="AQ483" s="1238">
        <f>IFERROR(I483/J483*100,"0")</f>
        <v/>
      </c>
      <c r="AR483" s="343">
        <f>IFERROR(1/(1-(AQ483/100)),"0")</f>
        <v/>
      </c>
      <c r="AS483" s="1239" t="n">
        <v>0</v>
      </c>
      <c r="AT483" s="345" t="n">
        <v>1</v>
      </c>
      <c r="AU483" s="1240" t="n"/>
      <c r="AV483" s="1241" t="n"/>
      <c r="AW483" s="1242">
        <f>+H483-AV483</f>
        <v/>
      </c>
    </row>
    <row r="484" ht="17.25" customHeight="1">
      <c r="A484" s="973" t="n"/>
      <c r="B484" s="971" t="n"/>
      <c r="C484" s="972" t="n"/>
      <c r="D484" s="973"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73"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73"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73"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75" t="n"/>
      <c r="E488" s="975" t="n"/>
      <c r="F488" s="998" t="n"/>
      <c r="G488" s="998" t="n"/>
      <c r="H488" s="975" t="n"/>
      <c r="I488" s="975" t="n"/>
      <c r="J488" s="975" t="n"/>
      <c r="K488" s="1189">
        <f>K483=L488</f>
        <v/>
      </c>
      <c r="L488" s="491">
        <f>SUM(L483:L487)</f>
        <v/>
      </c>
      <c r="M488" s="1190" t="inlineStr">
        <is>
          <t xml:space="preserve">“Verdadero” indica que la cantidad por lote, coincide con el saldo que inicia al mes siguiente. "Falso" no coinicide. </t>
        </is>
      </c>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413">
        <f>MARZO!K489</f>
        <v/>
      </c>
      <c r="E489" s="339">
        <f>H85</f>
        <v/>
      </c>
      <c r="F489" s="338" t="n">
        <v>1521</v>
      </c>
      <c r="G489" s="338" t="n">
        <v>29</v>
      </c>
      <c r="H489" s="1235">
        <f>+F489+G489</f>
        <v/>
      </c>
      <c r="I489" s="340">
        <f>+AM489</f>
        <v/>
      </c>
      <c r="J489" s="341">
        <f>+H489+I489</f>
        <v/>
      </c>
      <c r="K489" s="583">
        <f>+(D489+E489)-(J489)</f>
        <v/>
      </c>
      <c r="L489" s="253" t="n">
        <v>803</v>
      </c>
      <c r="M489" s="254" t="inlineStr">
        <is>
          <t>0133N146B</t>
        </is>
      </c>
      <c r="N489" s="254" t="inlineStr">
        <is>
          <t>Serum</t>
        </is>
      </c>
      <c r="O489" s="1183" t="inlineStr">
        <is>
          <t>30/09/2026</t>
        </is>
      </c>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v>0</v>
      </c>
      <c r="AA489" s="648" t="n">
        <v>0</v>
      </c>
      <c r="AB489" s="649">
        <f>+Z489+AA489</f>
        <v/>
      </c>
      <c r="AC489" s="648" t="n">
        <v>0</v>
      </c>
      <c r="AD489" s="648" t="n">
        <v>1</v>
      </c>
      <c r="AE489" s="648" t="n">
        <v>0</v>
      </c>
      <c r="AF489" s="648" t="n">
        <v>0</v>
      </c>
      <c r="AG489" s="648" t="n">
        <v>0</v>
      </c>
      <c r="AH489" s="648" t="n">
        <v>0</v>
      </c>
      <c r="AI489" s="648" t="n">
        <v>0</v>
      </c>
      <c r="AJ489" s="648" t="n">
        <v>1</v>
      </c>
      <c r="AK489" s="648" t="n">
        <v>0</v>
      </c>
      <c r="AL489" s="648" t="n">
        <v>0</v>
      </c>
      <c r="AM489" s="421">
        <f>SUM(AB489:AL493)</f>
        <v/>
      </c>
      <c r="AN489" s="726" t="n"/>
      <c r="AQ489" s="1238">
        <f>IFERROR(I489/J489*100,"0")</f>
        <v/>
      </c>
      <c r="AR489" s="343">
        <f>IFERROR(1/(1-(AQ489/100)),"0")</f>
        <v/>
      </c>
      <c r="AS489" s="1239" t="n">
        <v>0</v>
      </c>
      <c r="AT489" s="345" t="n">
        <v>1</v>
      </c>
      <c r="AU489" s="1240" t="n"/>
      <c r="AV489" s="1241" t="n"/>
      <c r="AW489" s="1242">
        <f>+H489-AV489</f>
        <v/>
      </c>
    </row>
    <row r="490" ht="17.25" customHeight="1">
      <c r="A490" s="973" t="n"/>
      <c r="B490" s="971" t="n"/>
      <c r="C490" s="972" t="n"/>
      <c r="D490" s="973" t="n"/>
      <c r="E490" s="973" t="n"/>
      <c r="F490" s="994" t="n"/>
      <c r="G490" s="994" t="n"/>
      <c r="H490" s="973" t="n"/>
      <c r="I490" s="973" t="n"/>
      <c r="J490" s="973" t="n"/>
      <c r="K490" s="973" t="n"/>
      <c r="L490" s="253" t="n">
        <v>959</v>
      </c>
      <c r="M490" s="254" t="inlineStr">
        <is>
          <t>0134N096A</t>
        </is>
      </c>
      <c r="N490" s="254" t="inlineStr">
        <is>
          <t>Serum</t>
        </is>
      </c>
      <c r="O490" s="1183" t="inlineStr">
        <is>
          <t>30/04/2027</t>
        </is>
      </c>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73" t="n"/>
      <c r="E491" s="973" t="n"/>
      <c r="F491" s="994" t="n"/>
      <c r="G491" s="994" t="n"/>
      <c r="H491" s="973" t="n"/>
      <c r="I491" s="973" t="n"/>
      <c r="J491" s="973" t="n"/>
      <c r="K491" s="973" t="n"/>
      <c r="L491" s="253" t="n">
        <v>264</v>
      </c>
      <c r="M491" s="254" t="inlineStr">
        <is>
          <t>0134N093A</t>
        </is>
      </c>
      <c r="N491" s="254" t="inlineStr">
        <is>
          <t>Serum</t>
        </is>
      </c>
      <c r="O491" s="1183" t="inlineStr">
        <is>
          <t>30/04/2027</t>
        </is>
      </c>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73" t="n"/>
      <c r="E492" s="973" t="n"/>
      <c r="F492" s="994" t="n"/>
      <c r="G492" s="994" t="n"/>
      <c r="H492" s="973" t="n"/>
      <c r="I492" s="973" t="n"/>
      <c r="J492" s="973" t="n"/>
      <c r="K492" s="973" t="n"/>
      <c r="L492" s="253" t="n">
        <v>3</v>
      </c>
      <c r="M492" s="254" t="inlineStr">
        <is>
          <t>0133N140B</t>
        </is>
      </c>
      <c r="N492" s="254" t="inlineStr">
        <is>
          <t>Serum</t>
        </is>
      </c>
      <c r="O492" s="1183" t="inlineStr">
        <is>
          <t>31/08/2026</t>
        </is>
      </c>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73"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75" t="n"/>
      <c r="E494" s="975" t="n"/>
      <c r="F494" s="998" t="n"/>
      <c r="G494" s="998" t="n"/>
      <c r="H494" s="975" t="n"/>
      <c r="I494" s="975" t="n"/>
      <c r="J494" s="975" t="n"/>
      <c r="K494" s="1189">
        <f>K489=L494</f>
        <v/>
      </c>
      <c r="L494" s="491">
        <f>SUM(L489:L493)</f>
        <v/>
      </c>
      <c r="M494" s="1190" t="inlineStr">
        <is>
          <t xml:space="preserve">“Verdadero” indica que la cantidad por lote, coincide con el saldo que inicia al mes siguiente. "Falso" no coinicide. </t>
        </is>
      </c>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413">
        <f>MARZO!K495</f>
        <v/>
      </c>
      <c r="E495" s="339">
        <f>H91</f>
        <v/>
      </c>
      <c r="F495" s="338" t="n">
        <v>0</v>
      </c>
      <c r="G495" s="338" t="n">
        <v>0</v>
      </c>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v>0</v>
      </c>
      <c r="AA495" s="648" t="n">
        <v>0</v>
      </c>
      <c r="AB495" s="649">
        <f>+Z495+AA495</f>
        <v/>
      </c>
      <c r="AC495" s="648" t="n">
        <v>0</v>
      </c>
      <c r="AD495" s="648" t="n">
        <v>0</v>
      </c>
      <c r="AE495" s="648" t="n">
        <v>0</v>
      </c>
      <c r="AF495" s="648" t="n">
        <v>0</v>
      </c>
      <c r="AG495" s="648" t="n">
        <v>0</v>
      </c>
      <c r="AH495" s="648" t="n">
        <v>0</v>
      </c>
      <c r="AI495" s="648" t="n">
        <v>0</v>
      </c>
      <c r="AJ495" s="648" t="n">
        <v>0</v>
      </c>
      <c r="AK495" s="648" t="n">
        <v>0</v>
      </c>
      <c r="AL495" s="648" t="n">
        <v>0</v>
      </c>
      <c r="AM495" s="421">
        <f>SUM(AB495:AL499)</f>
        <v/>
      </c>
      <c r="AN495" s="726" t="n"/>
      <c r="AQ495" s="1238">
        <f>IFERROR(I495/J495*100,"0")</f>
        <v/>
      </c>
      <c r="AR495" s="343">
        <f>IFERROR(1/(1-(AQ495/100)),"0")</f>
        <v/>
      </c>
      <c r="AS495" s="1239" t="n">
        <v>25</v>
      </c>
      <c r="AT495" s="345" t="n">
        <v>5</v>
      </c>
      <c r="AU495" s="1240" t="n"/>
      <c r="AV495" s="1241" t="n"/>
      <c r="AW495" s="1242">
        <f>+H495-AV495</f>
        <v/>
      </c>
    </row>
    <row r="496" ht="17.25" customHeight="1">
      <c r="A496" s="973" t="n"/>
      <c r="B496" s="971" t="n"/>
      <c r="C496" s="972" t="n"/>
      <c r="D496" s="973"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73"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73"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73"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75" t="n"/>
      <c r="E500" s="975" t="n"/>
      <c r="F500" s="998" t="n"/>
      <c r="G500" s="998" t="n"/>
      <c r="H500" s="975" t="n"/>
      <c r="I500" s="975" t="n"/>
      <c r="J500" s="975" t="n"/>
      <c r="K500" s="1189">
        <f>K495=L500</f>
        <v/>
      </c>
      <c r="L500" s="491">
        <f>SUM(L495:L499)</f>
        <v/>
      </c>
      <c r="M500" s="1190" t="inlineStr">
        <is>
          <t xml:space="preserve">“Verdadero” indica que la cantidad por lote, coincide con el saldo que inicia al mes siguiente. "Falso" no coinicide. </t>
        </is>
      </c>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413">
        <f>MARZO!K501</f>
        <v/>
      </c>
      <c r="E501" s="339">
        <f>H97</f>
        <v/>
      </c>
      <c r="F501" s="338" t="n">
        <v>0</v>
      </c>
      <c r="G501" s="338" t="n">
        <v>0</v>
      </c>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v>0</v>
      </c>
      <c r="AA501" s="648" t="n">
        <v>0</v>
      </c>
      <c r="AB501" s="649">
        <f>+Z501+AA501</f>
        <v/>
      </c>
      <c r="AC501" s="648" t="n">
        <v>0</v>
      </c>
      <c r="AD501" s="648" t="n">
        <v>0</v>
      </c>
      <c r="AE501" s="648" t="n">
        <v>0</v>
      </c>
      <c r="AF501" s="648" t="n">
        <v>0</v>
      </c>
      <c r="AG501" s="648" t="n">
        <v>0</v>
      </c>
      <c r="AH501" s="648" t="n">
        <v>0</v>
      </c>
      <c r="AI501" s="648" t="n">
        <v>0</v>
      </c>
      <c r="AJ501" s="648" t="n">
        <v>0</v>
      </c>
      <c r="AK501" s="648" t="n">
        <v>0</v>
      </c>
      <c r="AL501" s="648" t="n">
        <v>0</v>
      </c>
      <c r="AM501" s="421">
        <f>SUM(AB501:AL505)</f>
        <v/>
      </c>
      <c r="AN501" s="726" t="n"/>
      <c r="AQ501" s="1238">
        <f>IFERROR(I501/J501*100,"0")</f>
        <v/>
      </c>
      <c r="AR501" s="343">
        <f>IFERROR(1/(1-(AQ501/100)),"0")</f>
        <v/>
      </c>
      <c r="AS501" s="1239" t="n">
        <v>30</v>
      </c>
      <c r="AT501" s="345" t="n">
        <v>10</v>
      </c>
      <c r="AU501" s="1240" t="n"/>
      <c r="AV501" s="1241" t="n"/>
      <c r="AW501" s="1242">
        <f>+H501-AV501</f>
        <v/>
      </c>
    </row>
    <row r="502" ht="17.25" customHeight="1">
      <c r="A502" s="973" t="n"/>
      <c r="B502" s="971" t="n"/>
      <c r="C502" s="972" t="n"/>
      <c r="D502" s="973"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73"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73"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73"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75" t="n"/>
      <c r="E506" s="975" t="n"/>
      <c r="F506" s="998" t="n"/>
      <c r="G506" s="998" t="n"/>
      <c r="H506" s="975" t="n"/>
      <c r="I506" s="975" t="n"/>
      <c r="J506" s="975" t="n"/>
      <c r="K506" s="1189">
        <f>K501=L506</f>
        <v/>
      </c>
      <c r="L506" s="491">
        <f>SUM(L501:L505)</f>
        <v/>
      </c>
      <c r="M506" s="1190" t="inlineStr">
        <is>
          <t xml:space="preserve">“Verdadero” indica que la cantidad por lote, coincide con el saldo que inicia al mes siguiente. "Falso" no coinicide. </t>
        </is>
      </c>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413">
        <f>MARZO!K507</f>
        <v/>
      </c>
      <c r="E507" s="339">
        <f>H103</f>
        <v/>
      </c>
      <c r="F507" s="338" t="n">
        <v>849</v>
      </c>
      <c r="G507" s="338" t="n">
        <v>25</v>
      </c>
      <c r="H507" s="1235">
        <f>+F507+G507</f>
        <v/>
      </c>
      <c r="I507" s="340">
        <f>+AM507</f>
        <v/>
      </c>
      <c r="J507" s="341">
        <f>+H507+I507</f>
        <v/>
      </c>
      <c r="K507" s="583">
        <f>+(D507+E507)-(J507)</f>
        <v/>
      </c>
      <c r="L507" s="253" t="n">
        <v>772</v>
      </c>
      <c r="M507" s="254" t="inlineStr">
        <is>
          <t>0094W002</t>
        </is>
      </c>
      <c r="N507" s="254" t="inlineStr">
        <is>
          <t>Serum</t>
        </is>
      </c>
      <c r="O507" s="1183" t="inlineStr">
        <is>
          <t>30/11/2026</t>
        </is>
      </c>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v>0</v>
      </c>
      <c r="AA507" s="648" t="n">
        <v>0</v>
      </c>
      <c r="AB507" s="649">
        <f>+Z507+AA507</f>
        <v/>
      </c>
      <c r="AC507" s="648" t="n">
        <v>0</v>
      </c>
      <c r="AD507" s="648" t="n">
        <v>0</v>
      </c>
      <c r="AE507" s="648" t="n">
        <v>0</v>
      </c>
      <c r="AF507" s="648" t="n">
        <v>0</v>
      </c>
      <c r="AG507" s="648" t="n">
        <v>0</v>
      </c>
      <c r="AH507" s="648" t="n">
        <v>0</v>
      </c>
      <c r="AI507" s="648" t="n">
        <v>0</v>
      </c>
      <c r="AJ507" s="648" t="n">
        <v>0</v>
      </c>
      <c r="AK507" s="648" t="n">
        <v>0</v>
      </c>
      <c r="AL507" s="648" t="n">
        <v>0</v>
      </c>
      <c r="AM507" s="421">
        <f>SUM(AB507:AL511)</f>
        <v/>
      </c>
      <c r="AN507" s="726" t="n"/>
      <c r="AQ507" s="1238">
        <f>IFERROR(I507/J507*100,"0")</f>
        <v/>
      </c>
      <c r="AR507" s="343">
        <f>IFERROR(1/(1-(AQ507/100)),"0")</f>
        <v/>
      </c>
      <c r="AS507" s="1239" t="n">
        <v>0</v>
      </c>
      <c r="AT507" s="345" t="n">
        <v>1</v>
      </c>
      <c r="AU507" s="1240" t="n"/>
      <c r="AV507" s="1241" t="n"/>
      <c r="AW507" s="1242">
        <f>+H507-AV507</f>
        <v/>
      </c>
    </row>
    <row r="508" ht="17.25" customHeight="1">
      <c r="A508" s="973" t="n"/>
      <c r="B508" s="971" t="n"/>
      <c r="C508" s="972" t="n"/>
      <c r="D508" s="973" t="n"/>
      <c r="E508" s="973" t="n"/>
      <c r="F508" s="994" t="n"/>
      <c r="G508" s="994" t="n"/>
      <c r="H508" s="973" t="n"/>
      <c r="I508" s="973" t="n"/>
      <c r="J508" s="973" t="n"/>
      <c r="K508" s="973" t="n"/>
      <c r="L508" s="253" t="n">
        <v>521</v>
      </c>
      <c r="M508" s="254" t="inlineStr">
        <is>
          <t>0094W003</t>
        </is>
      </c>
      <c r="N508" s="254" t="inlineStr">
        <is>
          <t>Serum</t>
        </is>
      </c>
      <c r="O508" s="1183" t="inlineStr">
        <is>
          <t>31/01/2027</t>
        </is>
      </c>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73" t="n"/>
      <c r="E509" s="973" t="n"/>
      <c r="F509" s="994" t="n"/>
      <c r="G509" s="994" t="n"/>
      <c r="H509" s="973" t="n"/>
      <c r="I509" s="973" t="n"/>
      <c r="J509" s="973" t="n"/>
      <c r="K509" s="973" t="n"/>
      <c r="L509" s="253" t="n">
        <v>70</v>
      </c>
      <c r="M509" s="254" t="inlineStr">
        <is>
          <t>0095M002</t>
        </is>
      </c>
      <c r="N509" s="254" t="inlineStr">
        <is>
          <t>Serum</t>
        </is>
      </c>
      <c r="O509" s="1183" t="inlineStr">
        <is>
          <t>30/11/2027</t>
        </is>
      </c>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73" t="n"/>
      <c r="E510" s="973" t="n"/>
      <c r="F510" s="994" t="n"/>
      <c r="G510" s="994" t="n"/>
      <c r="H510" s="973" t="n"/>
      <c r="I510" s="973" t="n"/>
      <c r="J510" s="973" t="n"/>
      <c r="K510" s="973" t="n"/>
      <c r="L510" s="253" t="n"/>
      <c r="M510" s="254" t="n"/>
      <c r="N510" s="254" t="n"/>
      <c r="O510" s="1183" t="n"/>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73" t="n"/>
      <c r="E511" s="973" t="n"/>
      <c r="F511" s="994" t="n"/>
      <c r="G511" s="994" t="n"/>
      <c r="H511" s="973" t="n"/>
      <c r="I511" s="973" t="n"/>
      <c r="J511" s="973" t="n"/>
      <c r="K511" s="975" t="n"/>
      <c r="L511" s="253" t="n"/>
      <c r="M511" s="254" t="n"/>
      <c r="N511" s="254" t="n"/>
      <c r="O511" s="1183" t="n"/>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75" t="n"/>
      <c r="E512" s="975" t="n"/>
      <c r="F512" s="998" t="n"/>
      <c r="G512" s="998" t="n"/>
      <c r="H512" s="975" t="n"/>
      <c r="I512" s="975" t="n"/>
      <c r="J512" s="975" t="n"/>
      <c r="K512" s="1189">
        <f>K507=L512</f>
        <v/>
      </c>
      <c r="L512" s="491">
        <f>SUM(L507:L511)</f>
        <v/>
      </c>
      <c r="M512" s="1190" t="inlineStr">
        <is>
          <t xml:space="preserve">“Verdadero” indica que la cantidad por lote, coincide con el saldo que inicia al mes siguiente. "Falso" no coinicide. </t>
        </is>
      </c>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413">
        <f>MARZO!K513</f>
        <v/>
      </c>
      <c r="E513" s="339">
        <f>H109</f>
        <v/>
      </c>
      <c r="F513" s="338" t="n">
        <v>0</v>
      </c>
      <c r="G513" s="338" t="n">
        <v>0</v>
      </c>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v>0</v>
      </c>
      <c r="AA513" s="648" t="n">
        <v>0</v>
      </c>
      <c r="AB513" s="649">
        <f>+Z513+AA513</f>
        <v/>
      </c>
      <c r="AC513" s="648" t="n">
        <v>0</v>
      </c>
      <c r="AD513" s="648" t="n">
        <v>0</v>
      </c>
      <c r="AE513" s="648" t="n">
        <v>0</v>
      </c>
      <c r="AF513" s="648" t="n">
        <v>0</v>
      </c>
      <c r="AG513" s="648" t="n">
        <v>0</v>
      </c>
      <c r="AH513" s="648" t="n">
        <v>0</v>
      </c>
      <c r="AI513" s="648" t="n">
        <v>0</v>
      </c>
      <c r="AJ513" s="648" t="n">
        <v>0</v>
      </c>
      <c r="AK513" s="648" t="n">
        <v>0</v>
      </c>
      <c r="AL513" s="648" t="n">
        <v>0</v>
      </c>
      <c r="AM513" s="421">
        <f>SUM(AB513:AL517)</f>
        <v/>
      </c>
      <c r="AN513" s="726" t="n"/>
      <c r="AQ513" s="1238">
        <f>IFERROR(I513/J513*100,"0")</f>
        <v/>
      </c>
      <c r="AR513" s="343">
        <f>IFERROR(1/(1-(AQ513/100)),"0")</f>
        <v/>
      </c>
      <c r="AS513" s="1239" t="n">
        <v>30</v>
      </c>
      <c r="AT513" s="345" t="n">
        <v>10</v>
      </c>
      <c r="AU513" s="1240" t="n"/>
      <c r="AV513" s="1241" t="n"/>
      <c r="AW513" s="1242">
        <f>+H513-AV513</f>
        <v/>
      </c>
    </row>
    <row r="514" ht="17.25" customHeight="1">
      <c r="A514" s="973" t="n"/>
      <c r="B514" s="971" t="n"/>
      <c r="C514" s="972" t="n"/>
      <c r="D514" s="973"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73"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73"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73"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75" t="n"/>
      <c r="E518" s="975" t="n"/>
      <c r="F518" s="998" t="n"/>
      <c r="G518" s="998" t="n"/>
      <c r="H518" s="975" t="n"/>
      <c r="I518" s="975" t="n"/>
      <c r="J518" s="975" t="n"/>
      <c r="K518" s="1189">
        <f>K513=L518</f>
        <v/>
      </c>
      <c r="L518" s="491">
        <f>SUM(L513:L517)</f>
        <v/>
      </c>
      <c r="M518" s="1190" t="inlineStr">
        <is>
          <t xml:space="preserve">“Verdadero” indica que la cantidad por lote, coincide con el saldo que inicia al mes siguiente. "Falso" no coinicide. </t>
        </is>
      </c>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413">
        <f>MARZO!K519</f>
        <v/>
      </c>
      <c r="E519" s="339">
        <f>H115</f>
        <v/>
      </c>
      <c r="F519" s="338" t="n">
        <v>0</v>
      </c>
      <c r="G519" s="338" t="n">
        <v>0</v>
      </c>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v>0</v>
      </c>
      <c r="AA519" s="648" t="n">
        <v>0</v>
      </c>
      <c r="AB519" s="649">
        <f>+Z519+AA519</f>
        <v/>
      </c>
      <c r="AC519" s="648" t="n">
        <v>0</v>
      </c>
      <c r="AD519" s="648" t="n">
        <v>0</v>
      </c>
      <c r="AE519" s="648" t="n">
        <v>0</v>
      </c>
      <c r="AF519" s="648" t="n">
        <v>0</v>
      </c>
      <c r="AG519" s="648" t="n">
        <v>0</v>
      </c>
      <c r="AH519" s="648" t="n">
        <v>0</v>
      </c>
      <c r="AI519" s="648" t="n">
        <v>0</v>
      </c>
      <c r="AJ519" s="648" t="n">
        <v>0</v>
      </c>
      <c r="AK519" s="648" t="n">
        <v>0</v>
      </c>
      <c r="AL519" s="648" t="n">
        <v>0</v>
      </c>
      <c r="AM519" s="421">
        <f>SUM(AB519:AL523)</f>
        <v/>
      </c>
      <c r="AN519" s="726" t="n"/>
      <c r="AQ519" s="1238">
        <f>IFERROR(I519/J519*100,"0")</f>
        <v/>
      </c>
      <c r="AR519" s="343">
        <f>IFERROR(1/(1-(AQ519/100)),"0")</f>
        <v/>
      </c>
      <c r="AS519" s="1239" t="n">
        <v>0</v>
      </c>
      <c r="AT519" s="345" t="n">
        <v>1</v>
      </c>
      <c r="AU519" s="1240" t="n"/>
      <c r="AV519" s="1241" t="n"/>
      <c r="AW519" s="1242">
        <f>+H519-AV519</f>
        <v/>
      </c>
    </row>
    <row r="520" ht="17.25" customHeight="1">
      <c r="A520" s="973" t="n"/>
      <c r="B520" s="971" t="n"/>
      <c r="C520" s="972" t="n"/>
      <c r="D520" s="973"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73"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73"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73"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75" t="n"/>
      <c r="E524" s="975" t="n"/>
      <c r="F524" s="998" t="n"/>
      <c r="G524" s="998" t="n"/>
      <c r="H524" s="975" t="n"/>
      <c r="I524" s="975" t="n"/>
      <c r="J524" s="975" t="n"/>
      <c r="K524" s="1189">
        <f>K519=L524</f>
        <v/>
      </c>
      <c r="L524" s="491">
        <f>SUM(L519:L523)</f>
        <v/>
      </c>
      <c r="M524" s="1190" t="inlineStr">
        <is>
          <t xml:space="preserve">“Verdadero” indica que la cantidad por lote, coincide con el saldo que inicia al mes siguiente. "Falso" no coinicide. </t>
        </is>
      </c>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413">
        <f>MARZO!K525</f>
        <v/>
      </c>
      <c r="E525" s="339">
        <f>H121</f>
        <v/>
      </c>
      <c r="F525" s="338" t="n">
        <v>2718</v>
      </c>
      <c r="G525" s="338" t="n">
        <v>49</v>
      </c>
      <c r="H525" s="1235">
        <f>+F525+G525</f>
        <v/>
      </c>
      <c r="I525" s="340">
        <f>+AM525</f>
        <v/>
      </c>
      <c r="J525" s="341">
        <f>+H525+I525</f>
        <v/>
      </c>
      <c r="K525" s="583">
        <f>+(D525+E525)-(J525)</f>
        <v/>
      </c>
      <c r="L525" s="253" t="n">
        <v>13012</v>
      </c>
      <c r="M525" s="254" t="inlineStr">
        <is>
          <t>Y3D32</t>
        </is>
      </c>
      <c r="N525" s="254" t="inlineStr">
        <is>
          <t>Sanofi Pasteur</t>
        </is>
      </c>
      <c r="O525" s="1183" t="inlineStr">
        <is>
          <t>30/04/2027</t>
        </is>
      </c>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v>2766</v>
      </c>
      <c r="AA525" s="648" t="n">
        <v>1184</v>
      </c>
      <c r="AB525" s="649">
        <f>+Z525+AA525</f>
        <v/>
      </c>
      <c r="AC525" s="648" t="n">
        <v>0</v>
      </c>
      <c r="AD525" s="648" t="n">
        <v>0</v>
      </c>
      <c r="AE525" s="648" t="n">
        <v>0</v>
      </c>
      <c r="AF525" s="648" t="n">
        <v>0</v>
      </c>
      <c r="AG525" s="648" t="n">
        <v>0</v>
      </c>
      <c r="AH525" s="648" t="n">
        <v>0</v>
      </c>
      <c r="AI525" s="648" t="n">
        <v>0</v>
      </c>
      <c r="AJ525" s="648" t="n">
        <v>0</v>
      </c>
      <c r="AK525" s="648" t="n">
        <v>0</v>
      </c>
      <c r="AL525" s="648" t="n">
        <v>0</v>
      </c>
      <c r="AM525" s="421">
        <f>SUM(AB525:AL529)</f>
        <v/>
      </c>
      <c r="AN525" s="726" t="n"/>
      <c r="AQ525" s="1238">
        <f>IFERROR(I525/J525*100,"0")</f>
        <v/>
      </c>
      <c r="AR525" s="343">
        <f>IFERROR(1/(1-(AQ525/100)),"0")</f>
        <v/>
      </c>
      <c r="AS525" s="1239" t="n">
        <v>70</v>
      </c>
      <c r="AT525" s="345" t="n">
        <v>10</v>
      </c>
      <c r="AU525" s="1240" t="n"/>
      <c r="AV525" s="1241" t="n"/>
      <c r="AW525" s="1242">
        <f>+H525-AV525</f>
        <v/>
      </c>
    </row>
    <row r="526" ht="17.25" customHeight="1">
      <c r="A526" s="973" t="n"/>
      <c r="B526" s="971" t="n"/>
      <c r="C526" s="972" t="n"/>
      <c r="D526" s="973" t="n"/>
      <c r="E526" s="973" t="n"/>
      <c r="F526" s="994" t="n"/>
      <c r="G526" s="994" t="n"/>
      <c r="H526" s="973" t="n"/>
      <c r="I526" s="973" t="n"/>
      <c r="J526" s="973" t="n"/>
      <c r="K526" s="973" t="n"/>
      <c r="L526" s="253" t="n">
        <v>30</v>
      </c>
      <c r="M526" s="254" t="inlineStr">
        <is>
          <t>318</t>
        </is>
      </c>
      <c r="N526" s="254" t="inlineStr">
        <is>
          <t>CHUMAKOV</t>
        </is>
      </c>
      <c r="O526" s="1183" t="inlineStr">
        <is>
          <t>31/05/2027</t>
        </is>
      </c>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73" t="n"/>
      <c r="E527" s="973" t="n"/>
      <c r="F527" s="994" t="n"/>
      <c r="G527" s="994" t="n"/>
      <c r="H527" s="973" t="n"/>
      <c r="I527" s="973" t="n"/>
      <c r="J527" s="973" t="n"/>
      <c r="K527" s="973" t="n"/>
      <c r="L527" s="253" t="n">
        <v>10</v>
      </c>
      <c r="M527" s="254" t="inlineStr">
        <is>
          <t>Y3D18</t>
        </is>
      </c>
      <c r="N527" s="254" t="inlineStr">
        <is>
          <t>Sanofi Pasteur</t>
        </is>
      </c>
      <c r="O527" s="1183" t="inlineStr">
        <is>
          <t>30/04/2027</t>
        </is>
      </c>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73" t="n"/>
      <c r="E528" s="973" t="n"/>
      <c r="F528" s="994" t="n"/>
      <c r="G528" s="994" t="n"/>
      <c r="H528" s="973" t="n"/>
      <c r="I528" s="973" t="n"/>
      <c r="J528" s="973" t="n"/>
      <c r="K528" s="973" t="n"/>
      <c r="L528" s="253" t="n"/>
      <c r="M528" s="254" t="n"/>
      <c r="N528" s="254" t="n"/>
      <c r="O528" s="1183" t="n"/>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73" t="n"/>
      <c r="E529" s="973" t="n"/>
      <c r="F529" s="994" t="n"/>
      <c r="G529" s="994" t="n"/>
      <c r="H529" s="973" t="n"/>
      <c r="I529" s="973" t="n"/>
      <c r="J529" s="973" t="n"/>
      <c r="K529" s="975" t="n"/>
      <c r="L529" s="253" t="n"/>
      <c r="M529" s="254" t="n"/>
      <c r="N529" s="254" t="n"/>
      <c r="O529" s="1183" t="n"/>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75" t="n"/>
      <c r="E530" s="975" t="n"/>
      <c r="F530" s="998" t="n"/>
      <c r="G530" s="998" t="n"/>
      <c r="H530" s="975" t="n"/>
      <c r="I530" s="975" t="n"/>
      <c r="J530" s="975" t="n"/>
      <c r="K530" s="1189">
        <f>K525=L530</f>
        <v/>
      </c>
      <c r="L530" s="491">
        <f>SUM(L525:L529)</f>
        <v/>
      </c>
      <c r="M530" s="1190" t="inlineStr">
        <is>
          <t xml:space="preserve">“Verdadero” indica que la cantidad por lote, coincide con el saldo que inicia al mes siguiente. "Falso" no coinicide. </t>
        </is>
      </c>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413">
        <f>MARZO!K531</f>
        <v/>
      </c>
      <c r="E531" s="339">
        <f>H127</f>
        <v/>
      </c>
      <c r="F531" s="338" t="n">
        <v>649</v>
      </c>
      <c r="G531" s="338" t="n">
        <v>17</v>
      </c>
      <c r="H531" s="1235">
        <f>+F531+G531</f>
        <v/>
      </c>
      <c r="I531" s="340">
        <f>+AM531</f>
        <v/>
      </c>
      <c r="J531" s="341">
        <f>+H531+I531</f>
        <v/>
      </c>
      <c r="K531" s="583">
        <f>+(D531+E531)-(J531)</f>
        <v/>
      </c>
      <c r="L531" s="253" t="n">
        <v>1734</v>
      </c>
      <c r="M531" s="254" t="inlineStr">
        <is>
          <t>AB202404013</t>
        </is>
      </c>
      <c r="N531" s="254" t="inlineStr">
        <is>
          <t>Sinovac</t>
        </is>
      </c>
      <c r="O531" s="1183" t="inlineStr">
        <is>
          <t>21/10/2027</t>
        </is>
      </c>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v>0</v>
      </c>
      <c r="AA531" s="648" t="n">
        <v>0</v>
      </c>
      <c r="AB531" s="649">
        <f>+Z531+AA531</f>
        <v/>
      </c>
      <c r="AC531" s="648" t="n">
        <v>0</v>
      </c>
      <c r="AD531" s="648" t="n">
        <v>0</v>
      </c>
      <c r="AE531" s="648" t="n">
        <v>0</v>
      </c>
      <c r="AF531" s="648" t="n">
        <v>0</v>
      </c>
      <c r="AG531" s="648" t="n">
        <v>0</v>
      </c>
      <c r="AH531" s="648" t="n">
        <v>0</v>
      </c>
      <c r="AI531" s="648" t="n">
        <v>0</v>
      </c>
      <c r="AJ531" s="648" t="n">
        <v>1</v>
      </c>
      <c r="AK531" s="648" t="n">
        <v>0</v>
      </c>
      <c r="AL531" s="648" t="n">
        <v>0</v>
      </c>
      <c r="AM531" s="421">
        <f>SUM(AB531:AL535)</f>
        <v/>
      </c>
      <c r="AN531" s="726" t="n"/>
      <c r="AQ531" s="1238">
        <f>IFERROR(I531/J531*100,"0")</f>
        <v/>
      </c>
      <c r="AR531" s="343">
        <f>IFERROR(1/(1-(AQ531/100)),"0")</f>
        <v/>
      </c>
      <c r="AS531" s="1239" t="n">
        <v>0</v>
      </c>
      <c r="AT531" s="345" t="n">
        <v>1</v>
      </c>
      <c r="AU531" s="1240" t="n"/>
      <c r="AV531" s="1241" t="n"/>
      <c r="AW531" s="1242">
        <f>+H531-AV531</f>
        <v/>
      </c>
    </row>
    <row r="532" ht="17.25" customHeight="1">
      <c r="A532" s="973" t="n"/>
      <c r="B532" s="971" t="n"/>
      <c r="C532" s="972" t="n"/>
      <c r="D532" s="973" t="n"/>
      <c r="E532" s="973" t="n"/>
      <c r="F532" s="994" t="n"/>
      <c r="G532" s="994" t="n"/>
      <c r="H532" s="973" t="n"/>
      <c r="I532" s="973" t="n"/>
      <c r="J532" s="973" t="n"/>
      <c r="K532" s="973" t="n"/>
      <c r="L532" s="253" t="n">
        <v>217</v>
      </c>
      <c r="M532" s="254" t="inlineStr">
        <is>
          <t>AB202403009</t>
        </is>
      </c>
      <c r="N532" s="254" t="inlineStr">
        <is>
          <t>Sinovac</t>
        </is>
      </c>
      <c r="O532" s="1183" t="inlineStr">
        <is>
          <t>04/09/2027</t>
        </is>
      </c>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73" t="n"/>
      <c r="E533" s="973" t="n"/>
      <c r="F533" s="994" t="n"/>
      <c r="G533" s="994" t="n"/>
      <c r="H533" s="973" t="n"/>
      <c r="I533" s="973" t="n"/>
      <c r="J533" s="973" t="n"/>
      <c r="K533" s="973" t="n"/>
      <c r="L533" s="253" t="n">
        <v>72</v>
      </c>
      <c r="M533" s="254" t="inlineStr">
        <is>
          <t>AB202403008</t>
        </is>
      </c>
      <c r="N533" s="254" t="inlineStr">
        <is>
          <t>Sinovac</t>
        </is>
      </c>
      <c r="O533" s="1183" t="inlineStr">
        <is>
          <t>04/09/2027</t>
        </is>
      </c>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73" t="n"/>
      <c r="E534" s="973" t="n"/>
      <c r="F534" s="994" t="n"/>
      <c r="G534" s="994" t="n"/>
      <c r="H534" s="973" t="n"/>
      <c r="I534" s="973" t="n"/>
      <c r="J534" s="973" t="n"/>
      <c r="K534" s="973" t="n"/>
      <c r="L534" s="253" t="n"/>
      <c r="M534" s="254" t="n"/>
      <c r="N534" s="254" t="n"/>
      <c r="O534" s="1183" t="n"/>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73" t="n"/>
      <c r="E535" s="973" t="n"/>
      <c r="F535" s="994" t="n"/>
      <c r="G535" s="994" t="n"/>
      <c r="H535" s="973" t="n"/>
      <c r="I535" s="973" t="n"/>
      <c r="J535" s="973" t="n"/>
      <c r="K535" s="975" t="n"/>
      <c r="L535" s="253" t="n"/>
      <c r="M535" s="254" t="n"/>
      <c r="N535" s="254" t="n"/>
      <c r="O535" s="1183" t="n"/>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75" t="n"/>
      <c r="E536" s="975" t="n"/>
      <c r="F536" s="998" t="n"/>
      <c r="G536" s="998" t="n"/>
      <c r="H536" s="975" t="n"/>
      <c r="I536" s="975" t="n"/>
      <c r="J536" s="975" t="n"/>
      <c r="K536" s="1189">
        <f>K531=L536</f>
        <v/>
      </c>
      <c r="L536" s="491">
        <f>SUM(L531:L535)</f>
        <v/>
      </c>
      <c r="M536" s="1190" t="inlineStr">
        <is>
          <t xml:space="preserve">“Verdadero” indica que la cantidad por lote, coincide con el saldo que inicia al mes siguiente. "Falso" no coinicide. </t>
        </is>
      </c>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413">
        <f>MARZO!K537</f>
        <v/>
      </c>
      <c r="E537" s="339">
        <f>H133</f>
        <v/>
      </c>
      <c r="F537" s="338" t="n">
        <v>1388</v>
      </c>
      <c r="G537" s="338" t="n">
        <v>27</v>
      </c>
      <c r="H537" s="1235">
        <f>+F537+G537</f>
        <v/>
      </c>
      <c r="I537" s="340">
        <f>+AM537</f>
        <v/>
      </c>
      <c r="J537" s="341">
        <f>+H537+I537</f>
        <v/>
      </c>
      <c r="K537" s="583">
        <f>+(D537+E537)-(J537)</f>
        <v/>
      </c>
      <c r="L537" s="253" t="n">
        <v>1378</v>
      </c>
      <c r="M537" s="254" t="inlineStr">
        <is>
          <t>BB202506051</t>
        </is>
      </c>
      <c r="N537" s="254" t="inlineStr">
        <is>
          <t>Sinovac</t>
        </is>
      </c>
      <c r="O537" s="1183" t="inlineStr">
        <is>
          <t>12/06/2027</t>
        </is>
      </c>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v>0</v>
      </c>
      <c r="AA537" s="648" t="n">
        <v>0</v>
      </c>
      <c r="AB537" s="649">
        <f>+Z537+AA537</f>
        <v/>
      </c>
      <c r="AC537" s="648" t="n">
        <v>0</v>
      </c>
      <c r="AD537" s="648" t="n">
        <v>1</v>
      </c>
      <c r="AE537" s="648" t="n">
        <v>0</v>
      </c>
      <c r="AF537" s="648" t="n">
        <v>0</v>
      </c>
      <c r="AG537" s="648" t="n">
        <v>0</v>
      </c>
      <c r="AH537" s="648" t="n">
        <v>0</v>
      </c>
      <c r="AI537" s="648" t="n">
        <v>0</v>
      </c>
      <c r="AJ537" s="648" t="n">
        <v>0</v>
      </c>
      <c r="AK537" s="648" t="n">
        <v>0</v>
      </c>
      <c r="AL537" s="648" t="n">
        <v>0</v>
      </c>
      <c r="AM537" s="421">
        <f>SUM(AB537:AL541)</f>
        <v/>
      </c>
      <c r="AN537" s="726" t="n"/>
      <c r="AQ537" s="1238">
        <f>IFERROR(I537/J537*100,"0")</f>
        <v/>
      </c>
      <c r="AR537" s="343">
        <f>IFERROR(1/(1-(AQ537/100)),"0")</f>
        <v/>
      </c>
      <c r="AS537" s="1239" t="n">
        <v>0</v>
      </c>
      <c r="AT537" s="345" t="n">
        <v>1</v>
      </c>
      <c r="AU537" s="1240" t="n"/>
      <c r="AV537" s="1241" t="n"/>
      <c r="AW537" s="1242">
        <f>+H537-AV537</f>
        <v/>
      </c>
    </row>
    <row r="538" ht="17.25" customHeight="1">
      <c r="A538" s="973" t="n"/>
      <c r="B538" s="971" t="n"/>
      <c r="C538" s="972" t="n"/>
      <c r="D538" s="973" t="n"/>
      <c r="E538" s="973" t="n"/>
      <c r="F538" s="994" t="n"/>
      <c r="G538" s="994" t="n"/>
      <c r="H538" s="973" t="n"/>
      <c r="I538" s="973" t="n"/>
      <c r="J538" s="973" t="n"/>
      <c r="K538" s="973" t="n"/>
      <c r="L538" s="253" t="n">
        <v>174</v>
      </c>
      <c r="M538" s="254" t="inlineStr">
        <is>
          <t>BB202506052</t>
        </is>
      </c>
      <c r="N538" s="254" t="inlineStr">
        <is>
          <t>Sinovac</t>
        </is>
      </c>
      <c r="O538" s="1183" t="inlineStr">
        <is>
          <t>16/06/2027</t>
        </is>
      </c>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73" t="n"/>
      <c r="E539" s="973" t="n"/>
      <c r="F539" s="994" t="n"/>
      <c r="G539" s="994" t="n"/>
      <c r="H539" s="973" t="n"/>
      <c r="I539" s="973" t="n"/>
      <c r="J539" s="973" t="n"/>
      <c r="K539" s="973" t="n"/>
      <c r="L539" s="253" t="n">
        <v>17</v>
      </c>
      <c r="M539" s="254" t="inlineStr">
        <is>
          <t>Y018866</t>
        </is>
      </c>
      <c r="N539" s="254" t="inlineStr">
        <is>
          <t>MSD</t>
        </is>
      </c>
      <c r="O539" s="1183" t="inlineStr">
        <is>
          <t>13/11/2026</t>
        </is>
      </c>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73" t="n"/>
      <c r="E540" s="973" t="n"/>
      <c r="F540" s="994" t="n"/>
      <c r="G540" s="994" t="n"/>
      <c r="H540" s="973" t="n"/>
      <c r="I540" s="973" t="n"/>
      <c r="J540" s="973" t="n"/>
      <c r="K540" s="973" t="n"/>
      <c r="L540" s="253" t="n">
        <v>3</v>
      </c>
      <c r="M540" s="254" t="inlineStr">
        <is>
          <t>Z002927</t>
        </is>
      </c>
      <c r="N540" s="254" t="inlineStr">
        <is>
          <t>MSD</t>
        </is>
      </c>
      <c r="O540" s="1183" t="inlineStr">
        <is>
          <t>14/01/2027</t>
        </is>
      </c>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73" t="n"/>
      <c r="E541" s="973" t="n"/>
      <c r="F541" s="994" t="n"/>
      <c r="G541" s="994" t="n"/>
      <c r="H541" s="973" t="n"/>
      <c r="I541" s="973" t="n"/>
      <c r="J541" s="973" t="n"/>
      <c r="K541" s="975" t="n"/>
      <c r="L541" s="253" t="n"/>
      <c r="M541" s="254" t="n"/>
      <c r="N541" s="254" t="n"/>
      <c r="O541" s="1183" t="n"/>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75" t="n"/>
      <c r="E542" s="975" t="n"/>
      <c r="F542" s="998" t="n"/>
      <c r="G542" s="998" t="n"/>
      <c r="H542" s="975" t="n"/>
      <c r="I542" s="975" t="n"/>
      <c r="J542" s="975" t="n"/>
      <c r="K542" s="1189">
        <f>K537=L542</f>
        <v/>
      </c>
      <c r="L542" s="491">
        <f>SUM(L537:L541)</f>
        <v/>
      </c>
      <c r="M542" s="1190" t="inlineStr">
        <is>
          <t xml:space="preserve">“Verdadero” indica que la cantidad por lote, coincide con el saldo que inicia al mes siguiente. "Falso" no coinicide. </t>
        </is>
      </c>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413">
        <f>MARZO!K543</f>
        <v/>
      </c>
      <c r="E543" s="339">
        <f>H139</f>
        <v/>
      </c>
      <c r="F543" s="338" t="n">
        <v>0</v>
      </c>
      <c r="G543" s="338" t="n">
        <v>0</v>
      </c>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v>0</v>
      </c>
      <c r="AA543" s="648" t="n">
        <v>0</v>
      </c>
      <c r="AB543" s="649">
        <f>+Z543+AA543</f>
        <v/>
      </c>
      <c r="AC543" s="648" t="n">
        <v>0</v>
      </c>
      <c r="AD543" s="648" t="n">
        <v>0</v>
      </c>
      <c r="AE543" s="648" t="n">
        <v>0</v>
      </c>
      <c r="AF543" s="648" t="n">
        <v>0</v>
      </c>
      <c r="AG543" s="648" t="n">
        <v>0</v>
      </c>
      <c r="AH543" s="648" t="n">
        <v>0</v>
      </c>
      <c r="AI543" s="648" t="n">
        <v>0</v>
      </c>
      <c r="AJ543" s="648" t="n">
        <v>0</v>
      </c>
      <c r="AK543" s="648" t="n">
        <v>0</v>
      </c>
      <c r="AL543" s="648" t="n">
        <v>0</v>
      </c>
      <c r="AM543" s="421">
        <f>SUM(AB543:AL547)</f>
        <v/>
      </c>
      <c r="AN543" s="726" t="n"/>
      <c r="AQ543" s="1238">
        <f>IFERROR(I543/J543*100,"0")</f>
        <v/>
      </c>
      <c r="AR543" s="343">
        <f>IFERROR(1/(1-(AQ543/100)),"0")</f>
        <v/>
      </c>
      <c r="AS543" s="1239" t="n">
        <v>0</v>
      </c>
      <c r="AT543" s="345" t="n">
        <v>1</v>
      </c>
      <c r="AU543" s="1240" t="n"/>
      <c r="AV543" s="1241" t="n"/>
      <c r="AW543" s="1242">
        <f>+H543-AV543</f>
        <v/>
      </c>
    </row>
    <row r="544" ht="17.25" customHeight="1">
      <c r="A544" s="973" t="n"/>
      <c r="B544" s="971" t="n"/>
      <c r="C544" s="972" t="n"/>
      <c r="D544" s="973"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73"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73"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73"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75" t="n"/>
      <c r="E548" s="975" t="n"/>
      <c r="F548" s="998" t="n"/>
      <c r="G548" s="998" t="n"/>
      <c r="H548" s="975" t="n"/>
      <c r="I548" s="975" t="n"/>
      <c r="J548" s="975" t="n"/>
      <c r="K548" s="1189">
        <f>K543=L548</f>
        <v/>
      </c>
      <c r="L548" s="491">
        <f>SUM(L543:L547)</f>
        <v/>
      </c>
      <c r="M548" s="1190" t="inlineStr">
        <is>
          <t xml:space="preserve">“Verdadero” indica que la cantidad por lote, coincide con el saldo que inicia al mes siguiente. "Falso" no coinicide. </t>
        </is>
      </c>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413">
        <f>MARZO!K549</f>
        <v/>
      </c>
      <c r="E549" s="339">
        <f>H145</f>
        <v/>
      </c>
      <c r="F549" s="338" t="n">
        <v>1257</v>
      </c>
      <c r="G549" s="338" t="n">
        <v>22</v>
      </c>
      <c r="H549" s="1235">
        <f>+F549+G549</f>
        <v/>
      </c>
      <c r="I549" s="340">
        <f>+AM549</f>
        <v/>
      </c>
      <c r="J549" s="341">
        <f>+H549+I549</f>
        <v/>
      </c>
      <c r="K549" s="583">
        <f>+(D549+E549)-(J549)</f>
        <v/>
      </c>
      <c r="L549" s="253" t="n">
        <v>900</v>
      </c>
      <c r="M549" s="254" t="inlineStr">
        <is>
          <t>2334L010B</t>
        </is>
      </c>
      <c r="N549" s="254" t="inlineStr">
        <is>
          <t>Serum</t>
        </is>
      </c>
      <c r="O549" s="1183" t="inlineStr">
        <is>
          <t>31/01/2027</t>
        </is>
      </c>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v>87</v>
      </c>
      <c r="AA549" s="648" t="n">
        <v>116</v>
      </c>
      <c r="AB549" s="649">
        <f>+Z549+AA549</f>
        <v/>
      </c>
      <c r="AC549" s="648" t="n">
        <v>0</v>
      </c>
      <c r="AD549" s="648" t="n">
        <v>0</v>
      </c>
      <c r="AE549" s="648" t="n">
        <v>0</v>
      </c>
      <c r="AF549" s="648" t="n">
        <v>0</v>
      </c>
      <c r="AG549" s="648" t="n">
        <v>0</v>
      </c>
      <c r="AH549" s="648" t="n">
        <v>0</v>
      </c>
      <c r="AI549" s="648" t="n">
        <v>0</v>
      </c>
      <c r="AJ549" s="648" t="n">
        <v>0</v>
      </c>
      <c r="AK549" s="648" t="n">
        <v>0</v>
      </c>
      <c r="AL549" s="648" t="n">
        <v>0</v>
      </c>
      <c r="AM549" s="421">
        <f>SUM(AB549:AL553)</f>
        <v/>
      </c>
      <c r="AN549" s="726" t="n"/>
      <c r="AQ549" s="1238">
        <f>IFERROR(I549/J549*100,"0")</f>
        <v/>
      </c>
      <c r="AR549" s="343">
        <f>IFERROR(1/(1-(AQ549/100)),"0")</f>
        <v/>
      </c>
      <c r="AS549" s="1239" t="n">
        <v>15</v>
      </c>
      <c r="AT549" s="345" t="n">
        <v>10</v>
      </c>
      <c r="AU549" s="1240" t="n"/>
      <c r="AV549" s="1241" t="n"/>
      <c r="AW549" s="1242">
        <f>+H549-AV549</f>
        <v/>
      </c>
    </row>
    <row r="550" ht="17.25" customHeight="1">
      <c r="A550" s="973" t="n"/>
      <c r="B550" s="971" t="n"/>
      <c r="C550" s="972" t="n"/>
      <c r="D550" s="973" t="n"/>
      <c r="E550" s="973" t="n"/>
      <c r="F550" s="994" t="n"/>
      <c r="G550" s="994" t="n"/>
      <c r="H550" s="973" t="n"/>
      <c r="I550" s="973" t="n"/>
      <c r="J550" s="973" t="n"/>
      <c r="K550" s="973" t="n"/>
      <c r="L550" s="253" t="n">
        <v>658</v>
      </c>
      <c r="M550" s="254" t="inlineStr">
        <is>
          <t>2334L016E</t>
        </is>
      </c>
      <c r="N550" s="254" t="inlineStr">
        <is>
          <t>Serum</t>
        </is>
      </c>
      <c r="O550" s="1183" t="inlineStr">
        <is>
          <t>31/03/2027</t>
        </is>
      </c>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73" t="n"/>
      <c r="E551" s="973" t="n"/>
      <c r="F551" s="994" t="n"/>
      <c r="G551" s="994" t="n"/>
      <c r="H551" s="973" t="n"/>
      <c r="I551" s="973" t="n"/>
      <c r="J551" s="973" t="n"/>
      <c r="K551" s="973" t="n"/>
      <c r="L551" s="253" t="n">
        <v>170</v>
      </c>
      <c r="M551" s="254" t="inlineStr">
        <is>
          <t>PAPELERIA</t>
        </is>
      </c>
      <c r="N551" s="254" t="inlineStr">
        <is>
          <t>Imprenta Nacional de Colombia</t>
        </is>
      </c>
      <c r="O551" s="1183" t="inlineStr">
        <is>
          <t>31/12/2030</t>
        </is>
      </c>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73" t="n"/>
      <c r="E552" s="973" t="n"/>
      <c r="F552" s="994" t="n"/>
      <c r="G552" s="994" t="n"/>
      <c r="H552" s="973" t="n"/>
      <c r="I552" s="973" t="n"/>
      <c r="J552" s="973" t="n"/>
      <c r="K552" s="973" t="n"/>
      <c r="L552" s="253" t="n">
        <v>18</v>
      </c>
      <c r="M552" s="254" t="inlineStr">
        <is>
          <t>2334X006A</t>
        </is>
      </c>
      <c r="N552" s="254" t="inlineStr">
        <is>
          <t>Serum</t>
        </is>
      </c>
      <c r="O552" s="1183" t="inlineStr">
        <is>
          <t>31/12/2026</t>
        </is>
      </c>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73" t="n"/>
      <c r="E553" s="973" t="n"/>
      <c r="F553" s="994" t="n"/>
      <c r="G553" s="994" t="n"/>
      <c r="H553" s="973" t="n"/>
      <c r="I553" s="973" t="n"/>
      <c r="J553" s="973" t="n"/>
      <c r="K553" s="975" t="n"/>
      <c r="L553" s="253" t="n">
        <v>16</v>
      </c>
      <c r="M553" s="254" t="inlineStr">
        <is>
          <t>2333X043B</t>
        </is>
      </c>
      <c r="N553" s="254" t="inlineStr">
        <is>
          <t>Serum</t>
        </is>
      </c>
      <c r="O553" s="1183" t="inlineStr">
        <is>
          <t>31/10/2026</t>
        </is>
      </c>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75" t="n"/>
      <c r="E554" s="975" t="n"/>
      <c r="F554" s="998" t="n"/>
      <c r="G554" s="998" t="n"/>
      <c r="H554" s="975" t="n"/>
      <c r="I554" s="975" t="n"/>
      <c r="J554" s="975" t="n"/>
      <c r="K554" s="1189">
        <f>K549=L554</f>
        <v/>
      </c>
      <c r="L554" s="491">
        <f>SUM(L549:L553)</f>
        <v/>
      </c>
      <c r="M554" s="1190" t="inlineStr">
        <is>
          <t xml:space="preserve">“Verdadero” indica que la cantidad por lote, coincide con el saldo que inicia al mes siguiente. "Falso" no coinicide. </t>
        </is>
      </c>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413">
        <f>MARZO!K555</f>
        <v/>
      </c>
      <c r="E555" s="339">
        <f>H151</f>
        <v/>
      </c>
      <c r="F555" s="338" t="n">
        <v>589</v>
      </c>
      <c r="G555" s="338" t="n">
        <v>36</v>
      </c>
      <c r="H555" s="1235">
        <f>+F555+G555</f>
        <v/>
      </c>
      <c r="I555" s="340">
        <f>+AM555</f>
        <v/>
      </c>
      <c r="J555" s="341">
        <f>+H555+I555</f>
        <v/>
      </c>
      <c r="K555" s="583">
        <f>+(D555+E555)-(J555)</f>
        <v/>
      </c>
      <c r="L555" s="253" t="n">
        <v>1104</v>
      </c>
      <c r="M555" s="254" t="inlineStr">
        <is>
          <t>5DA79D1</t>
        </is>
      </c>
      <c r="N555" s="254" t="inlineStr">
        <is>
          <t>Sanofi Pasteur</t>
        </is>
      </c>
      <c r="O555" s="1183" t="inlineStr">
        <is>
          <t>30/09/2028</t>
        </is>
      </c>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v>0</v>
      </c>
      <c r="AA555" s="648" t="n">
        <v>0</v>
      </c>
      <c r="AB555" s="649">
        <f>+Z555+AA555</f>
        <v/>
      </c>
      <c r="AC555" s="648" t="n">
        <v>0</v>
      </c>
      <c r="AD555" s="648" t="n">
        <v>0</v>
      </c>
      <c r="AE555" s="648" t="n">
        <v>0</v>
      </c>
      <c r="AF555" s="648" t="n">
        <v>0</v>
      </c>
      <c r="AG555" s="648" t="n">
        <v>0</v>
      </c>
      <c r="AH555" s="648" t="n">
        <v>0</v>
      </c>
      <c r="AI555" s="648" t="n">
        <v>0</v>
      </c>
      <c r="AJ555" s="648" t="n">
        <v>0</v>
      </c>
      <c r="AK555" s="648" t="n">
        <v>0</v>
      </c>
      <c r="AL555" s="648" t="n">
        <v>0</v>
      </c>
      <c r="AM555" s="421">
        <f>SUM(AB555:AL559)</f>
        <v/>
      </c>
      <c r="AN555" s="726" t="n"/>
      <c r="AQ555" s="1238">
        <f>IFERROR(I555/J555*100,"0")</f>
        <v/>
      </c>
      <c r="AR555" s="343">
        <f>IFERROR(1/(1-(AQ555/100)),"0")</f>
        <v/>
      </c>
      <c r="AS555" s="1239" t="n">
        <v>0</v>
      </c>
      <c r="AT555" s="345" t="n">
        <v>1</v>
      </c>
      <c r="AU555" s="1240" t="n"/>
      <c r="AV555" s="1241" t="n"/>
      <c r="AW555" s="1242">
        <f>+H555-AV555</f>
        <v/>
      </c>
    </row>
    <row r="556" ht="17.25" customHeight="1">
      <c r="A556" s="973" t="n"/>
      <c r="B556" s="971" t="n"/>
      <c r="C556" s="972" t="n"/>
      <c r="D556" s="973" t="n"/>
      <c r="E556" s="973" t="n"/>
      <c r="F556" s="994" t="n"/>
      <c r="G556" s="994" t="n"/>
      <c r="H556" s="973" t="n"/>
      <c r="I556" s="973" t="n"/>
      <c r="J556" s="973" t="n"/>
      <c r="K556" s="973" t="n"/>
      <c r="L556" s="253" t="n">
        <v>193</v>
      </c>
      <c r="M556" s="254" t="inlineStr">
        <is>
          <t>3CA50C1</t>
        </is>
      </c>
      <c r="N556" s="254" t="inlineStr">
        <is>
          <t>Sanofi Pasteur</t>
        </is>
      </c>
      <c r="O556" s="1183" t="inlineStr">
        <is>
          <t>30/09/2027</t>
        </is>
      </c>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73" t="n"/>
      <c r="E557" s="973" t="n"/>
      <c r="F557" s="994" t="n"/>
      <c r="G557" s="994" t="n"/>
      <c r="H557" s="973" t="n"/>
      <c r="I557" s="973" t="n"/>
      <c r="J557" s="973" t="n"/>
      <c r="K557" s="973" t="n"/>
      <c r="L557" s="253" t="n"/>
      <c r="M557" s="254" t="n"/>
      <c r="N557" s="254" t="n"/>
      <c r="O557" s="1183" t="n"/>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73" t="n"/>
      <c r="E558" s="973" t="n"/>
      <c r="F558" s="994" t="n"/>
      <c r="G558" s="994" t="n"/>
      <c r="H558" s="973" t="n"/>
      <c r="I558" s="973" t="n"/>
      <c r="J558" s="973" t="n"/>
      <c r="K558" s="973" t="n"/>
      <c r="L558" s="253" t="n"/>
      <c r="M558" s="254" t="n"/>
      <c r="N558" s="254" t="n"/>
      <c r="O558" s="1183" t="n"/>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73"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75" t="n"/>
      <c r="E560" s="975" t="n"/>
      <c r="F560" s="998" t="n"/>
      <c r="G560" s="998" t="n"/>
      <c r="H560" s="975" t="n"/>
      <c r="I560" s="975" t="n"/>
      <c r="J560" s="975" t="n"/>
      <c r="K560" s="1189">
        <f>K555=L560</f>
        <v/>
      </c>
      <c r="L560" s="491">
        <f>SUM(L555:L559)</f>
        <v/>
      </c>
      <c r="M560" s="1190" t="inlineStr">
        <is>
          <t xml:space="preserve">“Verdadero” indica que la cantidad por lote, coincide con el saldo que inicia al mes siguiente. "Falso" no coinicide. </t>
        </is>
      </c>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66">
        <f>MARZO!K561</f>
        <v/>
      </c>
      <c r="E561" s="339">
        <f>H157</f>
        <v/>
      </c>
      <c r="F561" s="338" t="n">
        <v>769</v>
      </c>
      <c r="G561" s="338" t="n">
        <v>6</v>
      </c>
      <c r="H561" s="1235">
        <f>+F561+G561</f>
        <v/>
      </c>
      <c r="I561" s="340">
        <f>+AM561</f>
        <v/>
      </c>
      <c r="J561" s="341">
        <f>+H561+I561</f>
        <v/>
      </c>
      <c r="K561" s="583">
        <f>+(D561-D564+D565)+E561-J561</f>
        <v/>
      </c>
      <c r="L561" s="253" t="n">
        <v>4495</v>
      </c>
      <c r="M561" s="254" t="inlineStr">
        <is>
          <t>2600761-00</t>
        </is>
      </c>
      <c r="N561" s="254" t="inlineStr">
        <is>
          <t>BUTANTAN</t>
        </is>
      </c>
      <c r="O561" s="1183" t="inlineStr">
        <is>
          <t>31/01/2027</t>
        </is>
      </c>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v>52</v>
      </c>
      <c r="AA561" s="648" t="n">
        <v>98</v>
      </c>
      <c r="AB561" s="649">
        <f>+Z561+AA561</f>
        <v/>
      </c>
      <c r="AC561" s="648" t="n">
        <v>0</v>
      </c>
      <c r="AD561" s="648" t="n">
        <v>0</v>
      </c>
      <c r="AE561" s="648" t="n">
        <v>0</v>
      </c>
      <c r="AF561" s="648" t="n">
        <v>0</v>
      </c>
      <c r="AG561" s="648" t="n">
        <v>0</v>
      </c>
      <c r="AH561" s="648" t="n">
        <v>0</v>
      </c>
      <c r="AI561" s="648" t="n">
        <v>0</v>
      </c>
      <c r="AJ561" s="648" t="n">
        <v>0</v>
      </c>
      <c r="AK561" s="648" t="n">
        <v>0</v>
      </c>
      <c r="AL561" s="648" t="n">
        <v>0</v>
      </c>
      <c r="AM561" s="421">
        <f>SUM(AB561:AL565)</f>
        <v/>
      </c>
      <c r="AN561" s="726" t="n"/>
      <c r="AQ561" s="1238">
        <f>IFERROR(I561/J561*100,"0")</f>
        <v/>
      </c>
      <c r="AR561" s="343">
        <f>IFERROR(1/(1-(AQ561/100)),"0")</f>
        <v/>
      </c>
      <c r="AS561" s="1239" t="n">
        <v>15</v>
      </c>
      <c r="AT561" s="345" t="n">
        <v>20</v>
      </c>
      <c r="AU561" s="1240" t="n"/>
      <c r="AV561" s="1241" t="n"/>
      <c r="AW561" s="1242">
        <f>+H561-AV561</f>
        <v/>
      </c>
    </row>
    <row r="562" ht="19.5" customHeight="1">
      <c r="A562" s="973" t="n"/>
      <c r="B562" s="971" t="n"/>
      <c r="C562" s="972" t="n"/>
      <c r="D562" s="973" t="n"/>
      <c r="E562" s="973" t="n"/>
      <c r="F562" s="994" t="n"/>
      <c r="G562" s="994" t="n"/>
      <c r="H562" s="973" t="n"/>
      <c r="I562" s="973" t="n"/>
      <c r="J562" s="973" t="n"/>
      <c r="K562" s="973" t="n"/>
      <c r="L562" s="253" t="n"/>
      <c r="M562" s="254" t="n"/>
      <c r="N562" s="254" t="n"/>
      <c r="O562" s="1183" t="n"/>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75" t="n"/>
      <c r="E563" s="973" t="n"/>
      <c r="F563" s="994" t="n"/>
      <c r="G563" s="994" t="n"/>
      <c r="H563" s="973" t="n"/>
      <c r="I563" s="973" t="n"/>
      <c r="J563" s="973" t="n"/>
      <c r="K563" s="973" t="n"/>
      <c r="L563" s="253" t="n"/>
      <c r="M563" s="254" t="n"/>
      <c r="N563" s="254" t="n"/>
      <c r="O563" s="1183" t="n"/>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c r="M564" s="254" t="n"/>
      <c r="N564" s="254" t="n"/>
      <c r="O564" s="1183" t="n"/>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inlineStr">
        <is>
          <t xml:space="preserve">“Verdadero” indica que la cantidad por lote, coincide con el saldo que inicia al mes siguiente. "Falso" no coinicide. </t>
        </is>
      </c>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66">
        <f>MARZO!K567</f>
        <v/>
      </c>
      <c r="E567" s="1244">
        <f>H163</f>
        <v/>
      </c>
      <c r="F567" s="338" t="n">
        <v>4468</v>
      </c>
      <c r="G567" s="338" t="n">
        <v>49</v>
      </c>
      <c r="H567" s="1235">
        <f>+F567+G567</f>
        <v/>
      </c>
      <c r="I567" s="340">
        <f>+AM567</f>
        <v/>
      </c>
      <c r="J567" s="341">
        <f>+H567+I567</f>
        <v/>
      </c>
      <c r="K567" s="583">
        <f>(D567-D570+D571+E567)-(J567)</f>
        <v/>
      </c>
      <c r="L567" s="253" t="n">
        <v>22340</v>
      </c>
      <c r="M567" s="254" t="inlineStr">
        <is>
          <t>V50526002</t>
        </is>
      </c>
      <c r="N567" s="254" t="inlineStr">
        <is>
          <t>GC BIOPHARMA CORP</t>
        </is>
      </c>
      <c r="O567" s="1183" t="inlineStr">
        <is>
          <t>29/01/2027</t>
        </is>
      </c>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v>0</v>
      </c>
      <c r="AA567" s="648" t="n">
        <v>103</v>
      </c>
      <c r="AB567" s="649">
        <f>+Z567+AA567</f>
        <v/>
      </c>
      <c r="AC567" s="648" t="n">
        <v>0</v>
      </c>
      <c r="AD567" s="648" t="n">
        <v>0</v>
      </c>
      <c r="AE567" s="648" t="n">
        <v>0</v>
      </c>
      <c r="AF567" s="648" t="n">
        <v>0</v>
      </c>
      <c r="AG567" s="648" t="n">
        <v>0</v>
      </c>
      <c r="AH567" s="648" t="n">
        <v>0</v>
      </c>
      <c r="AI567" s="648" t="n">
        <v>0</v>
      </c>
      <c r="AJ567" s="648" t="n">
        <v>0</v>
      </c>
      <c r="AK567" s="648" t="n">
        <v>0</v>
      </c>
      <c r="AL567" s="648" t="n">
        <v>0</v>
      </c>
      <c r="AM567" s="421">
        <f>SUM(AB567:AL571)</f>
        <v/>
      </c>
      <c r="AN567" s="726" t="n"/>
      <c r="AQ567" s="1238">
        <f>IFERROR(I567/J567*100,"0")</f>
        <v/>
      </c>
      <c r="AR567" s="343">
        <f>IFERROR(1/(1-(AQ567/100)),"0")</f>
        <v/>
      </c>
      <c r="AS567" s="1239" t="n">
        <v>10</v>
      </c>
      <c r="AT567" s="345" t="n">
        <v>10</v>
      </c>
      <c r="AU567" s="1240" t="n"/>
      <c r="AV567" s="1241" t="n"/>
      <c r="AW567" s="1242">
        <f>+H567-AV567</f>
        <v/>
      </c>
    </row>
    <row r="568" ht="19.5" customHeight="1">
      <c r="A568" s="973" t="n"/>
      <c r="B568" s="971" t="n"/>
      <c r="C568" s="972" t="n"/>
      <c r="D568" s="973" t="n"/>
      <c r="E568" s="973" t="n"/>
      <c r="F568" s="994" t="n"/>
      <c r="G568" s="994" t="n"/>
      <c r="H568" s="973" t="n"/>
      <c r="I568" s="973" t="n"/>
      <c r="J568" s="973" t="n"/>
      <c r="K568" s="973" t="n"/>
      <c r="L568" s="253" t="n">
        <v>830</v>
      </c>
      <c r="M568" s="254" t="inlineStr">
        <is>
          <t>V50526006</t>
        </is>
      </c>
      <c r="N568" s="254" t="inlineStr">
        <is>
          <t>GC BIOPHARMA CORP</t>
        </is>
      </c>
      <c r="O568" s="1183" t="inlineStr">
        <is>
          <t>08/02/2027</t>
        </is>
      </c>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75" t="n"/>
      <c r="E569" s="973" t="n"/>
      <c r="F569" s="994" t="n"/>
      <c r="G569" s="994" t="n"/>
      <c r="H569" s="973" t="n"/>
      <c r="I569" s="973" t="n"/>
      <c r="J569" s="973" t="n"/>
      <c r="K569" s="973" t="n"/>
      <c r="L569" s="253" t="n">
        <v>1820</v>
      </c>
      <c r="M569" s="254" t="inlineStr">
        <is>
          <t>2600761-00</t>
        </is>
      </c>
      <c r="N569" s="254" t="inlineStr">
        <is>
          <t>BUTANTAN</t>
        </is>
      </c>
      <c r="O569" s="1183" t="inlineStr">
        <is>
          <t>31/01/2027</t>
        </is>
      </c>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c r="M570" s="254" t="n"/>
      <c r="N570" s="254" t="n"/>
      <c r="O570" s="1183" t="n"/>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inlineStr">
        <is>
          <t xml:space="preserve">“Verdadero” indica que la cantidad por lote, coincide con el saldo que inicia al mes siguiente. "Falso" no coinicide. </t>
        </is>
      </c>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413">
        <f>MARZO!K573</f>
        <v/>
      </c>
      <c r="E573" s="339">
        <f>H169</f>
        <v/>
      </c>
      <c r="F573" s="338" t="n">
        <v>493</v>
      </c>
      <c r="G573" s="338" t="n">
        <v>17</v>
      </c>
      <c r="H573" s="1235">
        <f>+F573+G573</f>
        <v/>
      </c>
      <c r="I573" s="340">
        <f>+AM573</f>
        <v/>
      </c>
      <c r="J573" s="341">
        <f>+H573+I573</f>
        <v/>
      </c>
      <c r="K573" s="583">
        <f>+(D573+E573)-(J573)</f>
        <v/>
      </c>
      <c r="L573" s="253" t="n">
        <v>230</v>
      </c>
      <c r="M573" s="254" t="inlineStr">
        <is>
          <t>NC6343</t>
        </is>
      </c>
      <c r="N573" s="254" t="inlineStr">
        <is>
          <t>PFIZER</t>
        </is>
      </c>
      <c r="O573" s="1183" t="inlineStr">
        <is>
          <t>31/10/2027</t>
        </is>
      </c>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v>1</v>
      </c>
      <c r="AA573" s="648" t="n">
        <v>0</v>
      </c>
      <c r="AB573" s="649">
        <f>+Z573+AA573</f>
        <v/>
      </c>
      <c r="AC573" s="648" t="n">
        <v>0</v>
      </c>
      <c r="AD573" s="648" t="n">
        <v>0</v>
      </c>
      <c r="AE573" s="648" t="n">
        <v>0</v>
      </c>
      <c r="AF573" s="648" t="n">
        <v>0</v>
      </c>
      <c r="AG573" s="648" t="n">
        <v>0</v>
      </c>
      <c r="AH573" s="648" t="n">
        <v>0</v>
      </c>
      <c r="AI573" s="648" t="n">
        <v>0</v>
      </c>
      <c r="AJ573" s="648" t="n">
        <v>0</v>
      </c>
      <c r="AK573" s="648" t="n">
        <v>0</v>
      </c>
      <c r="AL573" s="648" t="n">
        <v>1</v>
      </c>
      <c r="AM573" s="421">
        <f>SUM(AB573:AL577)</f>
        <v/>
      </c>
      <c r="AN573" s="726" t="n"/>
      <c r="AQ573" s="1238">
        <f>IFERROR(I573/J573*100,"0")</f>
        <v/>
      </c>
      <c r="AR573" s="343">
        <f>IFERROR(1/(1-(AQ573/100)),"0")</f>
        <v/>
      </c>
      <c r="AS573" s="1239" t="n">
        <v>0</v>
      </c>
      <c r="AT573" s="345" t="n">
        <v>1</v>
      </c>
      <c r="AU573" s="1240" t="n"/>
      <c r="AV573" s="1241" t="n"/>
      <c r="AW573" s="1242">
        <f>+H573-AV573</f>
        <v/>
      </c>
    </row>
    <row r="574" ht="17.25" customHeight="1">
      <c r="A574" s="973" t="n"/>
      <c r="B574" s="971" t="n"/>
      <c r="C574" s="972" t="n"/>
      <c r="D574" s="973" t="n"/>
      <c r="E574" s="973" t="n"/>
      <c r="F574" s="994" t="n"/>
      <c r="G574" s="994" t="n"/>
      <c r="H574" s="973" t="n"/>
      <c r="I574" s="973" t="n"/>
      <c r="J574" s="973" t="n"/>
      <c r="K574" s="973" t="n"/>
      <c r="L574" s="253" t="n">
        <v>194</v>
      </c>
      <c r="M574" s="254" t="inlineStr">
        <is>
          <t>MH8217</t>
        </is>
      </c>
      <c r="N574" s="254" t="inlineStr">
        <is>
          <t>PFIZER</t>
        </is>
      </c>
      <c r="O574" s="1183" t="inlineStr">
        <is>
          <t>30/06/2027</t>
        </is>
      </c>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73" t="n"/>
      <c r="E575" s="973" t="n"/>
      <c r="F575" s="994" t="n"/>
      <c r="G575" s="994" t="n"/>
      <c r="H575" s="973" t="n"/>
      <c r="I575" s="973" t="n"/>
      <c r="J575" s="973" t="n"/>
      <c r="K575" s="973" t="n"/>
      <c r="L575" s="253" t="n">
        <v>47</v>
      </c>
      <c r="M575" s="254" t="inlineStr">
        <is>
          <t>NJ0375</t>
        </is>
      </c>
      <c r="N575" s="254" t="inlineStr">
        <is>
          <t>PFIZER</t>
        </is>
      </c>
      <c r="O575" s="1183" t="inlineStr">
        <is>
          <t>31/01/2029</t>
        </is>
      </c>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73" t="n"/>
      <c r="E576" s="973" t="n"/>
      <c r="F576" s="994" t="n"/>
      <c r="G576" s="994" t="n"/>
      <c r="H576" s="973" t="n"/>
      <c r="I576" s="973" t="n"/>
      <c r="J576" s="973" t="n"/>
      <c r="K576" s="973" t="n"/>
      <c r="L576" s="253" t="n"/>
      <c r="M576" s="254" t="n"/>
      <c r="N576" s="254" t="n"/>
      <c r="O576" s="1183" t="inlineStr">
        <is>
          <t>21/02/2022</t>
        </is>
      </c>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73" t="n"/>
      <c r="E577" s="973" t="n"/>
      <c r="F577" s="994" t="n"/>
      <c r="G577" s="994" t="n"/>
      <c r="H577" s="973" t="n"/>
      <c r="I577" s="973" t="n"/>
      <c r="J577" s="973" t="n"/>
      <c r="K577" s="975" t="n"/>
      <c r="L577" s="253" t="n"/>
      <c r="M577" s="254" t="n"/>
      <c r="N577" s="254" t="n"/>
      <c r="O577" s="1183" t="n"/>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75" t="n"/>
      <c r="E578" s="975" t="n"/>
      <c r="F578" s="998" t="n"/>
      <c r="G578" s="998" t="n"/>
      <c r="H578" s="975" t="n"/>
      <c r="I578" s="975" t="n"/>
      <c r="J578" s="975" t="n"/>
      <c r="K578" s="1189">
        <f>K573=L578</f>
        <v/>
      </c>
      <c r="L578" s="491">
        <f>SUM(L573:L577)</f>
        <v/>
      </c>
      <c r="M578" s="1190" t="inlineStr">
        <is>
          <t xml:space="preserve">“Verdadero” indica que la cantidad por lote, coincide con el saldo que inicia al mes siguiente. "Falso" no coinicide. </t>
        </is>
      </c>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413">
        <f>MARZO!K579</f>
        <v/>
      </c>
      <c r="E579" s="339">
        <f>H175</f>
        <v/>
      </c>
      <c r="F579" s="338" t="n">
        <v>1161</v>
      </c>
      <c r="G579" s="338" t="n">
        <v>42</v>
      </c>
      <c r="H579" s="1235">
        <f>+F579+G579</f>
        <v/>
      </c>
      <c r="I579" s="340">
        <f>+AM579</f>
        <v/>
      </c>
      <c r="J579" s="341">
        <f>+H579+I579</f>
        <v/>
      </c>
      <c r="K579" s="583">
        <f>+(D579+E579)-(J579)</f>
        <v/>
      </c>
      <c r="L579" s="253" t="n">
        <v>1812</v>
      </c>
      <c r="M579" s="254" t="inlineStr">
        <is>
          <t>Y014828</t>
        </is>
      </c>
      <c r="N579" s="254" t="inlineStr">
        <is>
          <t>MERCK SHARP DOHME</t>
        </is>
      </c>
      <c r="O579" s="1183" t="inlineStr">
        <is>
          <t>31/05/2027</t>
        </is>
      </c>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v>0</v>
      </c>
      <c r="AA579" s="648" t="n">
        <v>0</v>
      </c>
      <c r="AB579" s="649">
        <f>+Z579+AA579</f>
        <v/>
      </c>
      <c r="AC579" s="648" t="n">
        <v>0</v>
      </c>
      <c r="AD579" s="648" t="n">
        <v>0</v>
      </c>
      <c r="AE579" s="648" t="n">
        <v>0</v>
      </c>
      <c r="AF579" s="648" t="n">
        <v>0</v>
      </c>
      <c r="AG579" s="648" t="n">
        <v>0</v>
      </c>
      <c r="AH579" s="648" t="n">
        <v>0</v>
      </c>
      <c r="AI579" s="648" t="n">
        <v>0</v>
      </c>
      <c r="AJ579" s="648" t="n">
        <v>0</v>
      </c>
      <c r="AK579" s="648" t="n">
        <v>0</v>
      </c>
      <c r="AL579" s="648" t="n">
        <v>0</v>
      </c>
      <c r="AM579" s="421">
        <f>SUM(AB579:AL583)</f>
        <v/>
      </c>
      <c r="AN579" s="726" t="n"/>
      <c r="AQ579" s="1238">
        <f>IFERROR(I579/J579*100,"0")</f>
        <v/>
      </c>
      <c r="AR579" s="343">
        <f>IFERROR(1/(1-(AQ579/100)),"0")</f>
        <v/>
      </c>
      <c r="AS579" s="1239" t="n">
        <v>0</v>
      </c>
      <c r="AT579" s="345" t="n">
        <v>1</v>
      </c>
      <c r="AU579" s="1240" t="n"/>
      <c r="AV579" s="1241" t="n"/>
      <c r="AW579" s="1242">
        <f>+H579-AV579</f>
        <v/>
      </c>
    </row>
    <row r="580" ht="17.25" customHeight="1">
      <c r="A580" s="973" t="n"/>
      <c r="B580" s="971" t="n"/>
      <c r="C580" s="972" t="n"/>
      <c r="D580" s="973" t="n"/>
      <c r="E580" s="973" t="n"/>
      <c r="F580" s="994" t="n"/>
      <c r="G580" s="994" t="n"/>
      <c r="H580" s="973" t="n"/>
      <c r="I580" s="973" t="n"/>
      <c r="J580" s="973" t="n"/>
      <c r="K580" s="973" t="n"/>
      <c r="L580" s="253" t="n">
        <v>653</v>
      </c>
      <c r="M580" s="254" t="inlineStr">
        <is>
          <t>Y017576</t>
        </is>
      </c>
      <c r="N580" s="254" t="inlineStr">
        <is>
          <t>MERCK SHARP DOHME</t>
        </is>
      </c>
      <c r="O580" s="1183" t="inlineStr">
        <is>
          <t>05/06/2027</t>
        </is>
      </c>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73" t="n"/>
      <c r="E581" s="973" t="n"/>
      <c r="F581" s="994" t="n"/>
      <c r="G581" s="994" t="n"/>
      <c r="H581" s="973" t="n"/>
      <c r="I581" s="973" t="n"/>
      <c r="J581" s="973" t="n"/>
      <c r="K581" s="973" t="n"/>
      <c r="L581" s="253" t="n">
        <v>73</v>
      </c>
      <c r="M581" s="254" t="inlineStr">
        <is>
          <t>Y004352</t>
        </is>
      </c>
      <c r="N581" s="254" t="inlineStr">
        <is>
          <t>MSD</t>
        </is>
      </c>
      <c r="O581" s="1183" t="inlineStr">
        <is>
          <t>31/03/2030</t>
        </is>
      </c>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73" t="n"/>
      <c r="E582" s="973" t="n"/>
      <c r="F582" s="994" t="n"/>
      <c r="G582" s="994" t="n"/>
      <c r="H582" s="973" t="n"/>
      <c r="I582" s="973" t="n"/>
      <c r="J582" s="973" t="n"/>
      <c r="K582" s="973" t="n"/>
      <c r="L582" s="253" t="n"/>
      <c r="M582" s="254" t="n"/>
      <c r="N582" s="254" t="n"/>
      <c r="O582" s="1183" t="n"/>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73"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75" t="n"/>
      <c r="E584" s="975" t="n"/>
      <c r="F584" s="998" t="n"/>
      <c r="G584" s="998" t="n"/>
      <c r="H584" s="975" t="n"/>
      <c r="I584" s="975" t="n"/>
      <c r="J584" s="975" t="n"/>
      <c r="K584" s="1189">
        <f>K579=L584</f>
        <v/>
      </c>
      <c r="L584" s="491">
        <f>SUM(L579:L583)</f>
        <v/>
      </c>
      <c r="M584" s="1190" t="inlineStr">
        <is>
          <t xml:space="preserve">“Verdadero” indica que la cantidad por lote, coincide con el saldo que inicia al mes siguiente. "Falso" no coinicide. </t>
        </is>
      </c>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413">
        <f>MARZO!K585</f>
        <v/>
      </c>
      <c r="E585" s="339">
        <f>H181</f>
        <v/>
      </c>
      <c r="F585" s="338" t="n">
        <v>0</v>
      </c>
      <c r="G585" s="338" t="n">
        <v>0</v>
      </c>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v>0</v>
      </c>
      <c r="AA585" s="648" t="n">
        <v>0</v>
      </c>
      <c r="AB585" s="649">
        <f>+Z585+AA585</f>
        <v/>
      </c>
      <c r="AC585" s="648" t="n">
        <v>0</v>
      </c>
      <c r="AD585" s="648" t="n">
        <v>0</v>
      </c>
      <c r="AE585" s="648" t="n">
        <v>0</v>
      </c>
      <c r="AF585" s="648" t="n">
        <v>0</v>
      </c>
      <c r="AG585" s="648" t="n">
        <v>0</v>
      </c>
      <c r="AH585" s="648" t="n">
        <v>0</v>
      </c>
      <c r="AI585" s="648" t="n">
        <v>0</v>
      </c>
      <c r="AJ585" s="648" t="n">
        <v>0</v>
      </c>
      <c r="AK585" s="648" t="n">
        <v>0</v>
      </c>
      <c r="AL585" s="648" t="n">
        <v>0</v>
      </c>
      <c r="AM585" s="421">
        <f>SUM(AB585:AL589)</f>
        <v/>
      </c>
      <c r="AN585" s="726" t="n"/>
      <c r="AQ585" s="1238">
        <f>IFERROR(I585/J585*100,"0")</f>
        <v/>
      </c>
      <c r="AR585" s="343">
        <f>IFERROR(1/(1-(AQ585/100)),"0")</f>
        <v/>
      </c>
      <c r="AS585" s="1239" t="n">
        <v>0</v>
      </c>
      <c r="AT585" s="345" t="n">
        <v>1</v>
      </c>
      <c r="AU585" s="1240" t="n"/>
      <c r="AV585" s="1241" t="n"/>
      <c r="AW585" s="1242">
        <f>+H585-AV585</f>
        <v/>
      </c>
    </row>
    <row r="586" ht="17.25" customHeight="1">
      <c r="A586" s="973" t="n"/>
      <c r="B586" s="971" t="n"/>
      <c r="C586" s="972" t="n"/>
      <c r="D586" s="973"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73"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73"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73"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75" t="n"/>
      <c r="E590" s="975" t="n"/>
      <c r="F590" s="998" t="n"/>
      <c r="G590" s="998" t="n"/>
      <c r="H590" s="975" t="n"/>
      <c r="I590" s="975" t="n"/>
      <c r="J590" s="975" t="n"/>
      <c r="K590" s="1189">
        <f>K585=L590</f>
        <v/>
      </c>
      <c r="L590" s="491">
        <f>SUM(L585:L589)</f>
        <v/>
      </c>
      <c r="M590" s="1190" t="inlineStr">
        <is>
          <t xml:space="preserve">“Verdadero” indica que la cantidad por lote, coincide con el saldo que inicia al mes siguiente. "Falso" no coinicide. </t>
        </is>
      </c>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413">
        <f>MARZO!K591</f>
        <v/>
      </c>
      <c r="E591" s="339">
        <f>H187</f>
        <v/>
      </c>
      <c r="F591" s="338" t="n">
        <v>364</v>
      </c>
      <c r="G591" s="338" t="n">
        <v>6</v>
      </c>
      <c r="H591" s="1235">
        <f>+F591+G591</f>
        <v/>
      </c>
      <c r="I591" s="340">
        <f>+AM591</f>
        <v/>
      </c>
      <c r="J591" s="341">
        <f>+H591+I591</f>
        <v/>
      </c>
      <c r="K591" s="583">
        <f>+(D591+E591)-(J591)</f>
        <v/>
      </c>
      <c r="L591" s="253" t="n">
        <v>471</v>
      </c>
      <c r="M591" s="254" t="inlineStr">
        <is>
          <t>1485T007</t>
        </is>
      </c>
      <c r="N591" s="254" t="inlineStr">
        <is>
          <t>Serum</t>
        </is>
      </c>
      <c r="O591" s="1183" t="inlineStr">
        <is>
          <t>31/01/2028</t>
        </is>
      </c>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v>0</v>
      </c>
      <c r="AA591" s="648" t="n">
        <v>0</v>
      </c>
      <c r="AB591" s="649">
        <f>+Z591+AA591</f>
        <v/>
      </c>
      <c r="AC591" s="648" t="n">
        <v>0</v>
      </c>
      <c r="AD591" s="648" t="n">
        <v>0</v>
      </c>
      <c r="AE591" s="648" t="n">
        <v>0</v>
      </c>
      <c r="AF591" s="648" t="n">
        <v>0</v>
      </c>
      <c r="AG591" s="648" t="n">
        <v>0</v>
      </c>
      <c r="AH591" s="648" t="n">
        <v>0</v>
      </c>
      <c r="AI591" s="648" t="n">
        <v>0</v>
      </c>
      <c r="AJ591" s="648" t="n">
        <v>0</v>
      </c>
      <c r="AK591" s="648" t="n">
        <v>0</v>
      </c>
      <c r="AL591" s="648" t="n">
        <v>0</v>
      </c>
      <c r="AM591" s="421">
        <f>SUM(AB591:AL595)</f>
        <v/>
      </c>
      <c r="AN591" s="726" t="n"/>
      <c r="AQ591" s="1238">
        <f>IFERROR(I591/J591*100,"0")</f>
        <v/>
      </c>
      <c r="AR591" s="343">
        <f>IFERROR(1/(1-(AQ591/100)),"0")</f>
        <v/>
      </c>
      <c r="AS591" s="1239" t="n">
        <v>0</v>
      </c>
      <c r="AT591" s="345" t="n">
        <v>1</v>
      </c>
      <c r="AU591" s="1240" t="n"/>
      <c r="AV591" s="1241" t="n"/>
      <c r="AW591" s="1242">
        <f>+H591-AV591</f>
        <v/>
      </c>
    </row>
    <row r="592" ht="17.25" customHeight="1">
      <c r="A592" s="973" t="n"/>
      <c r="B592" s="971" t="n"/>
      <c r="C592" s="972" t="n"/>
      <c r="D592" s="973" t="n"/>
      <c r="E592" s="973" t="n"/>
      <c r="F592" s="994" t="n"/>
      <c r="G592" s="994" t="n"/>
      <c r="H592" s="973" t="n"/>
      <c r="I592" s="973" t="n"/>
      <c r="J592" s="973" t="n"/>
      <c r="K592" s="973" t="n"/>
      <c r="L592" s="253" t="n">
        <v>239</v>
      </c>
      <c r="M592" s="254" t="inlineStr">
        <is>
          <t>1484T128</t>
        </is>
      </c>
      <c r="N592" s="254" t="inlineStr">
        <is>
          <t>Serum</t>
        </is>
      </c>
      <c r="O592" s="1183" t="inlineStr">
        <is>
          <t>31/10/2027</t>
        </is>
      </c>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73" t="n"/>
      <c r="E593" s="973" t="n"/>
      <c r="F593" s="994" t="n"/>
      <c r="G593" s="994" t="n"/>
      <c r="H593" s="973" t="n"/>
      <c r="I593" s="973" t="n"/>
      <c r="J593" s="973" t="n"/>
      <c r="K593" s="973" t="n"/>
      <c r="L593" s="253" t="n">
        <v>6</v>
      </c>
      <c r="M593" s="254" t="inlineStr">
        <is>
          <t>08AR25015</t>
        </is>
      </c>
      <c r="N593" s="254" t="inlineStr">
        <is>
          <t>VINS BIOPRODUCTS LIMITED</t>
        </is>
      </c>
      <c r="O593" s="1183" t="inlineStr">
        <is>
          <t>31/12/2030</t>
        </is>
      </c>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73" t="n"/>
      <c r="E594" s="973" t="n"/>
      <c r="F594" s="994" t="n"/>
      <c r="G594" s="994" t="n"/>
      <c r="H594" s="973" t="n"/>
      <c r="I594" s="973" t="n"/>
      <c r="J594" s="973" t="n"/>
      <c r="K594" s="973" t="n"/>
      <c r="L594" s="253" t="n">
        <v>5</v>
      </c>
      <c r="M594" s="254" t="inlineStr">
        <is>
          <t>Y1A06</t>
        </is>
      </c>
      <c r="N594" s="254" t="inlineStr">
        <is>
          <t>Sanofi Pasteur</t>
        </is>
      </c>
      <c r="O594" s="1183" t="inlineStr">
        <is>
          <t>31/05/2027</t>
        </is>
      </c>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73" t="n"/>
      <c r="E595" s="973" t="n"/>
      <c r="F595" s="994" t="n"/>
      <c r="G595" s="994" t="n"/>
      <c r="H595" s="973" t="n"/>
      <c r="I595" s="973" t="n"/>
      <c r="J595" s="973" t="n"/>
      <c r="K595" s="975" t="n"/>
      <c r="L595" s="253" t="n"/>
      <c r="M595" s="254" t="n"/>
      <c r="N595" s="254" t="n"/>
      <c r="O595" s="1183" t="n"/>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75" t="n"/>
      <c r="E596" s="975" t="n"/>
      <c r="F596" s="998" t="n"/>
      <c r="G596" s="998" t="n"/>
      <c r="H596" s="975" t="n"/>
      <c r="I596" s="975" t="n"/>
      <c r="J596" s="975" t="n"/>
      <c r="K596" s="1189">
        <f>K591=L596</f>
        <v/>
      </c>
      <c r="L596" s="491">
        <f>SUM(L591:L595)</f>
        <v/>
      </c>
      <c r="M596" s="1190" t="inlineStr">
        <is>
          <t xml:space="preserve">“Verdadero” indica que la cantidad por lote, coincide con el saldo que inicia al mes siguiente. "Falso" no coinicide. </t>
        </is>
      </c>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413">
        <f>MARZO!K597</f>
        <v/>
      </c>
      <c r="E597" s="339">
        <f>H193</f>
        <v/>
      </c>
      <c r="F597" s="338" t="n">
        <v>3</v>
      </c>
      <c r="G597" s="338" t="n">
        <v>0</v>
      </c>
      <c r="H597" s="1235">
        <f>+F597+G597</f>
        <v/>
      </c>
      <c r="I597" s="340">
        <f>+AM597</f>
        <v/>
      </c>
      <c r="J597" s="341">
        <f>+H597+I597</f>
        <v/>
      </c>
      <c r="K597" s="583">
        <f>+(D597+E597)-(J597)</f>
        <v/>
      </c>
      <c r="L597" s="253" t="n">
        <v>12</v>
      </c>
      <c r="M597" s="254" t="inlineStr">
        <is>
          <t>P100819448</t>
        </is>
      </c>
      <c r="N597" s="254" t="inlineStr">
        <is>
          <t>CSL BEHRING</t>
        </is>
      </c>
      <c r="O597" s="1183" t="inlineStr">
        <is>
          <t>24/03/2028</t>
        </is>
      </c>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v>0</v>
      </c>
      <c r="AA597" s="648" t="n">
        <v>0</v>
      </c>
      <c r="AB597" s="649">
        <f>+Z597+AA597</f>
        <v/>
      </c>
      <c r="AC597" s="648" t="n">
        <v>0</v>
      </c>
      <c r="AD597" s="648" t="n">
        <v>0</v>
      </c>
      <c r="AE597" s="648" t="n">
        <v>0</v>
      </c>
      <c r="AF597" s="648" t="n">
        <v>0</v>
      </c>
      <c r="AG597" s="648" t="n">
        <v>0</v>
      </c>
      <c r="AH597" s="648" t="n">
        <v>0</v>
      </c>
      <c r="AI597" s="648" t="n">
        <v>0</v>
      </c>
      <c r="AJ597" s="648" t="n">
        <v>0</v>
      </c>
      <c r="AK597" s="648" t="n">
        <v>0</v>
      </c>
      <c r="AL597" s="648" t="n">
        <v>0</v>
      </c>
      <c r="AM597" s="421">
        <f>SUM(AB597:AL601)</f>
        <v/>
      </c>
      <c r="AN597" s="726" t="n"/>
      <c r="AQ597" s="1238">
        <f>IFERROR(I597/J597*100,"0")</f>
        <v/>
      </c>
      <c r="AR597" s="343">
        <f>IFERROR(1/(1-(AQ597/100)),"0")</f>
        <v/>
      </c>
      <c r="AS597" s="1239" t="n">
        <v>0</v>
      </c>
      <c r="AT597" s="345" t="n">
        <v>1</v>
      </c>
      <c r="AU597" s="1240" t="n"/>
      <c r="AV597" s="1241" t="n"/>
      <c r="AW597" s="1242">
        <f>+H597-AV597</f>
        <v/>
      </c>
    </row>
    <row r="598" ht="17.25" customHeight="1">
      <c r="A598" s="973" t="n"/>
      <c r="B598" s="971" t="n"/>
      <c r="C598" s="972" t="n"/>
      <c r="D598" s="973" t="n"/>
      <c r="E598" s="973" t="n"/>
      <c r="F598" s="994" t="n"/>
      <c r="G598" s="994" t="n"/>
      <c r="H598" s="973" t="n"/>
      <c r="I598" s="973" t="n"/>
      <c r="J598" s="973" t="n"/>
      <c r="K598" s="973" t="n"/>
      <c r="L598" s="253" t="n">
        <v>11</v>
      </c>
      <c r="M598" s="254" t="inlineStr">
        <is>
          <t>1484T128</t>
        </is>
      </c>
      <c r="N598" s="254" t="inlineStr">
        <is>
          <t>Serum</t>
        </is>
      </c>
      <c r="O598" s="1183" t="inlineStr">
        <is>
          <t>31/10/2027</t>
        </is>
      </c>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73" t="n"/>
      <c r="E599" s="973" t="n"/>
      <c r="F599" s="994" t="n"/>
      <c r="G599" s="994" t="n"/>
      <c r="H599" s="973" t="n"/>
      <c r="I599" s="973" t="n"/>
      <c r="J599" s="973" t="n"/>
      <c r="K599" s="973" t="n"/>
      <c r="L599" s="253" t="n"/>
      <c r="M599" s="254" t="n"/>
      <c r="N599" s="254" t="n"/>
      <c r="O599" s="1183" t="n"/>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73"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73"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75" t="n"/>
      <c r="E602" s="975" t="n"/>
      <c r="F602" s="998" t="n"/>
      <c r="G602" s="998" t="n"/>
      <c r="H602" s="975" t="n"/>
      <c r="I602" s="975" t="n"/>
      <c r="J602" s="975" t="n"/>
      <c r="K602" s="1189">
        <f>K597=L602</f>
        <v/>
      </c>
      <c r="L602" s="491">
        <f>SUM(L597:L601)</f>
        <v/>
      </c>
      <c r="M602" s="1190" t="inlineStr">
        <is>
          <t xml:space="preserve">“Verdadero” indica que la cantidad por lote, coincide con el saldo que inicia al mes siguiente. "Falso" no coinicide. </t>
        </is>
      </c>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413">
        <f>MARZO!K603</f>
        <v/>
      </c>
      <c r="E603" s="339">
        <f>H199</f>
        <v/>
      </c>
      <c r="F603" s="338" t="n">
        <v>75</v>
      </c>
      <c r="G603" s="338" t="n">
        <v>0</v>
      </c>
      <c r="H603" s="1235">
        <f>+F603+G603</f>
        <v/>
      </c>
      <c r="I603" s="340">
        <f>+AM603</f>
        <v/>
      </c>
      <c r="J603" s="341">
        <f>+H603+I603</f>
        <v/>
      </c>
      <c r="K603" s="583">
        <f>+(D603+E603)-(J603)</f>
        <v/>
      </c>
      <c r="L603" s="253" t="n">
        <v>177</v>
      </c>
      <c r="M603" s="254" t="inlineStr">
        <is>
          <t>08AR25015</t>
        </is>
      </c>
      <c r="N603" s="254" t="inlineStr">
        <is>
          <t>VINS BIOPRODUCTS LIMITED</t>
        </is>
      </c>
      <c r="O603" s="1183" t="inlineStr">
        <is>
          <t>31/05/2027</t>
        </is>
      </c>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v>0</v>
      </c>
      <c r="AA603" s="648" t="n">
        <v>0</v>
      </c>
      <c r="AB603" s="649">
        <f>+Z603+AA603</f>
        <v/>
      </c>
      <c r="AC603" s="648" t="n">
        <v>0</v>
      </c>
      <c r="AD603" s="648" t="n">
        <v>0</v>
      </c>
      <c r="AE603" s="648" t="n">
        <v>0</v>
      </c>
      <c r="AF603" s="648" t="n">
        <v>0</v>
      </c>
      <c r="AG603" s="648" t="n">
        <v>0</v>
      </c>
      <c r="AH603" s="648" t="n">
        <v>0</v>
      </c>
      <c r="AI603" s="648" t="n">
        <v>0</v>
      </c>
      <c r="AJ603" s="648" t="n">
        <v>0</v>
      </c>
      <c r="AK603" s="648" t="n">
        <v>0</v>
      </c>
      <c r="AL603" s="648" t="n">
        <v>0</v>
      </c>
      <c r="AM603" s="421">
        <f>SUM(AB603:AL607)</f>
        <v/>
      </c>
      <c r="AN603" s="726" t="n"/>
      <c r="AQ603" s="1238">
        <f>IFERROR(I603/J603*100,"0")</f>
        <v/>
      </c>
      <c r="AR603" s="343">
        <f>IFERROR(1/(1-(AQ603/100)),"0")</f>
        <v/>
      </c>
      <c r="AS603" s="1239" t="n">
        <v>0</v>
      </c>
      <c r="AT603" s="345" t="n">
        <v>1</v>
      </c>
      <c r="AU603" s="1240" t="n"/>
      <c r="AV603" s="1241" t="n"/>
      <c r="AW603" s="1242">
        <f>+H603-AV603</f>
        <v/>
      </c>
    </row>
    <row r="604" ht="17.25" customHeight="1">
      <c r="A604" s="973" t="n"/>
      <c r="B604" s="971" t="n"/>
      <c r="C604" s="972" t="n"/>
      <c r="D604" s="973" t="n"/>
      <c r="E604" s="973" t="n"/>
      <c r="F604" s="994" t="n"/>
      <c r="G604" s="994" t="n"/>
      <c r="H604" s="973" t="n"/>
      <c r="I604" s="973" t="n"/>
      <c r="J604" s="973" t="n"/>
      <c r="K604" s="973" t="n"/>
      <c r="L604" s="253" t="n"/>
      <c r="M604" s="254" t="n"/>
      <c r="N604" s="254" t="n"/>
      <c r="O604" s="1183" t="n"/>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73" t="n"/>
      <c r="E605" s="973" t="n"/>
      <c r="F605" s="994" t="n"/>
      <c r="G605" s="994" t="n"/>
      <c r="H605" s="973" t="n"/>
      <c r="I605" s="973" t="n"/>
      <c r="J605" s="973" t="n"/>
      <c r="K605" s="973" t="n"/>
      <c r="L605" s="253" t="n"/>
      <c r="M605" s="254" t="n"/>
      <c r="N605" s="254" t="n"/>
      <c r="O605" s="1183" t="n"/>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73" t="n"/>
      <c r="E606" s="973" t="n"/>
      <c r="F606" s="994" t="n"/>
      <c r="G606" s="994" t="n"/>
      <c r="H606" s="973" t="n"/>
      <c r="I606" s="973" t="n"/>
      <c r="J606" s="973" t="n"/>
      <c r="K606" s="973" t="n"/>
      <c r="L606" s="253" t="n"/>
      <c r="M606" s="254" t="n"/>
      <c r="N606" s="254" t="n"/>
      <c r="O606" s="1183" t="n"/>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73"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75" t="n"/>
      <c r="E608" s="975" t="n"/>
      <c r="F608" s="998" t="n"/>
      <c r="G608" s="998" t="n"/>
      <c r="H608" s="975" t="n"/>
      <c r="I608" s="975" t="n"/>
      <c r="J608" s="975" t="n"/>
      <c r="K608" s="1189">
        <f>K603=L608</f>
        <v/>
      </c>
      <c r="L608" s="491">
        <f>SUM(L603:L607)</f>
        <v/>
      </c>
      <c r="M608" s="1190" t="inlineStr">
        <is>
          <t xml:space="preserve">“Verdadero” indica que la cantidad por lote, coincide con el saldo que inicia al mes siguiente. "Falso" no coinicide. </t>
        </is>
      </c>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413">
        <f>MARZO!K609</f>
        <v/>
      </c>
      <c r="E609" s="339">
        <f>H205</f>
        <v/>
      </c>
      <c r="F609" s="338" t="n">
        <v>14</v>
      </c>
      <c r="G609" s="338" t="n">
        <v>0</v>
      </c>
      <c r="H609" s="1235">
        <f>+F609+G609</f>
        <v/>
      </c>
      <c r="I609" s="340">
        <f>+AM609</f>
        <v/>
      </c>
      <c r="J609" s="341">
        <f>+H609+I609</f>
        <v/>
      </c>
      <c r="K609" s="583">
        <f>+(D609+E609)-(J609)</f>
        <v/>
      </c>
      <c r="L609" s="253" t="n">
        <v>50</v>
      </c>
      <c r="M609" s="254" t="inlineStr">
        <is>
          <t>P100756726</t>
        </is>
      </c>
      <c r="N609" s="254" t="inlineStr">
        <is>
          <t>CSL BEHRING</t>
        </is>
      </c>
      <c r="O609" s="1183" t="inlineStr">
        <is>
          <t>09/10/2027</t>
        </is>
      </c>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v>0</v>
      </c>
      <c r="AA609" s="648" t="n">
        <v>0</v>
      </c>
      <c r="AB609" s="649">
        <f>+Z609+AA609</f>
        <v/>
      </c>
      <c r="AC609" s="648" t="n">
        <v>0</v>
      </c>
      <c r="AD609" s="648" t="n">
        <v>0</v>
      </c>
      <c r="AE609" s="648" t="n">
        <v>0</v>
      </c>
      <c r="AF609" s="648" t="n">
        <v>0</v>
      </c>
      <c r="AG609" s="648" t="n">
        <v>0</v>
      </c>
      <c r="AH609" s="648" t="n">
        <v>0</v>
      </c>
      <c r="AI609" s="648" t="n">
        <v>0</v>
      </c>
      <c r="AJ609" s="648" t="n">
        <v>0</v>
      </c>
      <c r="AK609" s="648" t="n">
        <v>0</v>
      </c>
      <c r="AL609" s="648" t="n">
        <v>0</v>
      </c>
      <c r="AM609" s="421">
        <f>SUM(AB609:AL613)</f>
        <v/>
      </c>
      <c r="AN609" s="726" t="n"/>
      <c r="AQ609" s="1238">
        <f>IFERROR(I609/J609*100,"0")</f>
        <v/>
      </c>
      <c r="AR609" s="343">
        <f>IFERROR(1/(1-(AQ609/100)),"0")</f>
        <v/>
      </c>
      <c r="AS609" s="1239" t="n">
        <v>0</v>
      </c>
      <c r="AT609" s="345" t="n">
        <v>1</v>
      </c>
      <c r="AU609" s="1240" t="n"/>
      <c r="AV609" s="1241" t="n"/>
      <c r="AW609" s="1242">
        <f>+H609-AV609</f>
        <v/>
      </c>
    </row>
    <row r="610" ht="17.25" customHeight="1">
      <c r="A610" s="973" t="n"/>
      <c r="B610" s="971" t="n"/>
      <c r="C610" s="972" t="n"/>
      <c r="D610" s="973" t="n"/>
      <c r="E610" s="973" t="n"/>
      <c r="F610" s="994" t="n"/>
      <c r="G610" s="994" t="n"/>
      <c r="H610" s="973" t="n"/>
      <c r="I610" s="973" t="n"/>
      <c r="J610" s="973" t="n"/>
      <c r="K610" s="973" t="n"/>
      <c r="L610" s="253" t="n">
        <v>18</v>
      </c>
      <c r="M610" s="254" t="inlineStr">
        <is>
          <t>P100700727</t>
        </is>
      </c>
      <c r="N610" s="254" t="inlineStr">
        <is>
          <t>CSL BEHRING</t>
        </is>
      </c>
      <c r="O610" s="1183" t="inlineStr">
        <is>
          <t>08/04/2027</t>
        </is>
      </c>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73" t="n"/>
      <c r="E611" s="973" t="n"/>
      <c r="F611" s="994" t="n"/>
      <c r="G611" s="994" t="n"/>
      <c r="H611" s="973" t="n"/>
      <c r="I611" s="973" t="n"/>
      <c r="J611" s="973" t="n"/>
      <c r="K611" s="973" t="n"/>
      <c r="L611" s="253" t="n">
        <v>12</v>
      </c>
      <c r="M611" s="254" t="inlineStr">
        <is>
          <t>P100734570</t>
        </is>
      </c>
      <c r="N611" s="254" t="inlineStr">
        <is>
          <t>CSL BEHRING</t>
        </is>
      </c>
      <c r="O611" s="1183" t="inlineStr">
        <is>
          <t>12/02/2027</t>
        </is>
      </c>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73" t="n"/>
      <c r="E612" s="973" t="n"/>
      <c r="F612" s="994" t="n"/>
      <c r="G612" s="994" t="n"/>
      <c r="H612" s="973" t="n"/>
      <c r="I612" s="973" t="n"/>
      <c r="J612" s="973" t="n"/>
      <c r="K612" s="973" t="n"/>
      <c r="L612" s="253" t="n">
        <v>6</v>
      </c>
      <c r="M612" s="254" t="inlineStr">
        <is>
          <t>P100666739</t>
        </is>
      </c>
      <c r="N612" s="254" t="inlineStr">
        <is>
          <t>CSL BEHRING</t>
        </is>
      </c>
      <c r="O612" s="1183" t="inlineStr">
        <is>
          <t>12/02/2027</t>
        </is>
      </c>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73" t="n"/>
      <c r="E613" s="973" t="n"/>
      <c r="F613" s="994" t="n"/>
      <c r="G613" s="994" t="n"/>
      <c r="H613" s="973" t="n"/>
      <c r="I613" s="973" t="n"/>
      <c r="J613" s="973" t="n"/>
      <c r="K613" s="975" t="n"/>
      <c r="L613" s="253" t="n">
        <v>2</v>
      </c>
      <c r="M613" s="254" t="inlineStr">
        <is>
          <t>P100646141</t>
        </is>
      </c>
      <c r="N613" s="254" t="inlineStr">
        <is>
          <t>CSL BEHRING</t>
        </is>
      </c>
      <c r="O613" s="1183" t="inlineStr">
        <is>
          <t>27/11/2026</t>
        </is>
      </c>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75" t="n"/>
      <c r="E614" s="975" t="n"/>
      <c r="F614" s="998" t="n"/>
      <c r="G614" s="998" t="n"/>
      <c r="H614" s="975" t="n"/>
      <c r="I614" s="975" t="n"/>
      <c r="J614" s="975" t="n"/>
      <c r="K614" s="1189">
        <f>K609=L614</f>
        <v/>
      </c>
      <c r="L614" s="491">
        <f>SUM(L609:L613)</f>
        <v/>
      </c>
      <c r="M614" s="1190" t="inlineStr">
        <is>
          <t xml:space="preserve">“Verdadero” indica que la cantidad por lote, coincide con el saldo que inicia al mes siguiente. "Falso" no coinicide. </t>
        </is>
      </c>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413">
        <f>MARZO!K615</f>
        <v/>
      </c>
      <c r="E615" s="339">
        <f>H211</f>
        <v/>
      </c>
      <c r="F615" s="338" t="n">
        <v>0</v>
      </c>
      <c r="G615" s="338" t="n">
        <v>0</v>
      </c>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v>0</v>
      </c>
      <c r="AA615" s="648" t="n">
        <v>0</v>
      </c>
      <c r="AB615" s="649">
        <f>+Z615+AA615</f>
        <v/>
      </c>
      <c r="AC615" s="648" t="n">
        <v>0</v>
      </c>
      <c r="AD615" s="648" t="n">
        <v>0</v>
      </c>
      <c r="AE615" s="648" t="n">
        <v>0</v>
      </c>
      <c r="AF615" s="648" t="n">
        <v>0</v>
      </c>
      <c r="AG615" s="648" t="n">
        <v>0</v>
      </c>
      <c r="AH615" s="648" t="n">
        <v>0</v>
      </c>
      <c r="AI615" s="648" t="n">
        <v>0</v>
      </c>
      <c r="AJ615" s="648" t="n">
        <v>0</v>
      </c>
      <c r="AK615" s="648" t="n">
        <v>0</v>
      </c>
      <c r="AL615" s="648" t="n">
        <v>0</v>
      </c>
      <c r="AM615" s="421">
        <f>SUM(AB615:AL619)</f>
        <v/>
      </c>
      <c r="AN615" s="726" t="n"/>
      <c r="AQ615" s="1238">
        <f>IFERROR(I615/J615*100,"0")</f>
        <v/>
      </c>
      <c r="AR615" s="343">
        <f>IFERROR(1/(1-(AQ615/100)),"0")</f>
        <v/>
      </c>
      <c r="AS615" s="1239" t="n">
        <v>0</v>
      </c>
      <c r="AT615" s="345" t="n">
        <v>1</v>
      </c>
      <c r="AU615" s="1240" t="n"/>
      <c r="AV615" s="1241" t="n"/>
      <c r="AW615" s="1242">
        <f>+H615-AV615</f>
        <v/>
      </c>
    </row>
    <row r="616" ht="17.25" customHeight="1">
      <c r="A616" s="973" t="n"/>
      <c r="B616" s="971" t="n"/>
      <c r="C616" s="972" t="n"/>
      <c r="D616" s="973"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73"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73"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73"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75" t="n"/>
      <c r="E620" s="975" t="n"/>
      <c r="F620" s="998" t="n"/>
      <c r="G620" s="998" t="n"/>
      <c r="H620" s="975" t="n"/>
      <c r="I620" s="975" t="n"/>
      <c r="J620" s="975" t="n"/>
      <c r="K620" s="1189">
        <f>K615=L620</f>
        <v/>
      </c>
      <c r="L620" s="491">
        <f>SUM(L615:L619)</f>
        <v/>
      </c>
      <c r="M620" s="1190" t="inlineStr">
        <is>
          <t xml:space="preserve">“Verdadero” indica que la cantidad por lote, coincide con el saldo que inicia al mes siguiente. "Falso" no coinicide. </t>
        </is>
      </c>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413">
        <f>MARZO!K621</f>
        <v/>
      </c>
      <c r="E621" s="339">
        <f>H217</f>
        <v/>
      </c>
      <c r="F621" s="338" t="n">
        <v>0</v>
      </c>
      <c r="G621" s="338" t="n">
        <v>0</v>
      </c>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v>0</v>
      </c>
      <c r="AA621" s="648" t="n">
        <v>0</v>
      </c>
      <c r="AB621" s="649">
        <f>+Z621+AA621</f>
        <v/>
      </c>
      <c r="AC621" s="648" t="n">
        <v>0</v>
      </c>
      <c r="AD621" s="648" t="n">
        <v>0</v>
      </c>
      <c r="AE621" s="648" t="n">
        <v>0</v>
      </c>
      <c r="AF621" s="648" t="n">
        <v>0</v>
      </c>
      <c r="AG621" s="648" t="n">
        <v>0</v>
      </c>
      <c r="AH621" s="648" t="n">
        <v>0</v>
      </c>
      <c r="AI621" s="648" t="n">
        <v>0</v>
      </c>
      <c r="AJ621" s="648" t="n">
        <v>0</v>
      </c>
      <c r="AK621" s="648" t="n">
        <v>0</v>
      </c>
      <c r="AL621" s="648" t="n">
        <v>0</v>
      </c>
      <c r="AM621" s="421">
        <f>SUM(AB621:AL625)</f>
        <v/>
      </c>
      <c r="AN621" s="726" t="n"/>
      <c r="AQ621" s="1238">
        <f>IFERROR(I621/J621*100,"0")</f>
        <v/>
      </c>
      <c r="AR621" s="343">
        <f>IFERROR(1/(1-(AQ621/100)),"0")</f>
        <v/>
      </c>
      <c r="AS621" s="1239" t="n">
        <v>0</v>
      </c>
      <c r="AT621" s="345" t="n">
        <v>1</v>
      </c>
      <c r="AU621" s="1240" t="n"/>
      <c r="AV621" s="1241" t="n"/>
      <c r="AW621" s="1242">
        <f>+H621-AV621</f>
        <v/>
      </c>
    </row>
    <row r="622" ht="17.25" customHeight="1">
      <c r="A622" s="973" t="n"/>
      <c r="B622" s="971" t="n"/>
      <c r="C622" s="972" t="n"/>
      <c r="D622" s="973"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73"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73"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73"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75" t="n"/>
      <c r="E626" s="975" t="n"/>
      <c r="F626" s="998" t="n"/>
      <c r="G626" s="998" t="n"/>
      <c r="H626" s="975" t="n"/>
      <c r="I626" s="975" t="n"/>
      <c r="J626" s="975" t="n"/>
      <c r="K626" s="1189">
        <f>K621=L626</f>
        <v/>
      </c>
      <c r="L626" s="491">
        <f>SUM(L621:L625)</f>
        <v/>
      </c>
      <c r="M626" s="1190" t="inlineStr">
        <is>
          <t xml:space="preserve">“Verdadero” indica que la cantidad por lote, coincide con el saldo que inicia al mes siguiente. "Falso" no coinicide. </t>
        </is>
      </c>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413">
        <f>MARZO!K627</f>
        <v/>
      </c>
      <c r="E627" s="339">
        <f>H223</f>
        <v/>
      </c>
      <c r="F627" s="338" t="n">
        <v>0</v>
      </c>
      <c r="G627" s="338" t="n">
        <v>0</v>
      </c>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v>0</v>
      </c>
      <c r="AA627" s="648" t="n">
        <v>0</v>
      </c>
      <c r="AB627" s="649">
        <f>+Z627+AA627</f>
        <v/>
      </c>
      <c r="AC627" s="648" t="n">
        <v>0</v>
      </c>
      <c r="AD627" s="648" t="n">
        <v>0</v>
      </c>
      <c r="AE627" s="648" t="n">
        <v>0</v>
      </c>
      <c r="AF627" s="648" t="n">
        <v>0</v>
      </c>
      <c r="AG627" s="648" t="n">
        <v>0</v>
      </c>
      <c r="AH627" s="648" t="n">
        <v>0</v>
      </c>
      <c r="AI627" s="648" t="n">
        <v>0</v>
      </c>
      <c r="AJ627" s="648" t="n">
        <v>0</v>
      </c>
      <c r="AK627" s="648" t="n">
        <v>0</v>
      </c>
      <c r="AL627" s="648" t="n">
        <v>0</v>
      </c>
      <c r="AM627" s="421">
        <f>SUM(AB627:AL631)</f>
        <v/>
      </c>
      <c r="AN627" s="726" t="n"/>
      <c r="AQ627" s="1238">
        <f>IFERROR(I627/J627*100,"0")</f>
        <v/>
      </c>
      <c r="AR627" s="343">
        <f>IFERROR(1/(1-(AQ627/100)),"0")</f>
        <v/>
      </c>
      <c r="AS627" s="1239" t="n">
        <v>0</v>
      </c>
      <c r="AT627" s="345" t="n">
        <v>1</v>
      </c>
      <c r="AU627" s="1240" t="n"/>
      <c r="AV627" s="1241" t="n"/>
      <c r="AW627" s="1242">
        <f>+H627-AV627</f>
        <v/>
      </c>
    </row>
    <row r="628" ht="17.25" customHeight="1">
      <c r="A628" s="973" t="n"/>
      <c r="B628" s="971" t="n"/>
      <c r="C628" s="972" t="n"/>
      <c r="D628" s="973"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73"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73"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73"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75" t="n"/>
      <c r="E632" s="975" t="n"/>
      <c r="F632" s="998" t="n"/>
      <c r="G632" s="998" t="n"/>
      <c r="H632" s="975" t="n"/>
      <c r="I632" s="975" t="n"/>
      <c r="J632" s="975" t="n"/>
      <c r="K632" s="1189">
        <f>K627=L632</f>
        <v/>
      </c>
      <c r="L632" s="491">
        <f>SUM(L627:L631)</f>
        <v/>
      </c>
      <c r="M632" s="1190" t="inlineStr">
        <is>
          <t xml:space="preserve">“Verdadero” indica que la cantidad por lote, coincide con el saldo que inicia al mes siguiente. "Falso" no coinicide. </t>
        </is>
      </c>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647"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413">
        <f>MARZO!K634</f>
        <v/>
      </c>
      <c r="E634" s="339">
        <f>H230</f>
        <v/>
      </c>
      <c r="F634" s="338" t="n">
        <v>573</v>
      </c>
      <c r="G634" s="338" t="n">
        <v>26</v>
      </c>
      <c r="H634" s="1235">
        <f>+F634+G634</f>
        <v/>
      </c>
      <c r="I634" s="340">
        <f>+AM634</f>
        <v/>
      </c>
      <c r="J634" s="341">
        <f>+H634+I634</f>
        <v/>
      </c>
      <c r="K634" s="583">
        <f>+(D634+E634)-(J634)</f>
        <v/>
      </c>
      <c r="L634" s="253" t="n">
        <v>1965</v>
      </c>
      <c r="M634" s="254" t="inlineStr">
        <is>
          <t>0704S4011</t>
        </is>
      </c>
      <c r="N634" s="254" t="inlineStr">
        <is>
          <t>Serum</t>
        </is>
      </c>
      <c r="O634" s="1183" t="inlineStr">
        <is>
          <t>30/06/2028</t>
        </is>
      </c>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v>714</v>
      </c>
      <c r="AA634" s="648" t="n">
        <v>167</v>
      </c>
      <c r="AB634" s="649">
        <f>+Z634+AA634</f>
        <v/>
      </c>
      <c r="AC634" s="648" t="n">
        <v>0</v>
      </c>
      <c r="AD634" s="648" t="n">
        <v>0</v>
      </c>
      <c r="AE634" s="648" t="n">
        <v>0</v>
      </c>
      <c r="AF634" s="648" t="n">
        <v>0</v>
      </c>
      <c r="AG634" s="648" t="n">
        <v>0</v>
      </c>
      <c r="AH634" s="648" t="n">
        <v>0</v>
      </c>
      <c r="AI634" s="648" t="n">
        <v>0</v>
      </c>
      <c r="AJ634" s="648" t="n">
        <v>0</v>
      </c>
      <c r="AK634" s="648" t="n">
        <v>0</v>
      </c>
      <c r="AL634" s="648" t="n">
        <v>0</v>
      </c>
      <c r="AM634" s="421">
        <f>SUM(AB634:AL638)</f>
        <v/>
      </c>
      <c r="AN634" s="726" t="n"/>
      <c r="AU634" s="1240" t="n"/>
      <c r="AV634" s="1240" t="n"/>
    </row>
    <row r="635" ht="17.1" customHeight="1">
      <c r="A635" s="973" t="n"/>
      <c r="B635" s="971" t="n"/>
      <c r="C635" s="972" t="n"/>
      <c r="D635" s="973" t="n"/>
      <c r="E635" s="973" t="n"/>
      <c r="F635" s="994" t="n"/>
      <c r="G635" s="994" t="n"/>
      <c r="H635" s="973" t="n"/>
      <c r="I635" s="973" t="n"/>
      <c r="J635" s="973" t="n"/>
      <c r="K635" s="973" t="n"/>
      <c r="L635" s="253" t="n">
        <v>130</v>
      </c>
      <c r="M635" s="254" t="inlineStr">
        <is>
          <t>0704S4001</t>
        </is>
      </c>
      <c r="N635" s="254" t="inlineStr">
        <is>
          <t>Serum</t>
        </is>
      </c>
      <c r="O635" s="1183" t="inlineStr">
        <is>
          <t>31/12/2027</t>
        </is>
      </c>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73" t="n"/>
      <c r="E636" s="973" t="n"/>
      <c r="F636" s="994" t="n"/>
      <c r="G636" s="994" t="n"/>
      <c r="H636" s="973" t="n"/>
      <c r="I636" s="973" t="n"/>
      <c r="J636" s="973" t="n"/>
      <c r="K636" s="973" t="n"/>
      <c r="L636" s="253" t="n">
        <v>120</v>
      </c>
      <c r="M636" s="254" t="inlineStr">
        <is>
          <t>0373MA117</t>
        </is>
      </c>
      <c r="N636" s="254" t="inlineStr">
        <is>
          <t>Serum</t>
        </is>
      </c>
      <c r="O636" s="1183" t="inlineStr">
        <is>
          <t>30/06/2026</t>
        </is>
      </c>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73" t="n"/>
      <c r="E637" s="973" t="n"/>
      <c r="F637" s="994" t="n"/>
      <c r="G637" s="994" t="n"/>
      <c r="H637" s="973" t="n"/>
      <c r="I637" s="973" t="n"/>
      <c r="J637" s="973" t="n"/>
      <c r="K637" s="973" t="n"/>
      <c r="L637" s="253" t="n">
        <v>110</v>
      </c>
      <c r="M637" s="254" t="inlineStr">
        <is>
          <t>P100734570</t>
        </is>
      </c>
      <c r="N637" s="254" t="inlineStr">
        <is>
          <t>CSL BEHRING</t>
        </is>
      </c>
      <c r="O637" s="1183" t="inlineStr">
        <is>
          <t>12/02/2027</t>
        </is>
      </c>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73" t="n"/>
      <c r="E638" s="973" t="n"/>
      <c r="F638" s="994" t="n"/>
      <c r="G638" s="994" t="n"/>
      <c r="H638" s="973" t="n"/>
      <c r="I638" s="973" t="n"/>
      <c r="J638" s="973" t="n"/>
      <c r="K638" s="975" t="n"/>
      <c r="L638" s="253" t="n"/>
      <c r="M638" s="254" t="n"/>
      <c r="N638" s="254" t="n"/>
      <c r="O638" s="1183" t="inlineStr">
        <is>
          <t>31/12/2030</t>
        </is>
      </c>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75" t="n"/>
      <c r="E639" s="975" t="n"/>
      <c r="F639" s="998" t="n"/>
      <c r="G639" s="998" t="n"/>
      <c r="H639" s="975" t="n"/>
      <c r="I639" s="975" t="n"/>
      <c r="J639" s="975" t="n"/>
      <c r="K639" s="1189">
        <f>K634=L639</f>
        <v/>
      </c>
      <c r="L639" s="491">
        <f>SUM(L634:L638)</f>
        <v/>
      </c>
      <c r="M639" s="1190" t="inlineStr">
        <is>
          <t xml:space="preserve">“Verdadero” indica que la cantidad por lote, coincide con el saldo que inicia al mes siguiente. "Falso" no coinicide. </t>
        </is>
      </c>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413">
        <f>MARZO!K640</f>
        <v/>
      </c>
      <c r="E640" s="339">
        <f>H236</f>
        <v/>
      </c>
      <c r="F640" s="338" t="n">
        <v>1521</v>
      </c>
      <c r="G640" s="338" t="n">
        <v>28</v>
      </c>
      <c r="H640" s="1235">
        <f>+F640+G640</f>
        <v/>
      </c>
      <c r="I640" s="340">
        <f>+AM640</f>
        <v/>
      </c>
      <c r="J640" s="341">
        <f>+H640+I640</f>
        <v/>
      </c>
      <c r="K640" s="583">
        <f>+(D640+E640)-(J640)</f>
        <v/>
      </c>
      <c r="L640" s="253" t="n">
        <v>1992</v>
      </c>
      <c r="M640" s="254" t="inlineStr">
        <is>
          <t>0643S1010</t>
        </is>
      </c>
      <c r="N640" s="254" t="inlineStr">
        <is>
          <t>Serum</t>
        </is>
      </c>
      <c r="O640" s="1183" t="inlineStr">
        <is>
          <t>30/04/2028</t>
        </is>
      </c>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v>0</v>
      </c>
      <c r="AA640" s="648" t="n">
        <v>0</v>
      </c>
      <c r="AB640" s="649">
        <f>+Z640+AA640</f>
        <v/>
      </c>
      <c r="AC640" s="648" t="n">
        <v>0</v>
      </c>
      <c r="AD640" s="648" t="n">
        <v>1</v>
      </c>
      <c r="AE640" s="648" t="n">
        <v>0</v>
      </c>
      <c r="AF640" s="648" t="n">
        <v>0</v>
      </c>
      <c r="AG640" s="648" t="n">
        <v>0</v>
      </c>
      <c r="AH640" s="648" t="n">
        <v>0</v>
      </c>
      <c r="AI640" s="648" t="n">
        <v>0</v>
      </c>
      <c r="AJ640" s="648" t="n">
        <v>1</v>
      </c>
      <c r="AK640" s="648" t="n">
        <v>0</v>
      </c>
      <c r="AL640" s="648" t="n">
        <v>0</v>
      </c>
      <c r="AM640" s="421">
        <f>SUM(AB640:AL644)</f>
        <v/>
      </c>
      <c r="AN640" s="726" t="n"/>
      <c r="AU640" s="1240" t="n"/>
      <c r="AV640" s="1240" t="n"/>
    </row>
    <row r="641" ht="17.1" customHeight="1">
      <c r="A641" s="973" t="n"/>
      <c r="B641" s="971" t="n"/>
      <c r="C641" s="972" t="n"/>
      <c r="D641" s="973" t="n"/>
      <c r="E641" s="973" t="n"/>
      <c r="F641" s="994" t="n"/>
      <c r="G641" s="994" t="n"/>
      <c r="H641" s="973" t="n"/>
      <c r="I641" s="973" t="n"/>
      <c r="J641" s="973" t="n"/>
      <c r="K641" s="973" t="n"/>
      <c r="L641" s="253" t="n"/>
      <c r="M641" s="254" t="n"/>
      <c r="N641" s="254" t="n"/>
      <c r="O641" s="1183" t="inlineStr">
        <is>
          <t>31/12/2030</t>
        </is>
      </c>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73" t="n"/>
      <c r="E642" s="973" t="n"/>
      <c r="F642" s="994" t="n"/>
      <c r="G642" s="994" t="n"/>
      <c r="H642" s="973" t="n"/>
      <c r="I642" s="973" t="n"/>
      <c r="J642" s="973" t="n"/>
      <c r="K642" s="973" t="n"/>
      <c r="L642" s="253" t="n">
        <v>8</v>
      </c>
      <c r="M642" s="254" t="inlineStr">
        <is>
          <t>0704S4011</t>
        </is>
      </c>
      <c r="N642" s="254" t="inlineStr">
        <is>
          <t>Serum</t>
        </is>
      </c>
      <c r="O642" s="1183" t="inlineStr">
        <is>
          <t>30/06/2028</t>
        </is>
      </c>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73" t="n"/>
      <c r="E643" s="973" t="n"/>
      <c r="F643" s="994" t="n"/>
      <c r="G643" s="994" t="n"/>
      <c r="H643" s="973" t="n"/>
      <c r="I643" s="973" t="n"/>
      <c r="J643" s="973" t="n"/>
      <c r="K643" s="973" t="n"/>
      <c r="L643" s="253" t="n"/>
      <c r="M643" s="254" t="n"/>
      <c r="N643" s="254" t="n"/>
      <c r="O643" s="1183" t="n"/>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73"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75" t="n"/>
      <c r="E645" s="975" t="n"/>
      <c r="F645" s="998" t="n"/>
      <c r="G645" s="998" t="n"/>
      <c r="H645" s="975" t="n"/>
      <c r="I645" s="975" t="n"/>
      <c r="J645" s="975" t="n"/>
      <c r="K645" s="1189">
        <f>K640=L645</f>
        <v/>
      </c>
      <c r="L645" s="491">
        <f>SUM(L640:L644)</f>
        <v/>
      </c>
      <c r="M645" s="1190" t="inlineStr">
        <is>
          <t xml:space="preserve">“Verdadero” indica que la cantidad por lote, coincide con el saldo que inicia al mes siguiente. "Falso" no coinicide. </t>
        </is>
      </c>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413">
        <f>MARZO!K646</f>
        <v/>
      </c>
      <c r="E646" s="339">
        <f>H242</f>
        <v/>
      </c>
      <c r="F646" s="338" t="n">
        <v>0</v>
      </c>
      <c r="G646" s="338" t="n">
        <v>0</v>
      </c>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v>0</v>
      </c>
      <c r="AA646" s="648" t="n">
        <v>0</v>
      </c>
      <c r="AB646" s="649">
        <f>+Z646+AA646</f>
        <v/>
      </c>
      <c r="AC646" s="648" t="n">
        <v>0</v>
      </c>
      <c r="AD646" s="648" t="n">
        <v>0</v>
      </c>
      <c r="AE646" s="648" t="n">
        <v>0</v>
      </c>
      <c r="AF646" s="648" t="n">
        <v>0</v>
      </c>
      <c r="AG646" s="648" t="n">
        <v>0</v>
      </c>
      <c r="AH646" s="648" t="n">
        <v>0</v>
      </c>
      <c r="AI646" s="648" t="n">
        <v>0</v>
      </c>
      <c r="AJ646" s="648" t="n">
        <v>0</v>
      </c>
      <c r="AK646" s="648" t="n">
        <v>0</v>
      </c>
      <c r="AL646" s="648" t="n">
        <v>0</v>
      </c>
      <c r="AM646" s="421">
        <f>SUM(AB646:AL650)</f>
        <v/>
      </c>
      <c r="AN646" s="726" t="n"/>
      <c r="AU646" s="1240" t="n"/>
      <c r="AV646" s="1240" t="n"/>
    </row>
    <row r="647" ht="17.1" customHeight="1">
      <c r="A647" s="973" t="n"/>
      <c r="B647" s="971" t="n"/>
      <c r="C647" s="972" t="n"/>
      <c r="D647" s="973"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73"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73"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73"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75" t="n"/>
      <c r="E651" s="975" t="n"/>
      <c r="F651" s="998" t="n"/>
      <c r="G651" s="998" t="n"/>
      <c r="H651" s="975" t="n"/>
      <c r="I651" s="975" t="n"/>
      <c r="J651" s="975" t="n"/>
      <c r="K651" s="1189">
        <f>K646=L651</f>
        <v/>
      </c>
      <c r="L651" s="491">
        <f>SUM(L646:L650)</f>
        <v/>
      </c>
      <c r="M651" s="1190" t="inlineStr">
        <is>
          <t xml:space="preserve">“Verdadero” indica que la cantidad por lote, coincide con el saldo que inicia al mes siguiente. "Falso" no coinicide. </t>
        </is>
      </c>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413">
        <f>MARZO!K652</f>
        <v/>
      </c>
      <c r="E652" s="339">
        <f>H248</f>
        <v/>
      </c>
      <c r="F652" s="338" t="n">
        <v>0</v>
      </c>
      <c r="G652" s="338" t="n">
        <v>0</v>
      </c>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v>0</v>
      </c>
      <c r="AA652" s="648" t="n">
        <v>0</v>
      </c>
      <c r="AB652" s="649">
        <f>+Z652+AA652</f>
        <v/>
      </c>
      <c r="AC652" s="648" t="n">
        <v>0</v>
      </c>
      <c r="AD652" s="648" t="n">
        <v>0</v>
      </c>
      <c r="AE652" s="648" t="n">
        <v>0</v>
      </c>
      <c r="AF652" s="648" t="n">
        <v>0</v>
      </c>
      <c r="AG652" s="648" t="n">
        <v>0</v>
      </c>
      <c r="AH652" s="648" t="n">
        <v>0</v>
      </c>
      <c r="AI652" s="648" t="n">
        <v>0</v>
      </c>
      <c r="AJ652" s="648" t="n">
        <v>0</v>
      </c>
      <c r="AK652" s="648" t="n">
        <v>0</v>
      </c>
      <c r="AL652" s="648" t="n">
        <v>0</v>
      </c>
      <c r="AM652" s="421">
        <f>SUM(AB652:AL656)</f>
        <v/>
      </c>
      <c r="AN652" s="726" t="n"/>
      <c r="AU652" s="1240" t="n"/>
      <c r="AV652" s="1240" t="n"/>
    </row>
    <row r="653" ht="17.1" customHeight="1">
      <c r="A653" s="973" t="n"/>
      <c r="B653" s="971" t="n"/>
      <c r="C653" s="972" t="n"/>
      <c r="D653" s="973"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73"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73"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73"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75" t="n"/>
      <c r="E657" s="975" t="n"/>
      <c r="F657" s="998" t="n"/>
      <c r="G657" s="998" t="n"/>
      <c r="H657" s="975" t="n"/>
      <c r="I657" s="975" t="n"/>
      <c r="J657" s="975" t="n"/>
      <c r="K657" s="1189">
        <f>K652=L657</f>
        <v/>
      </c>
      <c r="L657" s="491">
        <f>SUM(L652:L656)</f>
        <v/>
      </c>
      <c r="M657" s="1190" t="inlineStr">
        <is>
          <t xml:space="preserve">“Verdadero” indica que la cantidad por lote, coincide con el saldo que inicia al mes siguiente. "Falso" no coinicide. </t>
        </is>
      </c>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413">
        <f>MARZO!K658</f>
        <v/>
      </c>
      <c r="E658" s="339">
        <f>H254</f>
        <v/>
      </c>
      <c r="F658" s="338" t="n">
        <v>836</v>
      </c>
      <c r="G658" s="338" t="n">
        <v>25</v>
      </c>
      <c r="H658" s="1235">
        <f>+F658+G658</f>
        <v/>
      </c>
      <c r="I658" s="340">
        <f>+AM658</f>
        <v/>
      </c>
      <c r="J658" s="341">
        <f>+H658+I658</f>
        <v/>
      </c>
      <c r="K658" s="583">
        <f>+(D658+E658)-(J658)</f>
        <v/>
      </c>
      <c r="L658" s="253" t="n">
        <v>1533</v>
      </c>
      <c r="M658" s="254" t="inlineStr">
        <is>
          <t>0643S4003</t>
        </is>
      </c>
      <c r="N658" s="254" t="inlineStr">
        <is>
          <t>Serum</t>
        </is>
      </c>
      <c r="O658" s="1183" t="inlineStr">
        <is>
          <t>31/08/2028</t>
        </is>
      </c>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v>0</v>
      </c>
      <c r="AA658" s="648" t="n">
        <v>0</v>
      </c>
      <c r="AB658" s="649">
        <f>+Z658+AA658</f>
        <v/>
      </c>
      <c r="AC658" s="648" t="n">
        <v>0</v>
      </c>
      <c r="AD658" s="648" t="n">
        <v>0</v>
      </c>
      <c r="AE658" s="648" t="n">
        <v>0</v>
      </c>
      <c r="AF658" s="648" t="n">
        <v>0</v>
      </c>
      <c r="AG658" s="648" t="n">
        <v>0</v>
      </c>
      <c r="AH658" s="648" t="n">
        <v>0</v>
      </c>
      <c r="AI658" s="648" t="n">
        <v>0</v>
      </c>
      <c r="AJ658" s="648" t="n">
        <v>0</v>
      </c>
      <c r="AK658" s="648" t="n">
        <v>0</v>
      </c>
      <c r="AL658" s="648" t="n">
        <v>0</v>
      </c>
      <c r="AM658" s="421">
        <f>SUM(AB658:AL662)</f>
        <v/>
      </c>
      <c r="AN658" s="726" t="n"/>
      <c r="AU658" s="1240" t="n"/>
      <c r="AV658" s="1240" t="n"/>
    </row>
    <row r="659" ht="17.1" customHeight="1">
      <c r="A659" s="973" t="n"/>
      <c r="B659" s="971" t="n"/>
      <c r="C659" s="972" t="n"/>
      <c r="D659" s="973" t="n"/>
      <c r="E659" s="973" t="n"/>
      <c r="F659" s="994" t="n"/>
      <c r="G659" s="994" t="n"/>
      <c r="H659" s="973" t="n"/>
      <c r="I659" s="973" t="n"/>
      <c r="J659" s="973" t="n"/>
      <c r="K659" s="973" t="n"/>
      <c r="L659" s="253" t="n">
        <v>392</v>
      </c>
      <c r="M659" s="254" t="inlineStr">
        <is>
          <t>0643S4002</t>
        </is>
      </c>
      <c r="N659" s="254" t="inlineStr">
        <is>
          <t>Serum</t>
        </is>
      </c>
      <c r="O659" s="1183" t="inlineStr">
        <is>
          <t>30/04/2028</t>
        </is>
      </c>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73" t="n"/>
      <c r="E660" s="973" t="n"/>
      <c r="F660" s="994" t="n"/>
      <c r="G660" s="994" t="n"/>
      <c r="H660" s="973" t="n"/>
      <c r="I660" s="973" t="n"/>
      <c r="J660" s="973" t="n"/>
      <c r="K660" s="973" t="n"/>
      <c r="L660" s="253" t="n">
        <v>45</v>
      </c>
      <c r="M660" s="254" t="inlineStr">
        <is>
          <t>0704S4001</t>
        </is>
      </c>
      <c r="N660" s="254" t="inlineStr">
        <is>
          <t>Serum</t>
        </is>
      </c>
      <c r="O660" s="1183" t="inlineStr">
        <is>
          <t>31/12/2027</t>
        </is>
      </c>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73" t="n"/>
      <c r="E661" s="973" t="n"/>
      <c r="F661" s="994" t="n"/>
      <c r="G661" s="994" t="n"/>
      <c r="H661" s="973" t="n"/>
      <c r="I661" s="973" t="n"/>
      <c r="J661" s="973" t="n"/>
      <c r="K661" s="973" t="n"/>
      <c r="L661" s="253" t="n"/>
      <c r="M661" s="254" t="n"/>
      <c r="N661" s="254" t="n"/>
      <c r="O661" s="1183" t="n"/>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73"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75" t="n"/>
      <c r="E663" s="975" t="n"/>
      <c r="F663" s="998" t="n"/>
      <c r="G663" s="998" t="n"/>
      <c r="H663" s="975" t="n"/>
      <c r="I663" s="975" t="n"/>
      <c r="J663" s="975" t="n"/>
      <c r="K663" s="1189">
        <f>K658=L663</f>
        <v/>
      </c>
      <c r="L663" s="491">
        <f>SUM(L658:L662)</f>
        <v/>
      </c>
      <c r="M663" s="1190" t="inlineStr">
        <is>
          <t xml:space="preserve">“Verdadero” indica que la cantidad por lote, coincide con el saldo que inicia al mes siguiente. "Falso" no coinicide. </t>
        </is>
      </c>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413">
        <f>MARZO!K664</f>
        <v/>
      </c>
      <c r="E664" s="339">
        <f>H260</f>
        <v/>
      </c>
      <c r="F664" s="338" t="n">
        <v>0</v>
      </c>
      <c r="G664" s="338" t="n">
        <v>0</v>
      </c>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v>0</v>
      </c>
      <c r="AA664" s="648" t="n">
        <v>0</v>
      </c>
      <c r="AB664" s="649">
        <f>+Z664+AA664</f>
        <v/>
      </c>
      <c r="AC664" s="648" t="n">
        <v>0</v>
      </c>
      <c r="AD664" s="648" t="n">
        <v>0</v>
      </c>
      <c r="AE664" s="648" t="n">
        <v>0</v>
      </c>
      <c r="AF664" s="648" t="n">
        <v>0</v>
      </c>
      <c r="AG664" s="648" t="n">
        <v>0</v>
      </c>
      <c r="AH664" s="648" t="n">
        <v>0</v>
      </c>
      <c r="AI664" s="648" t="n">
        <v>0</v>
      </c>
      <c r="AJ664" s="648" t="n">
        <v>0</v>
      </c>
      <c r="AK664" s="648" t="n">
        <v>0</v>
      </c>
      <c r="AL664" s="648" t="n">
        <v>0</v>
      </c>
      <c r="AM664" s="421">
        <f>SUM(AB664:AL668)</f>
        <v/>
      </c>
      <c r="AN664" s="726" t="n"/>
      <c r="AU664" s="1240" t="n"/>
      <c r="AV664" s="1240" t="n"/>
    </row>
    <row r="665" ht="17.1" customHeight="1">
      <c r="A665" s="973" t="n"/>
      <c r="B665" s="971" t="n"/>
      <c r="C665" s="972" t="n"/>
      <c r="D665" s="973"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73"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73"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73"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75" t="n"/>
      <c r="E669" s="975" t="n"/>
      <c r="F669" s="998" t="n"/>
      <c r="G669" s="998" t="n"/>
      <c r="H669" s="975" t="n"/>
      <c r="I669" s="975" t="n"/>
      <c r="J669" s="975" t="n"/>
      <c r="K669" s="1189">
        <f>K664=L669</f>
        <v/>
      </c>
      <c r="L669" s="491">
        <f>SUM(L664:L668)</f>
        <v/>
      </c>
      <c r="M669" s="1190" t="inlineStr">
        <is>
          <t xml:space="preserve">“Verdadero” indica que la cantidad por lote, coincide con el saldo que inicia al mes siguiente. "Falso" no coinicide. </t>
        </is>
      </c>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413">
        <f>MARZO!K670</f>
        <v/>
      </c>
      <c r="E670" s="339">
        <f>H266</f>
        <v/>
      </c>
      <c r="F670" s="338" t="n">
        <v>0</v>
      </c>
      <c r="G670" s="338" t="n">
        <v>0</v>
      </c>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v>0</v>
      </c>
      <c r="AA670" s="648" t="n">
        <v>0</v>
      </c>
      <c r="AB670" s="649">
        <f>+Z670+AA670</f>
        <v/>
      </c>
      <c r="AC670" s="648" t="n">
        <v>0</v>
      </c>
      <c r="AD670" s="648" t="n">
        <v>0</v>
      </c>
      <c r="AE670" s="648" t="n">
        <v>0</v>
      </c>
      <c r="AF670" s="648" t="n">
        <v>0</v>
      </c>
      <c r="AG670" s="648" t="n">
        <v>0</v>
      </c>
      <c r="AH670" s="648" t="n">
        <v>0</v>
      </c>
      <c r="AI670" s="648" t="n">
        <v>0</v>
      </c>
      <c r="AJ670" s="648" t="n">
        <v>0</v>
      </c>
      <c r="AK670" s="648" t="n">
        <v>0</v>
      </c>
      <c r="AL670" s="648" t="n">
        <v>0</v>
      </c>
      <c r="AM670" s="421">
        <f>SUM(AB670:AL674)</f>
        <v/>
      </c>
      <c r="AN670" s="726" t="n"/>
      <c r="AU670" s="1240" t="n"/>
      <c r="AV670" s="1240" t="n"/>
    </row>
    <row r="671" ht="17.1" customHeight="1">
      <c r="A671" s="973" t="n"/>
      <c r="B671" s="971" t="n"/>
      <c r="C671" s="972" t="n"/>
      <c r="D671" s="973"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73"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73"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73"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75" t="n"/>
      <c r="E675" s="975" t="n"/>
      <c r="F675" s="998" t="n"/>
      <c r="G675" s="998" t="n"/>
      <c r="H675" s="975" t="n"/>
      <c r="I675" s="975" t="n"/>
      <c r="J675" s="975" t="n"/>
      <c r="K675" s="1189">
        <f>K670=L675</f>
        <v/>
      </c>
      <c r="L675" s="491">
        <f>SUM(L670:L674)</f>
        <v/>
      </c>
      <c r="M675" s="1190" t="inlineStr">
        <is>
          <t xml:space="preserve">“Verdadero” indica que la cantidad por lote, coincide con el saldo que inicia al mes siguiente. "Falso" no coinicide. </t>
        </is>
      </c>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413">
        <f>MARZO!K676</f>
        <v/>
      </c>
      <c r="E676" s="339">
        <f>H272</f>
        <v/>
      </c>
      <c r="F676" s="338" t="n">
        <v>2721</v>
      </c>
      <c r="G676" s="338" t="n">
        <v>45</v>
      </c>
      <c r="H676" s="1235">
        <f>+F676+G676</f>
        <v/>
      </c>
      <c r="I676" s="340">
        <f>+AM676</f>
        <v/>
      </c>
      <c r="J676" s="341">
        <f>+H676+I676</f>
        <v/>
      </c>
      <c r="K676" s="583">
        <f>+(D676+E676)-(J676)</f>
        <v/>
      </c>
      <c r="L676" s="253" t="n">
        <v>6154</v>
      </c>
      <c r="M676" s="254" t="inlineStr">
        <is>
          <t>Y4X16</t>
        </is>
      </c>
      <c r="N676" s="254" t="inlineStr">
        <is>
          <t>Sanofi Pasteur</t>
        </is>
      </c>
      <c r="O676" s="1183" t="inlineStr">
        <is>
          <t>30/06/2027</t>
        </is>
      </c>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v>2765</v>
      </c>
      <c r="AA676" s="648" t="n">
        <v>1184</v>
      </c>
      <c r="AB676" s="649">
        <f>+Z676+AA676</f>
        <v/>
      </c>
      <c r="AC676" s="648" t="n">
        <v>0</v>
      </c>
      <c r="AD676" s="648" t="n">
        <v>0</v>
      </c>
      <c r="AE676" s="648" t="n">
        <v>0</v>
      </c>
      <c r="AF676" s="648" t="n">
        <v>0</v>
      </c>
      <c r="AG676" s="648" t="n">
        <v>0</v>
      </c>
      <c r="AH676" s="648" t="n">
        <v>0</v>
      </c>
      <c r="AI676" s="648" t="n">
        <v>0</v>
      </c>
      <c r="AJ676" s="648" t="n">
        <v>0</v>
      </c>
      <c r="AK676" s="648" t="n">
        <v>0</v>
      </c>
      <c r="AL676" s="648" t="n">
        <v>0</v>
      </c>
      <c r="AM676" s="421">
        <f>SUM(AB676:AL680)</f>
        <v/>
      </c>
      <c r="AN676" s="726" t="n"/>
      <c r="AU676" s="1240" t="n"/>
      <c r="AV676" s="1240" t="n"/>
    </row>
    <row r="677" ht="17.1" customHeight="1">
      <c r="A677" s="973" t="n"/>
      <c r="B677" s="971" t="n"/>
      <c r="C677" s="972" t="n"/>
      <c r="D677" s="973" t="n"/>
      <c r="E677" s="973" t="n"/>
      <c r="F677" s="994" t="n"/>
      <c r="G677" s="994" t="n"/>
      <c r="H677" s="973" t="n"/>
      <c r="I677" s="973" t="n"/>
      <c r="J677" s="973" t="n"/>
      <c r="K677" s="973" t="n"/>
      <c r="L677" s="253" t="n">
        <v>6860</v>
      </c>
      <c r="M677" s="254" t="n"/>
      <c r="N677" s="254" t="n"/>
      <c r="O677" s="1183" t="n"/>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73" t="n"/>
      <c r="E678" s="973" t="n"/>
      <c r="F678" s="994" t="n"/>
      <c r="G678" s="994" t="n"/>
      <c r="H678" s="973" t="n"/>
      <c r="I678" s="973" t="n"/>
      <c r="J678" s="973" t="n"/>
      <c r="K678" s="973" t="n"/>
      <c r="L678" s="253" t="n">
        <v>20</v>
      </c>
      <c r="M678" s="254" t="inlineStr">
        <is>
          <t>063</t>
        </is>
      </c>
      <c r="N678" s="254" t="inlineStr">
        <is>
          <t>CHUMAKOV</t>
        </is>
      </c>
      <c r="O678" s="1183" t="inlineStr">
        <is>
          <t>31/10/2027</t>
        </is>
      </c>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73" t="n"/>
      <c r="E679" s="973" t="n"/>
      <c r="F679" s="994" t="n"/>
      <c r="G679" s="994" t="n"/>
      <c r="H679" s="973" t="n"/>
      <c r="I679" s="973" t="n"/>
      <c r="J679" s="973" t="n"/>
      <c r="K679" s="973" t="n"/>
      <c r="L679" s="253" t="n">
        <v>6</v>
      </c>
      <c r="M679" s="254" t="inlineStr">
        <is>
          <t>Y4X12</t>
        </is>
      </c>
      <c r="N679" s="254" t="inlineStr">
        <is>
          <t>Fabricante</t>
        </is>
      </c>
      <c r="O679" s="1183" t="inlineStr">
        <is>
          <t>30/04/2027</t>
        </is>
      </c>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73" t="n"/>
      <c r="E680" s="973" t="n"/>
      <c r="F680" s="994" t="n"/>
      <c r="G680" s="994" t="n"/>
      <c r="H680" s="973" t="n"/>
      <c r="I680" s="973" t="n"/>
      <c r="J680" s="973" t="n"/>
      <c r="K680" s="975" t="n"/>
      <c r="L680" s="253" t="n"/>
      <c r="M680" s="254" t="n"/>
      <c r="N680" s="254" t="n"/>
      <c r="O680" s="1183" t="n"/>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75" t="n"/>
      <c r="E681" s="975" t="n"/>
      <c r="F681" s="998" t="n"/>
      <c r="G681" s="998" t="n"/>
      <c r="H681" s="975" t="n"/>
      <c r="I681" s="975" t="n"/>
      <c r="J681" s="975" t="n"/>
      <c r="K681" s="1189">
        <f>K676=L681</f>
        <v/>
      </c>
      <c r="L681" s="491">
        <f>SUM(L676:L680)</f>
        <v/>
      </c>
      <c r="M681" s="1190" t="inlineStr">
        <is>
          <t xml:space="preserve">“Verdadero” indica que la cantidad por lote, coincide con el saldo que inicia al mes siguiente. "Falso" no coinicide. </t>
        </is>
      </c>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413">
        <f>MARZO!K682</f>
        <v/>
      </c>
      <c r="E682" s="339">
        <f>H278</f>
        <v/>
      </c>
      <c r="F682" s="338" t="n">
        <v>1384</v>
      </c>
      <c r="G682" s="338" t="n">
        <v>27</v>
      </c>
      <c r="H682" s="1235">
        <f>+F682+G682</f>
        <v/>
      </c>
      <c r="I682" s="340">
        <f>+AM682</f>
        <v/>
      </c>
      <c r="J682" s="341">
        <f>+H682+I682</f>
        <v/>
      </c>
      <c r="K682" s="583">
        <f>+(D682+E682)-(J682)</f>
        <v/>
      </c>
      <c r="L682" s="253" t="n">
        <v>1302</v>
      </c>
      <c r="M682" s="254" t="inlineStr">
        <is>
          <t>90250603-1</t>
        </is>
      </c>
      <c r="N682" s="254" t="inlineStr">
        <is>
          <t>Sinovac</t>
        </is>
      </c>
      <c r="O682" s="1183" t="inlineStr">
        <is>
          <t>05/06/2029</t>
        </is>
      </c>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v>0</v>
      </c>
      <c r="AA682" s="648" t="n">
        <v>0</v>
      </c>
      <c r="AB682" s="649">
        <f>+Z682+AA682</f>
        <v/>
      </c>
      <c r="AC682" s="648" t="n">
        <v>0</v>
      </c>
      <c r="AD682" s="648" t="n">
        <v>1</v>
      </c>
      <c r="AE682" s="648" t="n">
        <v>0</v>
      </c>
      <c r="AF682" s="648" t="n">
        <v>0</v>
      </c>
      <c r="AG682" s="648" t="n">
        <v>0</v>
      </c>
      <c r="AH682" s="648" t="n">
        <v>0</v>
      </c>
      <c r="AI682" s="648" t="n">
        <v>0</v>
      </c>
      <c r="AJ682" s="648" t="n">
        <v>0</v>
      </c>
      <c r="AK682" s="648" t="n">
        <v>0</v>
      </c>
      <c r="AL682" s="648" t="n">
        <v>0</v>
      </c>
      <c r="AM682" s="421">
        <f>SUM(AB682:AL686)</f>
        <v/>
      </c>
      <c r="AN682" s="726" t="n"/>
      <c r="AU682" s="1240" t="n"/>
      <c r="AV682" s="1240" t="n"/>
    </row>
    <row r="683" ht="17.1" customHeight="1">
      <c r="A683" s="973" t="n"/>
      <c r="B683" s="971" t="n"/>
      <c r="C683" s="972" t="n"/>
      <c r="D683" s="973" t="n"/>
      <c r="E683" s="973" t="n"/>
      <c r="F683" s="994" t="n"/>
      <c r="G683" s="994" t="n"/>
      <c r="H683" s="973" t="n"/>
      <c r="I683" s="973" t="n"/>
      <c r="J683" s="973" t="n"/>
      <c r="K683" s="973" t="n"/>
      <c r="L683" s="253" t="n"/>
      <c r="M683" s="254" t="n"/>
      <c r="N683" s="254" t="n"/>
      <c r="O683" s="1183" t="n"/>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73" t="n"/>
      <c r="E684" s="973" t="n"/>
      <c r="F684" s="994" t="n"/>
      <c r="G684" s="994" t="n"/>
      <c r="H684" s="973" t="n"/>
      <c r="I684" s="973" t="n"/>
      <c r="J684" s="973" t="n"/>
      <c r="K684" s="973" t="n"/>
      <c r="L684" s="253" t="n"/>
      <c r="M684" s="254" t="n"/>
      <c r="N684" s="254" t="n"/>
      <c r="O684" s="1183" t="n"/>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73"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73"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75" t="n"/>
      <c r="E687" s="975" t="n"/>
      <c r="F687" s="998" t="n"/>
      <c r="G687" s="998" t="n"/>
      <c r="H687" s="975" t="n"/>
      <c r="I687" s="975" t="n"/>
      <c r="J687" s="975" t="n"/>
      <c r="K687" s="1189">
        <f>K682=L687</f>
        <v/>
      </c>
      <c r="L687" s="491">
        <f>SUM(L682:L686)</f>
        <v/>
      </c>
      <c r="M687" s="1190" t="inlineStr">
        <is>
          <t xml:space="preserve">“Verdadero” indica que la cantidad por lote, coincide con el saldo que inicia al mes siguiente. "Falso" no coinicide. </t>
        </is>
      </c>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413">
        <f>MARZO!K688</f>
        <v/>
      </c>
      <c r="E688" s="339">
        <f>H284</f>
        <v/>
      </c>
      <c r="F688" s="338" t="n"/>
      <c r="G688" s="338" t="n"/>
      <c r="H688" s="1235">
        <f>+F688+G688</f>
        <v/>
      </c>
      <c r="I688" s="340">
        <f>+AM688</f>
        <v/>
      </c>
      <c r="J688" s="341">
        <f>+H688+I688</f>
        <v/>
      </c>
      <c r="K688" s="583">
        <f>+(D688+E688)-(J688)</f>
        <v/>
      </c>
      <c r="L688" s="253" t="n">
        <v>87</v>
      </c>
      <c r="M688" s="254" t="n"/>
      <c r="N688" s="254" t="n"/>
      <c r="O688" s="1183" t="n"/>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v>0</v>
      </c>
      <c r="AA688" s="648" t="n">
        <v>0</v>
      </c>
      <c r="AB688" s="649">
        <f>+Z688+AA688</f>
        <v/>
      </c>
      <c r="AC688" s="648" t="n">
        <v>0</v>
      </c>
      <c r="AD688" s="648" t="n">
        <v>0</v>
      </c>
      <c r="AE688" s="648" t="n">
        <v>0</v>
      </c>
      <c r="AF688" s="648" t="n">
        <v>0</v>
      </c>
      <c r="AG688" s="648" t="n">
        <v>0</v>
      </c>
      <c r="AH688" s="648" t="n">
        <v>0</v>
      </c>
      <c r="AI688" s="648" t="n">
        <v>0</v>
      </c>
      <c r="AJ688" s="648" t="n">
        <v>0</v>
      </c>
      <c r="AK688" s="648" t="n">
        <v>0</v>
      </c>
      <c r="AL688" s="648" t="n">
        <v>0</v>
      </c>
      <c r="AM688" s="421">
        <f>SUM(AB688:AL692)</f>
        <v/>
      </c>
      <c r="AN688" s="726" t="n"/>
      <c r="AU688" s="1240" t="n"/>
      <c r="AV688" s="1240" t="n"/>
    </row>
    <row r="689" ht="17.1" customHeight="1">
      <c r="A689" s="973" t="n"/>
      <c r="B689" s="971" t="n"/>
      <c r="C689" s="972" t="n"/>
      <c r="D689" s="973" t="n"/>
      <c r="E689" s="973" t="n"/>
      <c r="F689" s="994" t="n"/>
      <c r="G689" s="994" t="n"/>
      <c r="H689" s="973" t="n"/>
      <c r="I689" s="973" t="n"/>
      <c r="J689" s="973" t="n"/>
      <c r="K689" s="973" t="n"/>
      <c r="L689" s="253" t="n"/>
      <c r="M689" s="254" t="n"/>
      <c r="N689" s="254" t="n"/>
      <c r="O689" s="1183" t="n"/>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73" t="n"/>
      <c r="E690" s="973" t="n"/>
      <c r="F690" s="994" t="n"/>
      <c r="G690" s="994" t="n"/>
      <c r="H690" s="973" t="n"/>
      <c r="I690" s="973" t="n"/>
      <c r="J690" s="973" t="n"/>
      <c r="K690" s="973" t="n"/>
      <c r="L690" s="253" t="n"/>
      <c r="M690" s="254" t="n"/>
      <c r="N690" s="254" t="n"/>
      <c r="O690" s="1183" t="n"/>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73" t="n"/>
      <c r="E691" s="973" t="n"/>
      <c r="F691" s="994" t="n"/>
      <c r="G691" s="994" t="n"/>
      <c r="H691" s="973" t="n"/>
      <c r="I691" s="973" t="n"/>
      <c r="J691" s="973" t="n"/>
      <c r="K691" s="973" t="n"/>
      <c r="L691" s="253" t="n"/>
      <c r="M691" s="254" t="n"/>
      <c r="N691" s="254" t="n"/>
      <c r="O691" s="1183" t="n"/>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73" t="n"/>
      <c r="E692" s="973" t="n"/>
      <c r="F692" s="994" t="n"/>
      <c r="G692" s="994" t="n"/>
      <c r="H692" s="973" t="n"/>
      <c r="I692" s="973" t="n"/>
      <c r="J692" s="973" t="n"/>
      <c r="K692" s="975" t="n"/>
      <c r="L692" s="253" t="n"/>
      <c r="M692" s="254" t="n"/>
      <c r="N692" s="254" t="n"/>
      <c r="O692" s="1183" t="n"/>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75" t="n"/>
      <c r="E693" s="975" t="n"/>
      <c r="F693" s="998" t="n"/>
      <c r="G693" s="998" t="n"/>
      <c r="H693" s="975" t="n"/>
      <c r="I693" s="975" t="n"/>
      <c r="J693" s="975" t="n"/>
      <c r="K693" s="1189">
        <f>K688=L693</f>
        <v/>
      </c>
      <c r="L693" s="491">
        <f>SUM(L688:L692)</f>
        <v/>
      </c>
      <c r="M693" s="1190" t="inlineStr">
        <is>
          <t xml:space="preserve">“Verdadero” indica que la cantidad por lote, coincide con el saldo que inicia al mes siguiente. "Falso" no coinicide. </t>
        </is>
      </c>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413">
        <f>MARZO!K694</f>
        <v/>
      </c>
      <c r="E694" s="339">
        <f>H290</f>
        <v/>
      </c>
      <c r="F694" s="338" t="n">
        <v>349</v>
      </c>
      <c r="G694" s="338" t="n">
        <v>6</v>
      </c>
      <c r="H694" s="1235">
        <f>+F694+G694</f>
        <v/>
      </c>
      <c r="I694" s="340">
        <f>+AM694</f>
        <v/>
      </c>
      <c r="J694" s="341">
        <f>+H694+I694</f>
        <v/>
      </c>
      <c r="K694" s="583">
        <f>+(D694+E694)-(J694)</f>
        <v/>
      </c>
      <c r="L694" s="253" t="n">
        <v>377</v>
      </c>
      <c r="M694" s="254" t="inlineStr">
        <is>
          <t>0654S4016</t>
        </is>
      </c>
      <c r="N694" s="254" t="inlineStr">
        <is>
          <t>Serum</t>
        </is>
      </c>
      <c r="O694" s="1183" t="inlineStr">
        <is>
          <t>31/07/2029</t>
        </is>
      </c>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v>0</v>
      </c>
      <c r="AA694" s="648" t="n">
        <v>0</v>
      </c>
      <c r="AB694" s="649">
        <f>+Z694+AA694</f>
        <v/>
      </c>
      <c r="AC694" s="648" t="n">
        <v>0</v>
      </c>
      <c r="AD694" s="648" t="n">
        <v>0</v>
      </c>
      <c r="AE694" s="648" t="n">
        <v>0</v>
      </c>
      <c r="AF694" s="648" t="n">
        <v>0</v>
      </c>
      <c r="AG694" s="648" t="n">
        <v>0</v>
      </c>
      <c r="AH694" s="648" t="n">
        <v>0</v>
      </c>
      <c r="AI694" s="648" t="n">
        <v>0</v>
      </c>
      <c r="AJ694" s="648" t="n">
        <v>0</v>
      </c>
      <c r="AK694" s="648" t="n">
        <v>0</v>
      </c>
      <c r="AL694" s="648" t="n">
        <v>0</v>
      </c>
      <c r="AM694" s="421">
        <f>SUM(AB694:AL698)</f>
        <v/>
      </c>
      <c r="AN694" s="726" t="n"/>
      <c r="AU694" s="1240" t="n"/>
      <c r="AV694" s="1240" t="n"/>
    </row>
    <row r="695" ht="17.1" customHeight="1">
      <c r="A695" s="973" t="n"/>
      <c r="B695" s="971" t="n"/>
      <c r="C695" s="972" t="n"/>
      <c r="D695" s="973" t="n"/>
      <c r="E695" s="973" t="n"/>
      <c r="F695" s="994" t="n"/>
      <c r="G695" s="994" t="n"/>
      <c r="H695" s="973" t="n"/>
      <c r="I695" s="973" t="n"/>
      <c r="J695" s="973" t="n"/>
      <c r="K695" s="973" t="n"/>
      <c r="L695" s="253" t="n">
        <v>194</v>
      </c>
      <c r="M695" s="254" t="inlineStr">
        <is>
          <t>0654S4015</t>
        </is>
      </c>
      <c r="N695" s="254" t="inlineStr">
        <is>
          <t>Serum</t>
        </is>
      </c>
      <c r="O695" s="1183" t="inlineStr">
        <is>
          <t>31/07/2029</t>
        </is>
      </c>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73" t="n"/>
      <c r="E696" s="973" t="n"/>
      <c r="F696" s="994" t="n"/>
      <c r="G696" s="994" t="n"/>
      <c r="H696" s="973" t="n"/>
      <c r="I696" s="973" t="n"/>
      <c r="J696" s="973" t="n"/>
      <c r="K696" s="973" t="n"/>
      <c r="L696" s="253" t="n">
        <v>183</v>
      </c>
      <c r="M696" s="254" t="inlineStr">
        <is>
          <t>08AR25015</t>
        </is>
      </c>
      <c r="N696" s="254" t="inlineStr">
        <is>
          <t>VINS BIOPRODUCTS LIMITED</t>
        </is>
      </c>
      <c r="O696" s="1183" t="inlineStr">
        <is>
          <t>31/05/2027</t>
        </is>
      </c>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73" t="n"/>
      <c r="E697" s="973" t="n"/>
      <c r="F697" s="994" t="n"/>
      <c r="G697" s="994" t="n"/>
      <c r="H697" s="973" t="n"/>
      <c r="I697" s="973" t="n"/>
      <c r="J697" s="973" t="n"/>
      <c r="K697" s="973" t="n"/>
      <c r="L697" s="253" t="n"/>
      <c r="M697" s="254" t="n"/>
      <c r="N697" s="254" t="n"/>
      <c r="O697" s="1183" t="n"/>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73" t="n"/>
      <c r="E698" s="973" t="n"/>
      <c r="F698" s="994" t="n"/>
      <c r="G698" s="994" t="n"/>
      <c r="H698" s="973" t="n"/>
      <c r="I698" s="973" t="n"/>
      <c r="J698" s="973" t="n"/>
      <c r="K698" s="975" t="n"/>
      <c r="L698" s="253" t="n"/>
      <c r="M698" s="254" t="n"/>
      <c r="N698" s="254" t="n"/>
      <c r="O698" s="1183" t="n"/>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75" t="n"/>
      <c r="E699" s="975" t="n"/>
      <c r="F699" s="998" t="n"/>
      <c r="G699" s="998" t="n"/>
      <c r="H699" s="975" t="n"/>
      <c r="I699" s="975" t="n"/>
      <c r="J699" s="975" t="n"/>
      <c r="K699" s="1189">
        <f>K694=L699</f>
        <v/>
      </c>
      <c r="L699" s="491">
        <f>SUM(L694:L698)</f>
        <v/>
      </c>
      <c r="M699" s="1190" t="inlineStr">
        <is>
          <t xml:space="preserve">“Verdadero” indica que la cantidad por lote, coincide con el saldo que inicia al mes siguiente. "Falso" no coinicide. </t>
        </is>
      </c>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413">
        <f>MARZO!K700</f>
        <v/>
      </c>
      <c r="E700" s="339">
        <f>H296</f>
        <v/>
      </c>
      <c r="F700" s="338" t="n">
        <v>0</v>
      </c>
      <c r="G700" s="338" t="n">
        <v>0</v>
      </c>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v>0</v>
      </c>
      <c r="AA700" s="648" t="n">
        <v>0</v>
      </c>
      <c r="AB700" s="649">
        <f>+Z700+AA700</f>
        <v/>
      </c>
      <c r="AC700" s="648" t="n">
        <v>0</v>
      </c>
      <c r="AD700" s="648" t="n">
        <v>0</v>
      </c>
      <c r="AE700" s="648" t="n">
        <v>0</v>
      </c>
      <c r="AF700" s="648" t="n">
        <v>0</v>
      </c>
      <c r="AG700" s="648" t="n">
        <v>0</v>
      </c>
      <c r="AH700" s="648" t="n">
        <v>0</v>
      </c>
      <c r="AI700" s="648" t="n">
        <v>0</v>
      </c>
      <c r="AJ700" s="648" t="n">
        <v>0</v>
      </c>
      <c r="AK700" s="648" t="n">
        <v>0</v>
      </c>
      <c r="AL700" s="648" t="n">
        <v>0</v>
      </c>
      <c r="AM700" s="421">
        <f>SUM(AB700:AL704)</f>
        <v/>
      </c>
      <c r="AN700" s="726" t="n"/>
      <c r="AU700" s="1240" t="n"/>
      <c r="AV700" s="1240" t="n"/>
    </row>
    <row r="701" ht="17.1" customHeight="1">
      <c r="A701" s="973" t="n"/>
      <c r="B701" s="971" t="n"/>
      <c r="C701" s="972" t="n"/>
      <c r="D701" s="973"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73"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73"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73"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75" t="n"/>
      <c r="E705" s="975" t="n"/>
      <c r="F705" s="998" t="n"/>
      <c r="G705" s="998" t="n"/>
      <c r="H705" s="975" t="n"/>
      <c r="I705" s="975" t="n"/>
      <c r="J705" s="975" t="n"/>
      <c r="K705" s="1189">
        <f>K700=L705</f>
        <v/>
      </c>
      <c r="L705" s="491">
        <f>SUM(L700:L704)</f>
        <v/>
      </c>
      <c r="M705" s="1190" t="inlineStr">
        <is>
          <t xml:space="preserve">“Verdadero” indica que la cantidad por lote, coincide con el saldo que inicia al mes siguiente. "Falso" no coinicide. </t>
        </is>
      </c>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647"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413">
        <f>MARZO!K707</f>
        <v/>
      </c>
      <c r="E707" s="339">
        <f>H303</f>
        <v/>
      </c>
      <c r="F707" s="338" t="n">
        <v>4472</v>
      </c>
      <c r="G707" s="338" t="n">
        <v>61</v>
      </c>
      <c r="H707" s="1235">
        <f>+F707+G707</f>
        <v/>
      </c>
      <c r="I707" s="340">
        <f>+AM707</f>
        <v/>
      </c>
      <c r="J707" s="341">
        <f>+H707+I707</f>
        <v/>
      </c>
      <c r="K707" s="583">
        <f>+(D707+E707)-(J707)</f>
        <v/>
      </c>
      <c r="L707" s="253" t="n">
        <v>14248</v>
      </c>
      <c r="M707" s="254" t="inlineStr">
        <is>
          <t>252216</t>
        </is>
      </c>
      <c r="N707" s="254" t="inlineStr">
        <is>
          <t>Fabricante</t>
        </is>
      </c>
      <c r="O707" s="1183" t="inlineStr">
        <is>
          <t>30/08/2027</t>
        </is>
      </c>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v>35</v>
      </c>
      <c r="AA707" s="648" t="n">
        <v>0</v>
      </c>
      <c r="AB707" s="649">
        <f>+Z707+AA707</f>
        <v/>
      </c>
      <c r="AC707" s="648" t="n">
        <v>0</v>
      </c>
      <c r="AD707" s="648" t="n">
        <v>5</v>
      </c>
      <c r="AE707" s="648" t="n">
        <v>0</v>
      </c>
      <c r="AF707" s="648" t="n">
        <v>9</v>
      </c>
      <c r="AG707" s="648" t="n">
        <v>26</v>
      </c>
      <c r="AH707" s="648" t="n">
        <v>0</v>
      </c>
      <c r="AI707" s="648" t="n">
        <v>0</v>
      </c>
      <c r="AJ707" s="648" t="n">
        <v>0</v>
      </c>
      <c r="AK707" s="648" t="n">
        <v>0</v>
      </c>
      <c r="AL707" s="648" t="n">
        <v>0</v>
      </c>
      <c r="AM707" s="421">
        <f>SUM(AB707:AL712)</f>
        <v/>
      </c>
      <c r="AN707" s="726" t="n"/>
      <c r="AU707" s="1240" t="n"/>
      <c r="AV707" s="1240" t="n"/>
    </row>
    <row r="708" ht="17.1" customHeight="1">
      <c r="A708" s="973" t="n"/>
      <c r="B708" s="971" t="n"/>
      <c r="C708" s="972" t="n"/>
      <c r="D708" s="973" t="n"/>
      <c r="E708" s="973" t="n"/>
      <c r="F708" s="994" t="n"/>
      <c r="G708" s="994" t="n"/>
      <c r="H708" s="973" t="n"/>
      <c r="I708" s="973" t="n"/>
      <c r="J708" s="973" t="n"/>
      <c r="K708" s="973" t="n"/>
      <c r="L708" s="253" t="n">
        <v>4240</v>
      </c>
      <c r="M708" s="254" t="inlineStr">
        <is>
          <t>192104</t>
        </is>
      </c>
      <c r="N708" s="254" t="inlineStr">
        <is>
          <t>SANAVITA</t>
        </is>
      </c>
      <c r="O708" s="1183" t="inlineStr">
        <is>
          <t>31/05/2026</t>
        </is>
      </c>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73" t="n"/>
      <c r="E709" s="973" t="n"/>
      <c r="F709" s="994" t="n"/>
      <c r="G709" s="994" t="n"/>
      <c r="H709" s="973" t="n"/>
      <c r="I709" s="973" t="n"/>
      <c r="J709" s="973" t="n"/>
      <c r="K709" s="973" t="n"/>
      <c r="L709" s="253" t="n">
        <v>3397</v>
      </c>
      <c r="M709" s="254" t="inlineStr">
        <is>
          <t>AR13095</t>
        </is>
      </c>
      <c r="N709" s="254" t="inlineStr">
        <is>
          <t>NUBENCO</t>
        </is>
      </c>
      <c r="O709" s="1183" t="inlineStr">
        <is>
          <t>30/09/2026</t>
        </is>
      </c>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73"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73" t="n"/>
      <c r="E711" s="973" t="n"/>
      <c r="F711" s="994" t="n"/>
      <c r="G711" s="994" t="n"/>
      <c r="H711" s="973" t="n"/>
      <c r="I711" s="973" t="n"/>
      <c r="J711" s="973" t="n"/>
      <c r="K711" s="973" t="n"/>
      <c r="L711" s="253" t="n"/>
      <c r="M711" s="254" t="n"/>
      <c r="N711" s="254" t="n"/>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73"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75" t="n"/>
      <c r="E713" s="975" t="n"/>
      <c r="F713" s="998" t="n"/>
      <c r="G713" s="998" t="n"/>
      <c r="H713" s="975" t="n"/>
      <c r="I713" s="975" t="n"/>
      <c r="J713" s="975" t="n"/>
      <c r="K713" s="1189">
        <f>K707=L713</f>
        <v/>
      </c>
      <c r="L713" s="491">
        <f>SUM(L707:L712)</f>
        <v/>
      </c>
      <c r="M713" s="1190" t="inlineStr">
        <is>
          <t xml:space="preserve">“Verdadero” indica que la cantidad por lote, coincide con el saldo que inicia al mes siguiente. "Falso" no coinicide. </t>
        </is>
      </c>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413">
        <f>MARZO!K714</f>
        <v/>
      </c>
      <c r="E714" s="339">
        <f>H310</f>
        <v/>
      </c>
      <c r="F714" s="338" t="n">
        <v>0</v>
      </c>
      <c r="G714" s="338" t="n">
        <v>0</v>
      </c>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v>0</v>
      </c>
      <c r="AA714" s="648" t="n">
        <v>0</v>
      </c>
      <c r="AB714" s="649">
        <f>+Z714+AA714</f>
        <v/>
      </c>
      <c r="AC714" s="648" t="n">
        <v>0</v>
      </c>
      <c r="AD714" s="648" t="n">
        <v>0</v>
      </c>
      <c r="AE714" s="648" t="n">
        <v>0</v>
      </c>
      <c r="AF714" s="648" t="n">
        <v>0</v>
      </c>
      <c r="AG714" s="648" t="n">
        <v>0</v>
      </c>
      <c r="AH714" s="648" t="n">
        <v>0</v>
      </c>
      <c r="AI714" s="648" t="n">
        <v>0</v>
      </c>
      <c r="AJ714" s="648" t="n">
        <v>0</v>
      </c>
      <c r="AK714" s="648" t="n">
        <v>0</v>
      </c>
      <c r="AL714" s="648" t="n">
        <v>0</v>
      </c>
      <c r="AM714" s="421">
        <f>SUM(AB714:AL719)</f>
        <v/>
      </c>
      <c r="AN714" s="726" t="n"/>
      <c r="AU714" s="1240" t="n"/>
      <c r="AV714" s="1240" t="n"/>
    </row>
    <row r="715" ht="17.1" customHeight="1">
      <c r="A715" s="973" t="n"/>
      <c r="B715" s="971" t="n"/>
      <c r="C715" s="972" t="n"/>
      <c r="D715" s="973"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73"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73"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73"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73"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75"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413">
        <f>MARZO!K721</f>
        <v/>
      </c>
      <c r="E721" s="339">
        <f>H317</f>
        <v/>
      </c>
      <c r="F721" s="338" t="n">
        <v>2363</v>
      </c>
      <c r="G721" s="338" t="n">
        <v>19</v>
      </c>
      <c r="H721" s="1235">
        <f>+F721+G721</f>
        <v/>
      </c>
      <c r="I721" s="340">
        <f>+AM721</f>
        <v/>
      </c>
      <c r="J721" s="341">
        <f>+H721+I721</f>
        <v/>
      </c>
      <c r="K721" s="583">
        <f>+(D721+E721)-(J721)</f>
        <v/>
      </c>
      <c r="L721" s="253" t="n">
        <v>17631</v>
      </c>
      <c r="M721" s="254" t="inlineStr">
        <is>
          <t>AR13158</t>
        </is>
      </c>
      <c r="N721" s="254" t="inlineStr">
        <is>
          <t>NUBENCO</t>
        </is>
      </c>
      <c r="O721" s="1183" t="inlineStr">
        <is>
          <t>31/03/2027</t>
        </is>
      </c>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v>0</v>
      </c>
      <c r="AA721" s="648" t="n">
        <v>0</v>
      </c>
      <c r="AB721" s="649">
        <f>+Z721+AA721</f>
        <v/>
      </c>
      <c r="AC721" s="648" t="n">
        <v>0</v>
      </c>
      <c r="AD721" s="648" t="n">
        <v>0</v>
      </c>
      <c r="AE721" s="648" t="n">
        <v>0</v>
      </c>
      <c r="AF721" s="648" t="n">
        <v>0</v>
      </c>
      <c r="AG721" s="648" t="n">
        <v>66</v>
      </c>
      <c r="AH721" s="648" t="n">
        <v>1</v>
      </c>
      <c r="AI721" s="648" t="n">
        <v>0</v>
      </c>
      <c r="AJ721" s="648" t="n">
        <v>0</v>
      </c>
      <c r="AK721" s="648" t="n">
        <v>0</v>
      </c>
      <c r="AL721" s="648" t="n">
        <v>0</v>
      </c>
      <c r="AM721" s="421">
        <f>SUM(AB721:AL726)</f>
        <v/>
      </c>
      <c r="AN721" s="726" t="n"/>
      <c r="AU721" s="1240" t="n"/>
      <c r="AV721" s="1240" t="n"/>
    </row>
    <row r="722" ht="17.1" customHeight="1">
      <c r="A722" s="973" t="n"/>
      <c r="B722" s="971" t="n"/>
      <c r="C722" s="972" t="n"/>
      <c r="D722" s="973" t="n"/>
      <c r="E722" s="973" t="n"/>
      <c r="F722" s="994" t="n"/>
      <c r="G722" s="994" t="n"/>
      <c r="H722" s="973" t="n"/>
      <c r="I722" s="973" t="n"/>
      <c r="J722" s="973" t="n"/>
      <c r="K722" s="973" t="n"/>
      <c r="L722" s="253" t="n">
        <v>1881</v>
      </c>
      <c r="M722" s="254" t="inlineStr">
        <is>
          <t>252216</t>
        </is>
      </c>
      <c r="N722" s="254" t="inlineStr">
        <is>
          <t>Fabricante</t>
        </is>
      </c>
      <c r="O722" s="1183" t="inlineStr">
        <is>
          <t>30/08/2027</t>
        </is>
      </c>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73" t="n"/>
      <c r="E723" s="973" t="n"/>
      <c r="F723" s="994" t="n"/>
      <c r="G723" s="994" t="n"/>
      <c r="H723" s="973" t="n"/>
      <c r="I723" s="973" t="n"/>
      <c r="J723" s="973" t="n"/>
      <c r="K723" s="973" t="n"/>
      <c r="L723" s="253" t="n">
        <v>1798</v>
      </c>
      <c r="M723" s="254" t="inlineStr">
        <is>
          <t>AR13095</t>
        </is>
      </c>
      <c r="N723" s="254" t="inlineStr">
        <is>
          <t>NUBENCO</t>
        </is>
      </c>
      <c r="O723" s="1183" t="inlineStr">
        <is>
          <t>30/09/2026</t>
        </is>
      </c>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73" t="n"/>
      <c r="E724" s="973" t="n"/>
      <c r="F724" s="994" t="n"/>
      <c r="G724" s="994" t="n"/>
      <c r="H724" s="973" t="n"/>
      <c r="I724" s="973" t="n"/>
      <c r="J724" s="973" t="n"/>
      <c r="K724" s="973" t="n"/>
      <c r="L724" s="253" t="n"/>
      <c r="M724" s="254" t="n"/>
      <c r="N724" s="254" t="n"/>
      <c r="O724" s="1183" t="n"/>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73" t="n"/>
      <c r="E725" s="973" t="n"/>
      <c r="F725" s="994" t="n"/>
      <c r="G725" s="994" t="n"/>
      <c r="H725" s="973" t="n"/>
      <c r="I725" s="973" t="n"/>
      <c r="J725" s="973" t="n"/>
      <c r="K725" s="973" t="n"/>
      <c r="L725" s="253" t="n">
        <v>40</v>
      </c>
      <c r="M725" s="254" t="inlineStr">
        <is>
          <t>AR13133-8</t>
        </is>
      </c>
      <c r="N725" s="254" t="inlineStr">
        <is>
          <t>NUBENCO</t>
        </is>
      </c>
      <c r="O725" s="1183" t="inlineStr">
        <is>
          <t>31/03/2027</t>
        </is>
      </c>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73" t="n"/>
      <c r="E726" s="973" t="n"/>
      <c r="F726" s="994" t="n"/>
      <c r="G726" s="994" t="n"/>
      <c r="H726" s="973" t="n"/>
      <c r="I726" s="973" t="n"/>
      <c r="J726" s="973" t="n"/>
      <c r="K726" s="975" t="n"/>
      <c r="L726" s="253" t="n"/>
      <c r="M726" s="254" t="n"/>
      <c r="N726" s="254" t="n"/>
      <c r="O726" s="1183" t="n"/>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75" t="n"/>
      <c r="E727" s="975" t="n"/>
      <c r="F727" s="998" t="n"/>
      <c r="G727" s="998" t="n"/>
      <c r="H727" s="975" t="n"/>
      <c r="I727" s="975" t="n"/>
      <c r="J727" s="975" t="n"/>
      <c r="K727" s="1189">
        <f>K721=L727</f>
        <v/>
      </c>
      <c r="L727" s="491">
        <f>SUM(L721:L726)</f>
        <v/>
      </c>
      <c r="M727" s="1190" t="inlineStr">
        <is>
          <t xml:space="preserve">“Verdadero” indica que la cantidad por lote, coincide con el saldo que inicia al mes siguiente. "Falso" no coinicide. </t>
        </is>
      </c>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413">
        <f>MARZO!K728</f>
        <v/>
      </c>
      <c r="E728" s="339">
        <f>H324</f>
        <v/>
      </c>
      <c r="F728" s="338" t="n">
        <v>86</v>
      </c>
      <c r="G728" s="338" t="n">
        <v>0</v>
      </c>
      <c r="H728" s="1235">
        <f>+F728+G728</f>
        <v/>
      </c>
      <c r="I728" s="340">
        <f>+AM728</f>
        <v/>
      </c>
      <c r="J728" s="341">
        <f>+H728+I728</f>
        <v/>
      </c>
      <c r="K728" s="583">
        <f>+(D728+E728)-(J728)</f>
        <v/>
      </c>
      <c r="L728" s="253" t="n"/>
      <c r="M728" s="254" t="n"/>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v>0</v>
      </c>
      <c r="AA728" s="648" t="n">
        <v>0</v>
      </c>
      <c r="AB728" s="649">
        <f>+Z728+AA728</f>
        <v/>
      </c>
      <c r="AC728" s="648" t="n">
        <v>0</v>
      </c>
      <c r="AD728" s="648" t="n">
        <v>0</v>
      </c>
      <c r="AE728" s="648" t="n">
        <v>0</v>
      </c>
      <c r="AF728" s="648" t="n">
        <v>0</v>
      </c>
      <c r="AG728" s="648" t="n">
        <v>0</v>
      </c>
      <c r="AH728" s="648" t="n">
        <v>0</v>
      </c>
      <c r="AI728" s="648" t="n">
        <v>0</v>
      </c>
      <c r="AJ728" s="648" t="n">
        <v>0</v>
      </c>
      <c r="AK728" s="648" t="n">
        <v>0</v>
      </c>
      <c r="AL728" s="648" t="n">
        <v>0</v>
      </c>
      <c r="AM728" s="421">
        <f>SUM(AB728:AL733)</f>
        <v/>
      </c>
      <c r="AN728" s="726" t="n"/>
      <c r="AU728" s="1240" t="n"/>
      <c r="AV728" s="1240" t="n"/>
    </row>
    <row r="729" ht="17.1" customHeight="1">
      <c r="A729" s="973" t="n"/>
      <c r="B729" s="971" t="n"/>
      <c r="C729" s="972" t="n"/>
      <c r="D729" s="973" t="n"/>
      <c r="E729" s="973" t="n"/>
      <c r="F729" s="994" t="n"/>
      <c r="G729" s="994" t="n"/>
      <c r="H729" s="973" t="n"/>
      <c r="I729" s="973" t="n"/>
      <c r="J729" s="973" t="n"/>
      <c r="K729" s="973" t="n"/>
      <c r="L729" s="253" t="n">
        <v>431</v>
      </c>
      <c r="M729" s="254" t="inlineStr">
        <is>
          <t>252216</t>
        </is>
      </c>
      <c r="N729" s="254" t="inlineStr">
        <is>
          <t>Fabricante</t>
        </is>
      </c>
      <c r="O729" s="1183" t="inlineStr">
        <is>
          <t>30/08/2027</t>
        </is>
      </c>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73"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73"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73"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73"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75" t="n"/>
      <c r="E734" s="975" t="n"/>
      <c r="F734" s="998" t="n"/>
      <c r="G734" s="998" t="n"/>
      <c r="H734" s="975" t="n"/>
      <c r="I734" s="975" t="n"/>
      <c r="J734" s="975" t="n"/>
      <c r="K734" s="1189">
        <f>K728=L734</f>
        <v/>
      </c>
      <c r="L734" s="491">
        <f>SUM(L728:L733)</f>
        <v/>
      </c>
      <c r="M734" s="1190" t="inlineStr">
        <is>
          <t xml:space="preserve">“Verdadero” indica que la cantidad por lote, coincide con el saldo que inicia al mes siguiente. "Falso" no coinicide. </t>
        </is>
      </c>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413">
        <f>MARZO!K735</f>
        <v/>
      </c>
      <c r="E735" s="339">
        <f>H331</f>
        <v/>
      </c>
      <c r="F735" s="338" t="n"/>
      <c r="G735" s="338" t="n"/>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v>0</v>
      </c>
      <c r="AA735" s="648" t="n">
        <v>0</v>
      </c>
      <c r="AB735" s="649">
        <f>+Z735+AA735</f>
        <v/>
      </c>
      <c r="AC735" s="648" t="n">
        <v>0</v>
      </c>
      <c r="AD735" s="648" t="n">
        <v>0</v>
      </c>
      <c r="AE735" s="648" t="n">
        <v>0</v>
      </c>
      <c r="AF735" s="648" t="n">
        <v>0</v>
      </c>
      <c r="AG735" s="648" t="n">
        <v>0</v>
      </c>
      <c r="AH735" s="648" t="n">
        <v>0</v>
      </c>
      <c r="AI735" s="648" t="n">
        <v>0</v>
      </c>
      <c r="AJ735" s="648" t="n">
        <v>0</v>
      </c>
      <c r="AK735" s="648" t="n">
        <v>0</v>
      </c>
      <c r="AL735" s="648" t="n">
        <v>0</v>
      </c>
      <c r="AM735" s="421">
        <f>SUM(AB735:AL740)</f>
        <v/>
      </c>
      <c r="AN735" s="726" t="n"/>
      <c r="AU735" s="1240" t="n"/>
      <c r="AV735" s="1240" t="n"/>
    </row>
    <row r="736" ht="17.1" customHeight="1">
      <c r="A736" s="973" t="n"/>
      <c r="B736" s="971" t="n"/>
      <c r="C736" s="972" t="n"/>
      <c r="D736" s="973"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73"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73"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73"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73"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75" t="n"/>
      <c r="E741" s="975" t="n"/>
      <c r="F741" s="998" t="n"/>
      <c r="G741" s="998" t="n"/>
      <c r="H741" s="975" t="n"/>
      <c r="I741" s="975" t="n"/>
      <c r="J741" s="975" t="n"/>
      <c r="K741" s="1189">
        <f>K735=L741</f>
        <v/>
      </c>
      <c r="L741" s="491">
        <f>SUM(L735:L740)</f>
        <v/>
      </c>
      <c r="M741" s="1190" t="inlineStr">
        <is>
          <t xml:space="preserve">“Verdadero” indica que la cantidad por lote, coincide con el saldo que inicia al mes siguiente. "Falso" no coinicide. </t>
        </is>
      </c>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413">
        <f>MARZO!K742</f>
        <v/>
      </c>
      <c r="E742" s="339">
        <f>H338</f>
        <v/>
      </c>
      <c r="F742" s="338" t="n">
        <v>11119</v>
      </c>
      <c r="G742" s="338" t="n">
        <v>119</v>
      </c>
      <c r="H742" s="1235">
        <f>+F742+G742</f>
        <v/>
      </c>
      <c r="I742" s="340">
        <f>+AM742</f>
        <v/>
      </c>
      <c r="J742" s="341">
        <f>+H742+I742</f>
        <v/>
      </c>
      <c r="K742" s="583">
        <f>+(D742+E742)-(J742)</f>
        <v/>
      </c>
      <c r="L742" s="253" t="n">
        <v>13271</v>
      </c>
      <c r="M742" s="254" t="inlineStr">
        <is>
          <t>AR13133-8</t>
        </is>
      </c>
      <c r="N742" s="254" t="inlineStr">
        <is>
          <t>NUBENCO</t>
        </is>
      </c>
      <c r="O742" s="1183" t="inlineStr">
        <is>
          <t>31/03/2027</t>
        </is>
      </c>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v>214</v>
      </c>
      <c r="AA742" s="648" t="n">
        <v>0</v>
      </c>
      <c r="AB742" s="649">
        <f>+Z742+AA742</f>
        <v/>
      </c>
      <c r="AC742" s="648" t="n">
        <v>0</v>
      </c>
      <c r="AD742" s="648" t="n">
        <v>3</v>
      </c>
      <c r="AE742" s="648" t="n">
        <v>0</v>
      </c>
      <c r="AF742" s="648" t="n">
        <v>4</v>
      </c>
      <c r="AG742" s="648" t="n">
        <v>7</v>
      </c>
      <c r="AH742" s="648" t="n">
        <v>0</v>
      </c>
      <c r="AI742" s="648" t="n">
        <v>0</v>
      </c>
      <c r="AJ742" s="648" t="n">
        <v>0</v>
      </c>
      <c r="AK742" s="648" t="n">
        <v>68</v>
      </c>
      <c r="AL742" s="648" t="n">
        <v>0</v>
      </c>
      <c r="AM742" s="421">
        <f>SUM(AB742:AL747)</f>
        <v/>
      </c>
      <c r="AN742" s="726" t="n"/>
      <c r="AU742" s="1240" t="n"/>
      <c r="AV742" s="1240" t="n"/>
    </row>
    <row r="743" ht="17.1" customHeight="1">
      <c r="A743" s="973" t="n"/>
      <c r="B743" s="971" t="n"/>
      <c r="C743" s="972" t="n"/>
      <c r="D743" s="973" t="n"/>
      <c r="E743" s="973" t="n"/>
      <c r="F743" s="994" t="n"/>
      <c r="G743" s="994" t="n"/>
      <c r="H743" s="973" t="n"/>
      <c r="I743" s="973" t="n"/>
      <c r="J743" s="973" t="n"/>
      <c r="K743" s="973" t="n"/>
      <c r="L743" s="253" t="n">
        <v>2796</v>
      </c>
      <c r="M743" s="254" t="inlineStr">
        <is>
          <t>CW13132-5</t>
        </is>
      </c>
      <c r="N743" s="254" t="inlineStr">
        <is>
          <t>NUBENCO</t>
        </is>
      </c>
      <c r="O743" s="1183" t="inlineStr">
        <is>
          <t>31/01/2027</t>
        </is>
      </c>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73" t="n"/>
      <c r="E744" s="973" t="n"/>
      <c r="F744" s="994" t="n"/>
      <c r="G744" s="994" t="n"/>
      <c r="H744" s="973" t="n"/>
      <c r="I744" s="973" t="n"/>
      <c r="J744" s="973" t="n"/>
      <c r="K744" s="973" t="n"/>
      <c r="L744" s="253" t="n">
        <v>2173</v>
      </c>
      <c r="M744" s="254" t="inlineStr">
        <is>
          <t>CW13132-4</t>
        </is>
      </c>
      <c r="N744" s="254" t="inlineStr">
        <is>
          <t>NUBENCO</t>
        </is>
      </c>
      <c r="O744" s="1183" t="inlineStr">
        <is>
          <t>31/01/2027</t>
        </is>
      </c>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73" t="n"/>
      <c r="E745" s="973" t="n"/>
      <c r="F745" s="994" t="n"/>
      <c r="G745" s="994" t="n"/>
      <c r="H745" s="973" t="n"/>
      <c r="I745" s="973" t="n"/>
      <c r="J745" s="973" t="n"/>
      <c r="K745" s="973" t="n"/>
      <c r="L745" s="253" t="n">
        <v>790</v>
      </c>
      <c r="M745" s="254" t="inlineStr">
        <is>
          <t>AR13133-7</t>
        </is>
      </c>
      <c r="N745" s="254" t="inlineStr">
        <is>
          <t>Fabricante</t>
        </is>
      </c>
      <c r="O745" s="1183" t="inlineStr">
        <is>
          <t>28/02/2027</t>
        </is>
      </c>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73" t="n"/>
      <c r="E746" s="973" t="n"/>
      <c r="F746" s="994" t="n"/>
      <c r="G746" s="994" t="n"/>
      <c r="H746" s="973" t="n"/>
      <c r="I746" s="973" t="n"/>
      <c r="J746" s="973" t="n"/>
      <c r="K746" s="973" t="n"/>
      <c r="L746" s="253" t="n">
        <v>394</v>
      </c>
      <c r="M746" s="254" t="inlineStr">
        <is>
          <t>20220110</t>
        </is>
      </c>
      <c r="N746" s="254" t="inlineStr">
        <is>
          <t>YIXIN China</t>
        </is>
      </c>
      <c r="O746" s="1183" t="inlineStr">
        <is>
          <t>09/01/2027</t>
        </is>
      </c>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73" t="n"/>
      <c r="E747" s="973" t="n"/>
      <c r="F747" s="994" t="n"/>
      <c r="G747" s="994" t="n"/>
      <c r="H747" s="973" t="n"/>
      <c r="I747" s="973" t="n"/>
      <c r="J747" s="973" t="n"/>
      <c r="K747" s="975" t="n"/>
      <c r="L747" s="253" t="n"/>
      <c r="M747" s="254" t="n"/>
      <c r="N747" s="254" t="n"/>
      <c r="O747" s="1183" t="n"/>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75" t="n"/>
      <c r="E748" s="975" t="n"/>
      <c r="F748" s="998" t="n"/>
      <c r="G748" s="998" t="n"/>
      <c r="H748" s="975" t="n"/>
      <c r="I748" s="975" t="n"/>
      <c r="J748" s="975" t="n"/>
      <c r="K748" s="1189">
        <f>K742=L748</f>
        <v/>
      </c>
      <c r="L748" s="491">
        <f>SUM(L742:L747)</f>
        <v/>
      </c>
      <c r="M748" s="1190" t="inlineStr">
        <is>
          <t xml:space="preserve">“Verdadero” indica que la cantidad por lote, coincide con el saldo que inicia al mes siguiente. "Falso" no coinicide. </t>
        </is>
      </c>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413">
        <f>MARZO!K749</f>
        <v/>
      </c>
      <c r="E749" s="339">
        <f>H345</f>
        <v/>
      </c>
      <c r="F749" s="338" t="n">
        <v>0</v>
      </c>
      <c r="G749" s="338" t="n">
        <v>0</v>
      </c>
      <c r="H749" s="1235">
        <f>+F749+G749</f>
        <v/>
      </c>
      <c r="I749" s="340">
        <f>+AM749</f>
        <v/>
      </c>
      <c r="J749" s="341">
        <f>+H749+I749</f>
        <v/>
      </c>
      <c r="K749" s="583">
        <f>+(D749+E749)-(J749)</f>
        <v/>
      </c>
      <c r="L749" s="253" t="n"/>
      <c r="M749" s="254" t="n"/>
      <c r="N749" s="254" t="n"/>
      <c r="O749" s="1183" t="n"/>
      <c r="P749" s="256">
        <f>IF(O749=0," ",IFERROR(IF(DATEDIF(TODAY(),O749,"M")&lt;=5,"ROJO",IF(DATEDIF(TODAY(),O749,"M")&gt;=12,"VERDE",IF(AND(DATEDIF(TODAY(),O749,"M")&gt;=6,DATEDIF(TODAY(),O749,"M")&lt;=11),"AMARILLO"))),Q749))</f>
        <v/>
      </c>
      <c r="Q749" s="256">
        <f>IF(O749=0," ",IF(O749&lt;=$L$6,"VENCIDO","NO VENCIDO"))</f>
        <v/>
      </c>
      <c r="R749" s="257" t="n"/>
      <c r="S749" s="258" t="n"/>
      <c r="T749" s="258" t="n"/>
      <c r="U749" s="1184" t="n"/>
      <c r="V749" s="1184" t="n"/>
      <c r="W749" s="1236">
        <f>+AR749</f>
        <v/>
      </c>
      <c r="X749" s="1237" t="n"/>
      <c r="Y749" s="232" t="n"/>
      <c r="Z749" s="648" t="n">
        <v>0</v>
      </c>
      <c r="AA749" s="648" t="n">
        <v>0</v>
      </c>
      <c r="AB749" s="649">
        <f>+Z749+AA749</f>
        <v/>
      </c>
      <c r="AC749" s="648" t="n">
        <v>0</v>
      </c>
      <c r="AD749" s="648" t="n">
        <v>0</v>
      </c>
      <c r="AE749" s="648" t="n">
        <v>0</v>
      </c>
      <c r="AF749" s="648" t="n">
        <v>0</v>
      </c>
      <c r="AG749" s="648" t="n">
        <v>0</v>
      </c>
      <c r="AH749" s="648" t="n">
        <v>0</v>
      </c>
      <c r="AI749" s="648" t="n">
        <v>0</v>
      </c>
      <c r="AJ749" s="648" t="n">
        <v>0</v>
      </c>
      <c r="AK749" s="648" t="n">
        <v>0</v>
      </c>
      <c r="AL749" s="648" t="n">
        <v>0</v>
      </c>
      <c r="AM749" s="421">
        <f>SUM(AB749:AL754)</f>
        <v/>
      </c>
      <c r="AN749" s="726" t="n"/>
      <c r="AU749" s="1240" t="n"/>
      <c r="AV749" s="1240" t="n"/>
    </row>
    <row r="750" ht="17.1" customHeight="1">
      <c r="A750" s="973" t="n"/>
      <c r="B750" s="971" t="n"/>
      <c r="C750" s="972" t="n"/>
      <c r="D750" s="973"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73"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73"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73"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73"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75" t="n"/>
      <c r="E755" s="975" t="n"/>
      <c r="F755" s="998" t="n"/>
      <c r="G755" s="998" t="n"/>
      <c r="H755" s="975" t="n"/>
      <c r="I755" s="975" t="n"/>
      <c r="J755" s="975" t="n"/>
      <c r="K755" s="1189">
        <f>K749=L755</f>
        <v/>
      </c>
      <c r="L755" s="491">
        <f>SUM(L749:L754)</f>
        <v/>
      </c>
      <c r="M755" s="1190" t="inlineStr">
        <is>
          <t xml:space="preserve">“Verdadero” indica que la cantidad por lote, coincide con el saldo que inicia al mes siguiente. "Falso" no coinicide. </t>
        </is>
      </c>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413">
        <f>MARZO!K756</f>
        <v/>
      </c>
      <c r="E756" s="339">
        <f>H352</f>
        <v/>
      </c>
      <c r="F756" s="338" t="n">
        <v>9357</v>
      </c>
      <c r="G756" s="338" t="n">
        <v>70</v>
      </c>
      <c r="H756" s="1235">
        <f>+F756+G756</f>
        <v/>
      </c>
      <c r="I756" s="340">
        <f>+AM756</f>
        <v/>
      </c>
      <c r="J756" s="341">
        <f>+H756+I756</f>
        <v/>
      </c>
      <c r="K756" s="583">
        <f>+(D756+E756)-(J756)</f>
        <v/>
      </c>
      <c r="L756" s="253" t="n">
        <v>13920</v>
      </c>
      <c r="M756" s="254" t="inlineStr">
        <is>
          <t>20250903</t>
        </is>
      </c>
      <c r="N756" s="254" t="inlineStr">
        <is>
          <t>YIXIN China</t>
        </is>
      </c>
      <c r="O756" s="1183" t="inlineStr">
        <is>
          <t>02/09/2030</t>
        </is>
      </c>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v>55</v>
      </c>
      <c r="AA756" s="648" t="n">
        <v>0</v>
      </c>
      <c r="AB756" s="649">
        <f>+Z756+AA756</f>
        <v/>
      </c>
      <c r="AC756" s="648" t="n">
        <v>0</v>
      </c>
      <c r="AD756" s="648" t="n">
        <v>0</v>
      </c>
      <c r="AE756" s="648" t="n">
        <v>0</v>
      </c>
      <c r="AF756" s="648" t="n">
        <v>0</v>
      </c>
      <c r="AG756" s="648" t="n">
        <v>1</v>
      </c>
      <c r="AH756" s="648" t="n">
        <v>0</v>
      </c>
      <c r="AI756" s="648" t="n">
        <v>0</v>
      </c>
      <c r="AJ756" s="648" t="n">
        <v>0</v>
      </c>
      <c r="AK756" s="648" t="n">
        <v>0</v>
      </c>
      <c r="AL756" s="648" t="n">
        <v>0</v>
      </c>
      <c r="AM756" s="421">
        <f>SUM(AB756:AL761)</f>
        <v/>
      </c>
      <c r="AN756" s="726" t="n"/>
      <c r="AU756" s="1240" t="n"/>
      <c r="AV756" s="1240" t="n"/>
    </row>
    <row r="757" ht="17.1" customHeight="1">
      <c r="A757" s="973" t="n"/>
      <c r="B757" s="971" t="n"/>
      <c r="C757" s="972" t="n"/>
      <c r="D757" s="973" t="n"/>
      <c r="E757" s="973" t="n"/>
      <c r="F757" s="994" t="n"/>
      <c r="G757" s="994" t="n"/>
      <c r="H757" s="973" t="n"/>
      <c r="I757" s="973" t="n"/>
      <c r="J757" s="973" t="n"/>
      <c r="K757" s="973" t="n"/>
      <c r="L757" s="253" t="n">
        <v>9142</v>
      </c>
      <c r="M757" s="254" t="inlineStr">
        <is>
          <t>23FA1</t>
        </is>
      </c>
      <c r="N757" s="254" t="inlineStr">
        <is>
          <t>Fabricante</t>
        </is>
      </c>
      <c r="O757" s="1183" t="inlineStr">
        <is>
          <t>31/05/2028</t>
        </is>
      </c>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73" t="n"/>
      <c r="E758" s="973" t="n"/>
      <c r="F758" s="994" t="n"/>
      <c r="G758" s="994" t="n"/>
      <c r="H758" s="973" t="n"/>
      <c r="I758" s="973" t="n"/>
      <c r="J758" s="973" t="n"/>
      <c r="K758" s="973" t="n"/>
      <c r="L758" s="253" t="n">
        <v>510</v>
      </c>
      <c r="M758" s="254" t="inlineStr">
        <is>
          <t>552214</t>
        </is>
      </c>
      <c r="N758" s="254" t="inlineStr">
        <is>
          <t>Fabricante</t>
        </is>
      </c>
      <c r="O758" s="1183" t="inlineStr">
        <is>
          <t>30/06/2027</t>
        </is>
      </c>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73" t="n"/>
      <c r="E759" s="973" t="n"/>
      <c r="F759" s="994" t="n"/>
      <c r="G759" s="994" t="n"/>
      <c r="H759" s="973" t="n"/>
      <c r="I759" s="973" t="n"/>
      <c r="J759" s="973" t="n"/>
      <c r="K759" s="973" t="n"/>
      <c r="L759" s="253" t="n">
        <v>168</v>
      </c>
      <c r="M759" s="254" t="inlineStr">
        <is>
          <t>552212</t>
        </is>
      </c>
      <c r="N759" s="254" t="inlineStr">
        <is>
          <t>Fabricante</t>
        </is>
      </c>
      <c r="O759" s="1183" t="inlineStr">
        <is>
          <t>30/06/2027</t>
        </is>
      </c>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73" t="n"/>
      <c r="E760" s="973" t="n"/>
      <c r="F760" s="994" t="n"/>
      <c r="G760" s="994" t="n"/>
      <c r="H760" s="973" t="n"/>
      <c r="I760" s="973" t="n"/>
      <c r="J760" s="973" t="n"/>
      <c r="K760" s="973" t="n"/>
      <c r="L760" s="253" t="n"/>
      <c r="M760" s="254" t="n"/>
      <c r="N760" s="254" t="n"/>
      <c r="O760" s="1183" t="n"/>
      <c r="P760" s="256">
        <f>IF(O760=0," ",IFERROR(IF(DATEDIF(TODAY(),O760,"M")&lt;=5,"ROJO",IF(DATEDIF(TODAY(),O760,"M")&gt;=12,"VERDE",IF(AND(DATEDIF(TODAY(),O760,"M")&gt;=6,DATEDIF(TODAY(),O760,"M")&lt;=11),"AMARILLO"))),Q760))</f>
        <v/>
      </c>
      <c r="Q760" s="256">
        <f>IF(O760=0," ",IF(O760&lt;=$L$6,"VENCIDO","NO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73"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75"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413">
        <f>MARZO!K763</f>
        <v/>
      </c>
      <c r="E763" s="339">
        <f>H359</f>
        <v/>
      </c>
      <c r="F763" s="338" t="n">
        <v>573</v>
      </c>
      <c r="G763" s="338" t="n">
        <v>25</v>
      </c>
      <c r="H763" s="1235">
        <f>+F763+G763</f>
        <v/>
      </c>
      <c r="I763" s="340">
        <f>+AM763</f>
        <v/>
      </c>
      <c r="J763" s="341">
        <f>+H763+I763</f>
        <v/>
      </c>
      <c r="K763" s="583">
        <f>+(D763+E763)-(J763)</f>
        <v/>
      </c>
      <c r="L763" s="253" t="n">
        <v>3780</v>
      </c>
      <c r="M763" s="254" t="inlineStr">
        <is>
          <t>662203</t>
        </is>
      </c>
      <c r="N763" s="254" t="inlineStr">
        <is>
          <t>Fabricante</t>
        </is>
      </c>
      <c r="O763" s="1183" t="inlineStr">
        <is>
          <t>30/09/2027</t>
        </is>
      </c>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v>14</v>
      </c>
      <c r="AA763" s="648" t="n">
        <v>0</v>
      </c>
      <c r="AB763" s="649">
        <f>+Z763+AA763</f>
        <v/>
      </c>
      <c r="AC763" s="648" t="n">
        <v>0</v>
      </c>
      <c r="AD763" s="648" t="n">
        <v>0</v>
      </c>
      <c r="AE763" s="648" t="n">
        <v>0</v>
      </c>
      <c r="AF763" s="648" t="n">
        <v>0</v>
      </c>
      <c r="AG763" s="648" t="n">
        <v>0</v>
      </c>
      <c r="AH763" s="648" t="n">
        <v>11</v>
      </c>
      <c r="AI763" s="648" t="n">
        <v>0</v>
      </c>
      <c r="AJ763" s="648" t="n">
        <v>0</v>
      </c>
      <c r="AK763" s="648" t="n">
        <v>0</v>
      </c>
      <c r="AL763" s="648" t="n">
        <v>0</v>
      </c>
      <c r="AM763" s="421">
        <f>SUM(AB763:AL768)</f>
        <v/>
      </c>
      <c r="AN763" s="726" t="n"/>
      <c r="AU763" s="1240" t="n"/>
      <c r="AV763" s="1240" t="n"/>
    </row>
    <row r="764" ht="17.1" customHeight="1">
      <c r="A764" s="973" t="n"/>
      <c r="B764" s="971" t="n"/>
      <c r="C764" s="972" t="n"/>
      <c r="D764" s="973" t="n"/>
      <c r="E764" s="973" t="n"/>
      <c r="F764" s="994" t="n"/>
      <c r="G764" s="994" t="n"/>
      <c r="H764" s="973" t="n"/>
      <c r="I764" s="973" t="n"/>
      <c r="J764" s="973" t="n"/>
      <c r="K764" s="973" t="n"/>
      <c r="L764" s="253" t="n">
        <v>852</v>
      </c>
      <c r="M764" s="254" t="inlineStr">
        <is>
          <t>662202</t>
        </is>
      </c>
      <c r="N764" s="254" t="inlineStr">
        <is>
          <t>Fabricante</t>
        </is>
      </c>
      <c r="O764" s="1183" t="inlineStr">
        <is>
          <t>30/09/2027</t>
        </is>
      </c>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73" t="n"/>
      <c r="E765" s="973" t="n"/>
      <c r="F765" s="994" t="n"/>
      <c r="G765" s="994" t="n"/>
      <c r="H765" s="973" t="n"/>
      <c r="I765" s="973" t="n"/>
      <c r="J765" s="973" t="n"/>
      <c r="K765" s="973" t="n"/>
      <c r="L765" s="253" t="n">
        <v>97</v>
      </c>
      <c r="M765" s="254" t="inlineStr">
        <is>
          <t>622204</t>
        </is>
      </c>
      <c r="N765" s="254" t="inlineStr">
        <is>
          <t>Fabricante</t>
        </is>
      </c>
      <c r="O765" s="1183" t="inlineStr">
        <is>
          <t>28/02/2027</t>
        </is>
      </c>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73" t="n"/>
      <c r="E766" s="973" t="n"/>
      <c r="F766" s="994" t="n"/>
      <c r="G766" s="994" t="n"/>
      <c r="H766" s="973" t="n"/>
      <c r="I766" s="973" t="n"/>
      <c r="J766" s="973" t="n"/>
      <c r="K766" s="973" t="n"/>
      <c r="L766" s="253" t="n">
        <v>82</v>
      </c>
      <c r="M766" s="254" t="inlineStr">
        <is>
          <t>582101</t>
        </is>
      </c>
      <c r="N766" s="254" t="inlineStr">
        <is>
          <t>MEDECO</t>
        </is>
      </c>
      <c r="O766" s="1183" t="inlineStr">
        <is>
          <t>31/05/2026</t>
        </is>
      </c>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73" t="n"/>
      <c r="E767" s="973" t="n"/>
      <c r="F767" s="994" t="n"/>
      <c r="G767" s="994" t="n"/>
      <c r="H767" s="973" t="n"/>
      <c r="I767" s="973" t="n"/>
      <c r="J767" s="973" t="n"/>
      <c r="K767" s="973" t="n"/>
      <c r="L767" s="253" t="n">
        <v>61</v>
      </c>
      <c r="M767" s="254" t="inlineStr">
        <is>
          <t>622202</t>
        </is>
      </c>
      <c r="N767" s="254" t="inlineStr">
        <is>
          <t>MEDECO</t>
        </is>
      </c>
      <c r="O767" s="1183" t="inlineStr">
        <is>
          <t>28/02/2027</t>
        </is>
      </c>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73"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75" t="n"/>
      <c r="E769" s="975" t="n"/>
      <c r="F769" s="998" t="n"/>
      <c r="G769" s="998" t="n"/>
      <c r="H769" s="975" t="n"/>
      <c r="I769" s="975" t="n"/>
      <c r="J769" s="975" t="n"/>
      <c r="K769" s="1189">
        <f>K763=L769</f>
        <v/>
      </c>
      <c r="L769" s="491">
        <f>SUM(L763:L768)</f>
        <v/>
      </c>
      <c r="M769" s="1190" t="inlineStr">
        <is>
          <t xml:space="preserve">“Verdadero” indica que la cantidad por lote, coincide con el saldo que inicia al mes siguiente. "Falso" no coinicide. </t>
        </is>
      </c>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413">
        <f>MARZO!K770</f>
        <v/>
      </c>
      <c r="E770" s="339">
        <f>H366</f>
        <v/>
      </c>
      <c r="F770" s="338" t="n">
        <v>0</v>
      </c>
      <c r="G770" s="338" t="n">
        <v>0</v>
      </c>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v>0</v>
      </c>
      <c r="AA770" s="648" t="n">
        <v>0</v>
      </c>
      <c r="AB770" s="649">
        <f>+Z770+AA770</f>
        <v/>
      </c>
      <c r="AC770" s="648" t="n">
        <v>0</v>
      </c>
      <c r="AD770" s="648" t="n">
        <v>0</v>
      </c>
      <c r="AE770" s="648" t="n">
        <v>0</v>
      </c>
      <c r="AF770" s="648" t="n">
        <v>0</v>
      </c>
      <c r="AG770" s="648" t="n">
        <v>0</v>
      </c>
      <c r="AH770" s="648" t="n">
        <v>0</v>
      </c>
      <c r="AI770" s="648" t="n">
        <v>0</v>
      </c>
      <c r="AJ770" s="648" t="n">
        <v>0</v>
      </c>
      <c r="AK770" s="648" t="n">
        <v>0</v>
      </c>
      <c r="AL770" s="648" t="n">
        <v>0</v>
      </c>
      <c r="AM770" s="421">
        <f>SUM(AB770:AL775)</f>
        <v/>
      </c>
      <c r="AN770" s="726" t="n"/>
      <c r="AU770" s="1240" t="n"/>
      <c r="AV770" s="1240" t="n"/>
    </row>
    <row r="771" ht="17.1" customHeight="1">
      <c r="A771" s="973" t="n"/>
      <c r="B771" s="971" t="n"/>
      <c r="C771" s="972" t="n"/>
      <c r="D771" s="973"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73"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73"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73"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73"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75" t="n"/>
      <c r="E776" s="975" t="n"/>
      <c r="F776" s="998" t="n"/>
      <c r="G776" s="998" t="n"/>
      <c r="H776" s="975" t="n"/>
      <c r="I776" s="975" t="n"/>
      <c r="J776" s="975" t="n"/>
      <c r="K776" s="1189">
        <f>K770=L776</f>
        <v/>
      </c>
      <c r="L776" s="491">
        <f>SUM(L770:L775)</f>
        <v/>
      </c>
      <c r="M776" s="1190" t="inlineStr">
        <is>
          <t xml:space="preserve">“Verdadero” indica que la cantidad por lote, coincide con el saldo que inicia al mes siguiente. "Falso" no coinicide. </t>
        </is>
      </c>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413">
        <f>MARZO!K777</f>
        <v/>
      </c>
      <c r="E777" s="339">
        <f>H373</f>
        <v/>
      </c>
      <c r="F777" s="338" t="n">
        <v>610</v>
      </c>
      <c r="G777" s="338" t="n">
        <v>27</v>
      </c>
      <c r="H777" s="576">
        <f>+F777+G777</f>
        <v/>
      </c>
      <c r="I777" s="340">
        <f>+AM777</f>
        <v/>
      </c>
      <c r="J777" s="341">
        <f>+H777+I777</f>
        <v/>
      </c>
      <c r="K777" s="584">
        <f>+(D777+E777)-(J777)</f>
        <v/>
      </c>
      <c r="L777" s="253" t="n">
        <v>270</v>
      </c>
      <c r="M777" s="254" t="inlineStr">
        <is>
          <t>PAPELERIA</t>
        </is>
      </c>
      <c r="N777" s="254" t="inlineStr">
        <is>
          <t>Imprenta Nacional de Colombia</t>
        </is>
      </c>
      <c r="O777" s="1183" t="inlineStr">
        <is>
          <t>31/12/2030</t>
        </is>
      </c>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v>5</v>
      </c>
      <c r="AA777" s="648" t="n">
        <v>0</v>
      </c>
      <c r="AB777" s="649">
        <f>+Z777+AA777</f>
        <v/>
      </c>
      <c r="AC777" s="648" t="n">
        <v>0</v>
      </c>
      <c r="AD777" s="648" t="n">
        <v>0</v>
      </c>
      <c r="AE777" s="648" t="n">
        <v>0</v>
      </c>
      <c r="AF777" s="648" t="n">
        <v>0</v>
      </c>
      <c r="AG777" s="648" t="n">
        <v>0</v>
      </c>
      <c r="AH777" s="648" t="n">
        <v>0</v>
      </c>
      <c r="AI777" s="648" t="n">
        <v>0</v>
      </c>
      <c r="AJ777" s="648" t="n">
        <v>0</v>
      </c>
      <c r="AK777" s="648" t="n">
        <v>0</v>
      </c>
      <c r="AL777" s="648" t="n">
        <v>0</v>
      </c>
      <c r="AM777" s="382">
        <f>SUM(AB777:AL777)</f>
        <v/>
      </c>
      <c r="AN777" s="726" t="n"/>
      <c r="AU777" s="1240" t="n"/>
      <c r="AV777" s="1240" t="n"/>
    </row>
    <row r="778" ht="30" customHeight="1">
      <c r="A778" s="585">
        <f>A777+1</f>
        <v/>
      </c>
      <c r="B778" s="629" t="inlineStr">
        <is>
          <t>Carnet de vacunación adultos</t>
        </is>
      </c>
      <c r="C778" s="967" t="n"/>
      <c r="D778" s="413">
        <f>MARZO!K778</f>
        <v/>
      </c>
      <c r="E778" s="339">
        <f>H374</f>
        <v/>
      </c>
      <c r="F778" s="338" t="n">
        <v>6325</v>
      </c>
      <c r="G778" s="338" t="n">
        <v>49</v>
      </c>
      <c r="H778" s="576">
        <f>+F778+G778</f>
        <v/>
      </c>
      <c r="I778" s="340">
        <f>+AM778</f>
        <v/>
      </c>
      <c r="J778" s="341">
        <f>+H778+I778</f>
        <v/>
      </c>
      <c r="K778" s="584">
        <f>+(D778+E778)-(J778)</f>
        <v/>
      </c>
      <c r="L778" s="253" t="n">
        <v>105</v>
      </c>
      <c r="M778" s="254" t="inlineStr">
        <is>
          <t>PAPELERIA</t>
        </is>
      </c>
      <c r="N778" s="254" t="inlineStr">
        <is>
          <t>Imprenta Nacional de Colombia</t>
        </is>
      </c>
      <c r="O778" s="1183" t="inlineStr">
        <is>
          <t>31/12/2030</t>
        </is>
      </c>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v>0</v>
      </c>
      <c r="AA778" s="648" t="n">
        <v>0</v>
      </c>
      <c r="AB778" s="649">
        <f>+Z778+AA778</f>
        <v/>
      </c>
      <c r="AC778" s="648" t="n">
        <v>0</v>
      </c>
      <c r="AD778" s="648" t="n">
        <v>0</v>
      </c>
      <c r="AE778" s="648" t="n">
        <v>0</v>
      </c>
      <c r="AF778" s="648" t="n">
        <v>0</v>
      </c>
      <c r="AG778" s="648" t="n">
        <v>0</v>
      </c>
      <c r="AH778" s="648" t="n">
        <v>0</v>
      </c>
      <c r="AI778" s="648" t="n">
        <v>0</v>
      </c>
      <c r="AJ778" s="648" t="n">
        <v>0</v>
      </c>
      <c r="AK778" s="648" t="n">
        <v>0</v>
      </c>
      <c r="AL778" s="648" t="n">
        <v>0</v>
      </c>
      <c r="AM778" s="382">
        <f>SUM(AB778:AL778)</f>
        <v/>
      </c>
      <c r="AN778" s="726" t="n"/>
      <c r="AU778" s="1240" t="n"/>
      <c r="AV778" s="1240" t="n"/>
    </row>
    <row r="779" ht="30" customHeight="1">
      <c r="A779" s="585">
        <f>A778+1</f>
        <v/>
      </c>
      <c r="B779" s="629" t="inlineStr">
        <is>
          <t>Carnet/Certificado de vacunación (Covid-19)</t>
        </is>
      </c>
      <c r="C779" s="967" t="n"/>
      <c r="D779" s="413">
        <f>MARZO!K779</f>
        <v/>
      </c>
      <c r="E779" s="339">
        <f>H375</f>
        <v/>
      </c>
      <c r="F779" s="338" t="n">
        <v>82</v>
      </c>
      <c r="G779" s="338" t="n">
        <v>3</v>
      </c>
      <c r="H779" s="576">
        <f>+F779+G779</f>
        <v/>
      </c>
      <c r="I779" s="340">
        <f>+AM779</f>
        <v/>
      </c>
      <c r="J779" s="341">
        <f>+H779+I779</f>
        <v/>
      </c>
      <c r="K779" s="584">
        <f>+(D779+E779)-(J779)</f>
        <v/>
      </c>
      <c r="L779" s="253" t="n">
        <v>52</v>
      </c>
      <c r="M779" s="254" t="inlineStr">
        <is>
          <t>PAPELERIA</t>
        </is>
      </c>
      <c r="N779" s="254" t="inlineStr">
        <is>
          <t>Imprenta Nacional de Colombia</t>
        </is>
      </c>
      <c r="O779" s="1183" t="inlineStr">
        <is>
          <t>31/12/2030</t>
        </is>
      </c>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v>0</v>
      </c>
      <c r="AA779" s="648" t="n">
        <v>0</v>
      </c>
      <c r="AB779" s="649">
        <f>+Z779+AA779</f>
        <v/>
      </c>
      <c r="AC779" s="648" t="n">
        <v>0</v>
      </c>
      <c r="AD779" s="648" t="n">
        <v>0</v>
      </c>
      <c r="AE779" s="648" t="n">
        <v>0</v>
      </c>
      <c r="AF779" s="648" t="n">
        <v>0</v>
      </c>
      <c r="AG779" s="648" t="n">
        <v>0</v>
      </c>
      <c r="AH779" s="648" t="n">
        <v>0</v>
      </c>
      <c r="AI779" s="648" t="n">
        <v>0</v>
      </c>
      <c r="AJ779" s="648" t="n">
        <v>0</v>
      </c>
      <c r="AK779" s="648" t="n">
        <v>0</v>
      </c>
      <c r="AL779" s="648" t="n">
        <v>0</v>
      </c>
      <c r="AM779" s="382">
        <f>SUM(AB779:AL779)</f>
        <v/>
      </c>
      <c r="AN779" s="726" t="n"/>
      <c r="AU779" s="1240" t="n"/>
      <c r="AV779" s="1240" t="n"/>
    </row>
    <row r="780" ht="30" customHeight="1">
      <c r="A780" s="585">
        <f>A779+1</f>
        <v/>
      </c>
      <c r="B780" s="629" t="inlineStr">
        <is>
          <t>Carne/certificado internacional de vacunación</t>
        </is>
      </c>
      <c r="C780" s="967" t="n"/>
      <c r="D780" s="413">
        <f>MARZO!K780</f>
        <v/>
      </c>
      <c r="E780" s="339">
        <f>H376</f>
        <v/>
      </c>
      <c r="F780" s="338" t="n">
        <v>599</v>
      </c>
      <c r="G780" s="338" t="n">
        <v>4</v>
      </c>
      <c r="H780" s="576">
        <f>+F780+G780</f>
        <v/>
      </c>
      <c r="I780" s="340">
        <f>+AM780</f>
        <v/>
      </c>
      <c r="J780" s="341">
        <f>+H780+I780</f>
        <v/>
      </c>
      <c r="K780" s="584">
        <f>+(D780+E780)-(J780)</f>
        <v/>
      </c>
      <c r="L780" s="253" t="n">
        <v>39</v>
      </c>
      <c r="M780" s="254" t="inlineStr">
        <is>
          <t>PAPELERIA</t>
        </is>
      </c>
      <c r="N780" s="254" t="inlineStr">
        <is>
          <t>Imprenta Nacional de Colombia</t>
        </is>
      </c>
      <c r="O780" s="1183" t="inlineStr">
        <is>
          <t>31/12/2030</t>
        </is>
      </c>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v>0</v>
      </c>
      <c r="AA780" s="648" t="n">
        <v>0</v>
      </c>
      <c r="AB780" s="649">
        <f>+Z780+AA780</f>
        <v/>
      </c>
      <c r="AC780" s="648" t="n">
        <v>0</v>
      </c>
      <c r="AD780" s="648" t="n">
        <v>0</v>
      </c>
      <c r="AE780" s="648" t="n">
        <v>0</v>
      </c>
      <c r="AF780" s="648" t="n">
        <v>0</v>
      </c>
      <c r="AG780" s="648" t="n">
        <v>0</v>
      </c>
      <c r="AH780" s="648" t="n">
        <v>0</v>
      </c>
      <c r="AI780" s="648" t="n">
        <v>0</v>
      </c>
      <c r="AJ780" s="648" t="n">
        <v>0</v>
      </c>
      <c r="AK780" s="648" t="n">
        <v>0</v>
      </c>
      <c r="AL780" s="648" t="n">
        <v>0</v>
      </c>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413">
        <f>MARZO!K781</f>
        <v/>
      </c>
      <c r="E781" s="339">
        <f>H377</f>
        <v/>
      </c>
      <c r="F781" s="338" t="n">
        <v>0</v>
      </c>
      <c r="G781" s="338" t="n">
        <v>0</v>
      </c>
      <c r="H781" s="576">
        <f>+F781+G781</f>
        <v/>
      </c>
      <c r="I781" s="340">
        <f>+AM781</f>
        <v/>
      </c>
      <c r="J781" s="341">
        <f>+H781+I781</f>
        <v/>
      </c>
      <c r="K781" s="584">
        <f>+(D781+E781)-(J781)</f>
        <v/>
      </c>
      <c r="L781" s="253" t="n">
        <v>26</v>
      </c>
      <c r="M781" s="254" t="inlineStr">
        <is>
          <t>PAPELERIA</t>
        </is>
      </c>
      <c r="N781" s="254" t="inlineStr">
        <is>
          <t>Imprenta Nacional de Colombia</t>
        </is>
      </c>
      <c r="O781" s="1183" t="inlineStr">
        <is>
          <t>31/12/2030</t>
        </is>
      </c>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v>0</v>
      </c>
      <c r="AA781" s="648" t="n">
        <v>0</v>
      </c>
      <c r="AB781" s="649">
        <f>+Z781+AA781</f>
        <v/>
      </c>
      <c r="AC781" s="648" t="n">
        <v>0</v>
      </c>
      <c r="AD781" s="648" t="n">
        <v>0</v>
      </c>
      <c r="AE781" s="648" t="n">
        <v>0</v>
      </c>
      <c r="AF781" s="648" t="n">
        <v>0</v>
      </c>
      <c r="AG781" s="648" t="n">
        <v>0</v>
      </c>
      <c r="AH781" s="648" t="n">
        <v>0</v>
      </c>
      <c r="AI781" s="648" t="n">
        <v>0</v>
      </c>
      <c r="AJ781" s="648" t="n">
        <v>0</v>
      </c>
      <c r="AK781" s="648" t="n">
        <v>0</v>
      </c>
      <c r="AL781" s="648" t="n">
        <v>0</v>
      </c>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413">
        <f>MARZO!K782</f>
        <v/>
      </c>
      <c r="E782" s="339">
        <f>H378</f>
        <v/>
      </c>
      <c r="F782" s="338" t="n">
        <v>0</v>
      </c>
      <c r="G782" s="338" t="n">
        <v>0</v>
      </c>
      <c r="H782" s="576">
        <f>+F782+G782</f>
        <v/>
      </c>
      <c r="I782" s="340">
        <f>+AM782</f>
        <v/>
      </c>
      <c r="J782" s="341">
        <f>+H782+I782</f>
        <v/>
      </c>
      <c r="K782" s="584">
        <f>+(D782+E782)-(J782)</f>
        <v/>
      </c>
      <c r="L782" s="253" t="n">
        <v>13</v>
      </c>
      <c r="M782" s="254" t="inlineStr">
        <is>
          <t>PAPELERIA</t>
        </is>
      </c>
      <c r="N782" s="254" t="inlineStr">
        <is>
          <t>Imprenta Nacional de Colombia</t>
        </is>
      </c>
      <c r="O782" s="1183" t="inlineStr">
        <is>
          <t>31/12/2030</t>
        </is>
      </c>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v>0</v>
      </c>
      <c r="AA782" s="648" t="n">
        <v>0</v>
      </c>
      <c r="AB782" s="649">
        <f>+Z782+AA782</f>
        <v/>
      </c>
      <c r="AC782" s="648" t="n">
        <v>0</v>
      </c>
      <c r="AD782" s="648" t="n">
        <v>0</v>
      </c>
      <c r="AE782" s="648" t="n">
        <v>0</v>
      </c>
      <c r="AF782" s="648" t="n">
        <v>0</v>
      </c>
      <c r="AG782" s="648" t="n">
        <v>0</v>
      </c>
      <c r="AH782" s="648" t="n">
        <v>0</v>
      </c>
      <c r="AI782" s="648" t="n">
        <v>0</v>
      </c>
      <c r="AJ782" s="648" t="n">
        <v>0</v>
      </c>
      <c r="AK782" s="648" t="n">
        <v>0</v>
      </c>
      <c r="AL782" s="648" t="n">
        <v>0</v>
      </c>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413">
        <f>MARZO!K783</f>
        <v/>
      </c>
      <c r="E783" s="339">
        <f>H379</f>
        <v/>
      </c>
      <c r="F783" s="338" t="n">
        <v>0</v>
      </c>
      <c r="G783" s="338" t="n">
        <v>0</v>
      </c>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v>0</v>
      </c>
      <c r="AA783" s="648" t="n">
        <v>0</v>
      </c>
      <c r="AB783" s="649">
        <f>+Z783+AA783</f>
        <v/>
      </c>
      <c r="AC783" s="648" t="n">
        <v>0</v>
      </c>
      <c r="AD783" s="648" t="n">
        <v>0</v>
      </c>
      <c r="AE783" s="648" t="n">
        <v>0</v>
      </c>
      <c r="AF783" s="648" t="n">
        <v>0</v>
      </c>
      <c r="AG783" s="648" t="n">
        <v>0</v>
      </c>
      <c r="AH783" s="648" t="n">
        <v>0</v>
      </c>
      <c r="AI783" s="648" t="n">
        <v>0</v>
      </c>
      <c r="AJ783" s="648" t="n">
        <v>0</v>
      </c>
      <c r="AK783" s="648" t="n">
        <v>0</v>
      </c>
      <c r="AL783" s="648" t="n">
        <v>0</v>
      </c>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569" t="inlineStr">
        <is>
          <t>ÍTEM</t>
        </is>
      </c>
      <c r="B785" s="569" t="inlineStr">
        <is>
          <t>VACUNA COVID-19</t>
        </is>
      </c>
      <c r="C785" s="965" t="n"/>
      <c r="D785" s="1231" t="inlineStr">
        <is>
          <t>SALDO MES ANTERIOR</t>
        </is>
      </c>
      <c r="E785" s="961" t="inlineStr">
        <is>
          <t>BIOLÓGICO RECIBIDO DEL CENTRO DE ACOPIO DEPARTAMENTAL / DISTRITAL</t>
        </is>
      </c>
      <c r="F785" s="1231" t="inlineStr">
        <is>
          <t>DOSIS APLICADAS</t>
        </is>
      </c>
      <c r="G785" s="967" t="n"/>
      <c r="H785" s="1232" t="inlineStr">
        <is>
          <t>TOTAL DOSIS APLICADAS</t>
        </is>
      </c>
      <c r="I785" s="961" t="inlineStr">
        <is>
          <t>DOSIS PERDIDAS</t>
        </is>
      </c>
      <c r="J785" s="1231" t="inlineStr">
        <is>
          <t>TOTAL DOSIS ÚTILIZADAS EN EL MES</t>
        </is>
      </c>
      <c r="K785" s="623" t="inlineStr">
        <is>
          <t>SALDO QUE INICIA EL MES SIGUIENTE (SOLO MUNICIPIOS)</t>
        </is>
      </c>
      <c r="L785" s="623" t="n"/>
      <c r="M785" s="623" t="n"/>
      <c r="N785" s="623" t="n"/>
      <c r="O785" s="623" t="n"/>
      <c r="P785" s="623" t="inlineStr">
        <is>
          <t>SEMAFORIZACION VIDA  ÚTIL DEL BIOLÓGICO</t>
        </is>
      </c>
      <c r="Q785" s="623" t="inlineStr">
        <is>
          <t>CONDICIÓN FINAL DEL BIOLÓGICO, DILUYENTE Y CARNET</t>
        </is>
      </c>
      <c r="R785" s="613" t="inlineStr">
        <is>
          <t>DOSIS EN CUARENTENA</t>
        </is>
      </c>
      <c r="S785" s="613" t="inlineStr">
        <is>
          <t>LABORATORIO</t>
        </is>
      </c>
      <c r="T785" s="613" t="inlineStr">
        <is>
          <t>No. LOTE</t>
        </is>
      </c>
      <c r="U785" s="613" t="inlineStr">
        <is>
          <t>FECHA DE VENCIMEINTO</t>
        </is>
      </c>
      <c r="V785" s="613" t="inlineStr">
        <is>
          <t>FECHA DE INICIO CUARENTENA</t>
        </is>
      </c>
      <c r="W785" s="613" t="inlineStr">
        <is>
          <t>OBSERVACIONES</t>
        </is>
      </c>
      <c r="X785" s="351" t="n"/>
      <c r="Y785" s="232" t="n"/>
      <c r="Z785" s="1221" t="inlineStr">
        <is>
          <t>MOTIVOS DE NO USO DE VACUNAS CONTRA LA COVID-19
RESOLUCIÓN 0118 DEL 27 DE ENERO DE 2026
DISPONIBLE EN EL SIGUIENTE LINK: https://www.minsalud.gov.co/Normatividad_Nuevo/Resolucion%20No%20118%20de%202026.pdf</t>
        </is>
      </c>
      <c r="AA785" s="968" t="n"/>
      <c r="AB785" s="968" t="n"/>
      <c r="AC785" s="968" t="n"/>
      <c r="AD785" s="968" t="n"/>
      <c r="AE785" s="968" t="n"/>
      <c r="AF785" s="968" t="n"/>
      <c r="AG785" s="968" t="n"/>
      <c r="AH785" s="968" t="n"/>
      <c r="AI785" s="968" t="n"/>
      <c r="AJ785" s="968" t="n"/>
      <c r="AK785" s="968" t="n"/>
      <c r="AL785" s="967" t="n"/>
      <c r="AM785" s="532" t="inlineStr">
        <is>
          <t xml:space="preserve">TOTAL DOSIS PERDIDAS        </t>
        </is>
      </c>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inlineStr">
        <is>
          <t>POLÍTICA DE FRASCOS ABIERTO</t>
        </is>
      </c>
      <c r="AA787" s="967" t="n"/>
      <c r="AB787" s="1222" t="inlineStr">
        <is>
          <t>INTERRUPCIÓN DE LA CADENA DE FRÍO</t>
        </is>
      </c>
      <c r="AC787" s="537" t="inlineStr">
        <is>
          <t>CONTAMINACIÓN DEL BIOLÓGICO</t>
        </is>
      </c>
      <c r="AD787" s="1222" t="inlineStr">
        <is>
          <t>ERROR EN LA MANIPULACIÓN</t>
        </is>
      </c>
      <c r="AE787" s="537" t="inlineStr">
        <is>
          <t>ERROR EN LA RECONSTITUCIÓN/DILUCIÓN</t>
        </is>
      </c>
      <c r="AF787" s="1222" t="inlineStr">
        <is>
          <t>ERROR EN LA DOSIFICACIÓN</t>
        </is>
      </c>
      <c r="AG787" s="537" t="inlineStr">
        <is>
          <t>VACUNA QUE EXCEDE EL TIEMPO DE ALMACENAMIENTO EN REFRIGERACIÓN</t>
        </is>
      </c>
      <c r="AH787" s="1222" t="inlineStr">
        <is>
          <t>VENCIMIENTO DEL BIOLÓGICO</t>
        </is>
      </c>
      <c r="AI787" s="537" t="inlineStr">
        <is>
          <t>FRASCO VIAL ROTO</t>
        </is>
      </c>
      <c r="AJ787" s="1222" t="inlineStr">
        <is>
          <t>FALLAS DE FABRICACIÓN/CALIDAD</t>
        </is>
      </c>
      <c r="AK787" s="537" t="inlineStr">
        <is>
          <t>SINIESTRO / ACCIDENTE</t>
        </is>
      </c>
      <c r="AL787" s="1222" t="inlineStr">
        <is>
          <t>ROBO/HURTO BIOLÓGICO</t>
        </is>
      </c>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inlineStr">
        <is>
          <t>INSTITUCIONAL</t>
        </is>
      </c>
      <c r="AA788" s="497" t="inlineStr">
        <is>
          <t>EXTRAMURAL</t>
        </is>
      </c>
      <c r="AB788" s="975" t="n"/>
      <c r="AC788" s="975" t="n"/>
      <c r="AD788" s="975" t="n"/>
      <c r="AE788" s="975" t="n"/>
      <c r="AF788" s="975" t="n"/>
      <c r="AG788" s="975" t="n"/>
      <c r="AH788" s="975" t="n"/>
      <c r="AI788" s="975" t="n"/>
      <c r="AJ788" s="975" t="n"/>
      <c r="AK788" s="975" t="n"/>
      <c r="AL788" s="975" t="n"/>
      <c r="AM788" s="975" t="n"/>
      <c r="AN788" s="368" t="n"/>
      <c r="AO788" s="368" t="n"/>
      <c r="AP788" s="416" t="n"/>
      <c r="AQ788" s="546" t="inlineStr">
        <is>
          <t>PORCENTAJE DE PERDIDA DEL MES
%</t>
        </is>
      </c>
      <c r="AR788" s="546" t="inlineStr">
        <is>
          <t>FACTOR DE PERDIDA DEL MES</t>
        </is>
      </c>
      <c r="AS788" s="420" t="inlineStr">
        <is>
          <t>% DE PERDIDA DEL MSPS</t>
        </is>
      </c>
      <c r="AT788" s="420" t="inlineStr">
        <is>
          <t>DOSIS POR VIAL</t>
        </is>
      </c>
      <c r="AV788" s="1240" t="n"/>
      <c r="AW788" s="1240" t="n"/>
    </row>
    <row r="789" ht="19.5" customHeight="1">
      <c r="A789" s="585" t="n">
        <v>1</v>
      </c>
      <c r="B789" s="1249" t="inlineStr">
        <is>
          <t>MODERNA ADULTO</t>
        </is>
      </c>
      <c r="C789" s="965" t="n"/>
      <c r="D789" s="496">
        <f>MARZO!K789</f>
        <v/>
      </c>
      <c r="E789" s="339">
        <f>H385</f>
        <v/>
      </c>
      <c r="F789" s="731" t="n">
        <v>0</v>
      </c>
      <c r="G789" s="731" t="n">
        <v>0</v>
      </c>
      <c r="H789" s="1235">
        <f>SUM(F789,G789)</f>
        <v/>
      </c>
      <c r="I789" s="340">
        <f>+AM789</f>
        <v/>
      </c>
      <c r="J789" s="341">
        <f>+H789+I789</f>
        <v/>
      </c>
      <c r="K789" s="583">
        <f>+(D789+E789)-(J789)</f>
        <v/>
      </c>
      <c r="L789" s="486" t="n"/>
      <c r="M789" s="487" t="n"/>
      <c r="N789" s="487" t="n"/>
      <c r="O789" s="1223" t="n"/>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v>0</v>
      </c>
      <c r="AA789" s="648" t="n">
        <v>0</v>
      </c>
      <c r="AB789" s="648" t="n"/>
      <c r="AC789" s="648" t="n">
        <v>0</v>
      </c>
      <c r="AD789" s="648" t="n">
        <v>0</v>
      </c>
      <c r="AE789" s="648" t="n">
        <v>0</v>
      </c>
      <c r="AF789" s="648" t="n">
        <v>0</v>
      </c>
      <c r="AG789" s="648" t="n">
        <v>0</v>
      </c>
      <c r="AH789" s="648" t="n">
        <v>0</v>
      </c>
      <c r="AI789" s="648" t="n">
        <v>0</v>
      </c>
      <c r="AJ789" s="648" t="n">
        <v>0</v>
      </c>
      <c r="AK789" s="648" t="n">
        <v>0</v>
      </c>
      <c r="AL789" s="648" t="n">
        <v>0</v>
      </c>
      <c r="AM789" s="573">
        <f>SUM(Z789:AL792)</f>
        <v/>
      </c>
      <c r="AN789" s="693" t="n"/>
      <c r="AO789" s="485" t="n"/>
      <c r="AP789" s="416" t="n"/>
      <c r="AQ789" s="1238">
        <f>IFERROR(I789/J789*100,"0")</f>
        <v/>
      </c>
      <c r="AR789" s="1238">
        <f>IFERROR(1/(1-(AQ789/100)),"0")</f>
        <v/>
      </c>
      <c r="AS789" s="1238" t="n">
        <v>0</v>
      </c>
      <c r="AT789" s="345" t="n">
        <v>5</v>
      </c>
      <c r="AU789" s="1240" t="n"/>
      <c r="AV789" s="1240" t="n"/>
    </row>
    <row r="790" ht="19.5" customHeight="1">
      <c r="A790" s="973" t="n"/>
      <c r="B790" s="971" t="n"/>
      <c r="C790" s="972" t="n"/>
      <c r="D790" s="973"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73"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73"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75" t="n"/>
      <c r="E793" s="975" t="n"/>
      <c r="F793" s="998" t="n"/>
      <c r="G793" s="998" t="n"/>
      <c r="H793" s="975" t="n"/>
      <c r="I793" s="975" t="n"/>
      <c r="J793" s="975" t="n"/>
      <c r="K793" s="1189">
        <f>K789=L793</f>
        <v/>
      </c>
      <c r="L793" s="491">
        <f>SUM(L789:L792)</f>
        <v/>
      </c>
      <c r="M793" s="1190" t="n"/>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496">
        <f>MARZO!K794</f>
        <v/>
      </c>
      <c r="E794" s="339">
        <f>H390</f>
        <v/>
      </c>
      <c r="F794" s="731" t="n">
        <v>0</v>
      </c>
      <c r="G794" s="731" t="n">
        <v>0</v>
      </c>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v>0</v>
      </c>
      <c r="AA794" s="648" t="n">
        <v>0</v>
      </c>
      <c r="AB794" s="648" t="n"/>
      <c r="AC794" s="648" t="n">
        <v>0</v>
      </c>
      <c r="AD794" s="648" t="n">
        <v>0</v>
      </c>
      <c r="AE794" s="648" t="n">
        <v>0</v>
      </c>
      <c r="AF794" s="648" t="n">
        <v>0</v>
      </c>
      <c r="AG794" s="648" t="n">
        <v>0</v>
      </c>
      <c r="AH794" s="648" t="n">
        <v>0</v>
      </c>
      <c r="AI794" s="648" t="n">
        <v>0</v>
      </c>
      <c r="AJ794" s="648" t="n">
        <v>0</v>
      </c>
      <c r="AK794" s="648" t="n">
        <v>0</v>
      </c>
      <c r="AL794" s="648" t="n">
        <v>0</v>
      </c>
      <c r="AM794" s="573">
        <f>SUM(Z794:AL797)</f>
        <v/>
      </c>
      <c r="AN794" s="693" t="n"/>
      <c r="AO794" s="485" t="n"/>
      <c r="AP794" s="416" t="n"/>
      <c r="AQ794" s="1238">
        <f>IFERROR(I794/J794*100,"0")</f>
        <v/>
      </c>
      <c r="AR794" s="1238">
        <f>IFERROR(1/(1-(AQ794/100)),"0")</f>
        <v/>
      </c>
      <c r="AS794" s="1238" t="n">
        <v>0</v>
      </c>
      <c r="AT794" s="345" t="n">
        <v>10</v>
      </c>
      <c r="AU794" s="1240" t="n"/>
      <c r="AV794" s="1240" t="n"/>
    </row>
    <row r="795" ht="19.5" customHeight="1">
      <c r="A795" s="973" t="n"/>
      <c r="B795" s="971" t="n"/>
      <c r="C795" s="972" t="n"/>
      <c r="D795" s="973"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73"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73"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75" t="n"/>
      <c r="E798" s="975" t="n"/>
      <c r="F798" s="998" t="n"/>
      <c r="G798" s="998" t="n"/>
      <c r="H798" s="975" t="n"/>
      <c r="I798" s="975" t="n"/>
      <c r="J798" s="975" t="n"/>
      <c r="K798" s="1189">
        <f>K794=L798</f>
        <v/>
      </c>
      <c r="L798" s="491">
        <f>SUM(L794:L797)</f>
        <v/>
      </c>
      <c r="M798" s="1190" t="n"/>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496">
        <f>MARZO!K799</f>
        <v/>
      </c>
      <c r="E799" s="339">
        <f>H395</f>
        <v/>
      </c>
      <c r="F799" s="731" t="n">
        <v>51</v>
      </c>
      <c r="G799" s="731" t="n">
        <v>4</v>
      </c>
      <c r="H799" s="1235">
        <f>SUM(F799,G799)</f>
        <v/>
      </c>
      <c r="I799" s="340">
        <f>+AM799</f>
        <v/>
      </c>
      <c r="J799" s="341">
        <f>+H799+I799</f>
        <v/>
      </c>
      <c r="K799" s="583">
        <f>+(D799+E799)-(J799)</f>
        <v/>
      </c>
      <c r="L799" s="486" t="n"/>
      <c r="M799" s="487" t="n"/>
      <c r="N799" s="487" t="n"/>
      <c r="O799" s="1223" t="n"/>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v>0</v>
      </c>
      <c r="AA799" s="648" t="n">
        <v>0</v>
      </c>
      <c r="AB799" s="648" t="n"/>
      <c r="AC799" s="648" t="n">
        <v>0</v>
      </c>
      <c r="AD799" s="648" t="n">
        <v>0</v>
      </c>
      <c r="AE799" s="648" t="n">
        <v>0</v>
      </c>
      <c r="AF799" s="648" t="n">
        <v>0</v>
      </c>
      <c r="AG799" s="648" t="n">
        <v>0</v>
      </c>
      <c r="AH799" s="648" t="n">
        <v>0</v>
      </c>
      <c r="AI799" s="648" t="n">
        <v>0</v>
      </c>
      <c r="AJ799" s="648" t="n">
        <v>0</v>
      </c>
      <c r="AK799" s="648" t="n">
        <v>0</v>
      </c>
      <c r="AL799" s="648" t="n">
        <v>0</v>
      </c>
      <c r="AM799" s="573">
        <f>SUM(Z799:AL802)</f>
        <v/>
      </c>
      <c r="AN799" s="693" t="n"/>
      <c r="AO799" s="485" t="n"/>
      <c r="AP799" s="416" t="n"/>
      <c r="AQ799" s="1238">
        <f>IFERROR(I799/J799*100,"0")</f>
        <v/>
      </c>
      <c r="AR799" s="1238">
        <f>IFERROR(1/(1-(AQ799/100)),"0")</f>
        <v/>
      </c>
      <c r="AS799" s="1238" t="n">
        <v>0</v>
      </c>
      <c r="AT799" s="345" t="n">
        <v>6</v>
      </c>
      <c r="AU799" s="1240" t="n"/>
      <c r="AV799" s="1240" t="n"/>
    </row>
    <row r="800" ht="19.5" customHeight="1">
      <c r="A800" s="973" t="n"/>
      <c r="B800" s="971" t="n"/>
      <c r="C800" s="972" t="n"/>
      <c r="D800" s="973"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73"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73"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75" t="n"/>
      <c r="E803" s="975" t="n"/>
      <c r="F803" s="998" t="n"/>
      <c r="G803" s="998" t="n"/>
      <c r="H803" s="975" t="n"/>
      <c r="I803" s="975" t="n"/>
      <c r="J803" s="975" t="n"/>
      <c r="K803" s="1189">
        <f>K799=L803</f>
        <v/>
      </c>
      <c r="L803" s="491">
        <f>SUM(L799:L802)</f>
        <v/>
      </c>
      <c r="M803" s="1190" t="n"/>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496">
        <f>MARZO!K804</f>
        <v/>
      </c>
      <c r="E804" s="339">
        <f>H400</f>
        <v/>
      </c>
      <c r="F804" s="731" t="n">
        <v>0</v>
      </c>
      <c r="G804" s="731" t="n">
        <v>0</v>
      </c>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v>0</v>
      </c>
      <c r="AA804" s="648" t="n">
        <v>0</v>
      </c>
      <c r="AB804" s="648" t="n"/>
      <c r="AC804" s="648" t="n">
        <v>0</v>
      </c>
      <c r="AD804" s="648" t="n">
        <v>0</v>
      </c>
      <c r="AE804" s="648" t="n">
        <v>0</v>
      </c>
      <c r="AF804" s="648" t="n">
        <v>0</v>
      </c>
      <c r="AG804" s="648" t="n">
        <v>0</v>
      </c>
      <c r="AH804" s="648" t="n">
        <v>0</v>
      </c>
      <c r="AI804" s="648" t="n">
        <v>0</v>
      </c>
      <c r="AJ804" s="648" t="n">
        <v>0</v>
      </c>
      <c r="AK804" s="648" t="n">
        <v>0</v>
      </c>
      <c r="AL804" s="648" t="n">
        <v>0</v>
      </c>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73"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73"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73"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75" t="n"/>
      <c r="E808" s="975" t="n"/>
      <c r="F808" s="998" t="n"/>
      <c r="G808" s="998" t="n"/>
      <c r="H808" s="975" t="n"/>
      <c r="I808" s="975" t="n"/>
      <c r="J808" s="975" t="n"/>
      <c r="K808" s="1189">
        <f>K804=L808</f>
        <v/>
      </c>
      <c r="L808" s="491">
        <f>SUM(L804:L807)</f>
        <v/>
      </c>
      <c r="M808" s="1190" t="n"/>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496">
        <f>MARZO!K809</f>
        <v/>
      </c>
      <c r="E809" s="339">
        <f>H405</f>
        <v/>
      </c>
      <c r="F809" s="731" t="n">
        <v>0</v>
      </c>
      <c r="G809" s="731" t="n">
        <v>0</v>
      </c>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v>0</v>
      </c>
      <c r="AA809" s="648" t="n">
        <v>0</v>
      </c>
      <c r="AB809" s="648" t="n"/>
      <c r="AC809" s="648" t="n">
        <v>0</v>
      </c>
      <c r="AD809" s="648" t="n">
        <v>0</v>
      </c>
      <c r="AE809" s="648" t="n">
        <v>0</v>
      </c>
      <c r="AF809" s="648" t="n">
        <v>0</v>
      </c>
      <c r="AG809" s="648" t="n">
        <v>0</v>
      </c>
      <c r="AH809" s="648" t="n">
        <v>0</v>
      </c>
      <c r="AI809" s="648" t="n">
        <v>0</v>
      </c>
      <c r="AJ809" s="648" t="n">
        <v>0</v>
      </c>
      <c r="AK809" s="648" t="n">
        <v>0</v>
      </c>
      <c r="AL809" s="648" t="n">
        <v>0</v>
      </c>
      <c r="AM809" s="573">
        <f>SUM(Z809:AL812)</f>
        <v/>
      </c>
      <c r="AN809" s="693" t="n"/>
      <c r="AO809" s="485" t="n"/>
      <c r="AP809" s="416" t="n"/>
      <c r="AQ809" s="1238">
        <f>IFERROR(I809/J809*100,"0")</f>
        <v/>
      </c>
      <c r="AR809" s="1238">
        <f>IFERROR(1/(1-(AQ809/100)),"0")</f>
        <v/>
      </c>
      <c r="AS809" s="1238" t="n">
        <v>0</v>
      </c>
      <c r="AT809" s="345" t="n"/>
      <c r="AU809" s="1240" t="n"/>
      <c r="AV809" s="1240" t="n"/>
    </row>
    <row r="810" ht="19.5" customHeight="1">
      <c r="A810" s="973" t="n"/>
      <c r="B810" s="971" t="n"/>
      <c r="C810" s="972" t="n"/>
      <c r="D810" s="973"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73"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73"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75" t="n"/>
      <c r="E813" s="975" t="n"/>
      <c r="F813" s="998" t="n"/>
      <c r="G813" s="998" t="n"/>
      <c r="H813" s="975" t="n"/>
      <c r="I813" s="975" t="n"/>
      <c r="J813" s="975" t="n"/>
      <c r="K813" s="1189">
        <f>K809=L813</f>
        <v/>
      </c>
      <c r="L813" s="491">
        <f>SUM(L809:L812)</f>
        <v/>
      </c>
      <c r="M813" s="1190" t="n"/>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569" t="inlineStr">
        <is>
          <t>ÍTEM</t>
        </is>
      </c>
      <c r="B817" s="569" t="inlineStr">
        <is>
          <t>INSUMOS</t>
        </is>
      </c>
      <c r="C817" s="965" t="n"/>
      <c r="D817" s="552" t="inlineStr">
        <is>
          <t>SALDO MES ANTERIOR</t>
        </is>
      </c>
      <c r="E817" s="961" t="inlineStr">
        <is>
          <t xml:space="preserve">BIOLÓGICO RECIBIDO POR MSPS O ET </t>
        </is>
      </c>
      <c r="F817" s="545" t="inlineStr">
        <is>
          <t>DOSIS APLICADAS</t>
        </is>
      </c>
      <c r="G817" s="967" t="n"/>
      <c r="H817" s="1232" t="inlineStr">
        <is>
          <t>TOTAL DE DOSIS APLICADAS</t>
        </is>
      </c>
      <c r="I817" s="961" t="inlineStr">
        <is>
          <t>DOSIS PERDIDAS</t>
        </is>
      </c>
      <c r="J817" s="1231" t="inlineStr">
        <is>
          <t>TOTAL DE DOSIS UTILIZADAS EN EL MES</t>
        </is>
      </c>
      <c r="K817" s="961" t="inlineStr">
        <is>
          <t>DOSIS TRASLADADAS A OTROS DEPARTAMENTOS, DISTRITOS O RETORNO AL MSPS</t>
        </is>
      </c>
      <c r="L817" s="1253" t="inlineStr">
        <is>
          <t xml:space="preserve">TOTAL SALDO QUE INICIA EL MES </t>
        </is>
      </c>
      <c r="M817" s="1232" t="inlineStr">
        <is>
          <t xml:space="preserve">SALDO CON QUE EL CA DEPARTAMENTAL INICIA </t>
        </is>
      </c>
      <c r="N817" s="1231" t="inlineStr">
        <is>
          <t xml:space="preserve">SALDO CON QUE LOS MUNICIPIOS O IPS INICIAN </t>
        </is>
      </c>
      <c r="O817" s="1232" t="inlineStr">
        <is>
          <t>MESES DISPONIBLES SEGÚN DOSIS UTILIZADAS EN EL MES</t>
        </is>
      </c>
      <c r="P817" s="544" t="inlineStr">
        <is>
          <t>DOSIS EN CUARENTENA</t>
        </is>
      </c>
      <c r="Q817" s="544" t="inlineStr">
        <is>
          <t>LABORATORIO</t>
        </is>
      </c>
      <c r="R817" s="544" t="inlineStr">
        <is>
          <t>No. LOTE</t>
        </is>
      </c>
      <c r="S817" s="544" t="inlineStr">
        <is>
          <t>FECHA DE VENCIMEINTO</t>
        </is>
      </c>
      <c r="T817" s="544" t="inlineStr">
        <is>
          <t>CONDICIÓN FINAL DEL BIOLÓGICO O INSUMO</t>
        </is>
      </c>
      <c r="U817" s="561" t="n"/>
      <c r="V817" s="1254" t="n"/>
      <c r="X817" s="366" t="n"/>
      <c r="Y817" s="232" t="n"/>
      <c r="Z817" s="400" t="inlineStr">
        <is>
          <t>CAUSAS PERDIDA DE BIOLÓGICOS (Remítase a la primera hoja donde se especifica la clasificación de las perdidas)</t>
        </is>
      </c>
      <c r="AA817" s="400" t="n"/>
      <c r="AB817" s="400" t="n"/>
      <c r="AC817" s="400" t="n"/>
      <c r="AD817" s="400" t="n"/>
      <c r="AE817" s="400" t="n"/>
      <c r="AF817" s="400" t="n"/>
      <c r="AG817" s="400" t="n"/>
      <c r="AH817" s="400" t="n"/>
      <c r="AI817" s="400" t="n"/>
      <c r="AJ817" s="400" t="n"/>
      <c r="AK817" s="400" t="n"/>
      <c r="AL817" s="400" t="n"/>
      <c r="AM817" s="1181" t="inlineStr">
        <is>
          <t xml:space="preserve">TOTAL DOSIS PERDIDAS        </t>
        </is>
      </c>
      <c r="AN817" s="367" t="n"/>
      <c r="AO817" s="368" t="n"/>
    </row>
    <row r="818" ht="21.75" customHeight="1">
      <c r="A818" s="973" t="n"/>
      <c r="B818" s="971" t="n"/>
      <c r="C818" s="972" t="n"/>
      <c r="D818" s="973" t="n"/>
      <c r="E818" s="973" t="n"/>
      <c r="F818" s="552" t="inlineStr">
        <is>
          <t>DOSIS APLICADAS
COLOMBIANOS</t>
        </is>
      </c>
      <c r="G818" s="552" t="inlineStr">
        <is>
          <t>DOSIS APLICADAS EXTRANJEROS</t>
        </is>
      </c>
      <c r="H818" s="973" t="n"/>
      <c r="I818" s="973" t="n"/>
      <c r="J818" s="973" t="n"/>
      <c r="K818" s="973" t="n"/>
      <c r="L818" s="973" t="n"/>
      <c r="M818" s="973" t="n"/>
      <c r="N818" s="973" t="n"/>
      <c r="O818" s="973" t="n"/>
      <c r="P818" s="973" t="n"/>
      <c r="Q818" s="973" t="n"/>
      <c r="R818" s="973" t="n"/>
      <c r="S818" s="973" t="n"/>
      <c r="T818" s="973" t="n"/>
      <c r="X818" s="366" t="n"/>
      <c r="Y818" s="232" t="n"/>
      <c r="Z818" s="533" t="n">
        <v>1</v>
      </c>
      <c r="AA818" s="968" t="n"/>
      <c r="AB818" s="967" t="n"/>
      <c r="AC818" s="330" t="n">
        <v>2</v>
      </c>
      <c r="AD818" s="566" t="n">
        <v>3</v>
      </c>
      <c r="AE818" s="533" t="n">
        <v>4</v>
      </c>
      <c r="AF818" s="566" t="n">
        <v>5</v>
      </c>
      <c r="AG818" s="533" t="n">
        <v>6</v>
      </c>
      <c r="AH818" s="566" t="n">
        <v>7</v>
      </c>
      <c r="AI818" s="533" t="n">
        <v>8</v>
      </c>
      <c r="AJ818" s="533" t="n">
        <v>9</v>
      </c>
      <c r="AK818" s="533" t="n">
        <v>10</v>
      </c>
      <c r="AL818" s="566" t="n">
        <v>11</v>
      </c>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X819" s="366" t="n"/>
      <c r="Y819" s="232" t="n"/>
      <c r="Z819" s="533" t="inlineStr">
        <is>
          <t>POLÍTICA DE FRASCOS ABIERTO</t>
        </is>
      </c>
      <c r="AA819" s="968" t="n"/>
      <c r="AB819" s="967" t="n"/>
      <c r="AC819" s="330" t="inlineStr">
        <is>
          <t>INTERRUPCIÓN DE CADENA DE FRÍO</t>
        </is>
      </c>
      <c r="AD819" s="566" t="inlineStr">
        <is>
          <t>CONTAMINACION DEL BIOLÓGICO/DISPOSITIVO MÉDICO</t>
        </is>
      </c>
      <c r="AE819" s="533" t="inlineStr">
        <is>
          <t>VIAL ROTO</t>
        </is>
      </c>
      <c r="AF819" s="566" t="inlineStr">
        <is>
          <t>ERRORES EN LA MANIPULACIÓN</t>
        </is>
      </c>
      <c r="AG819" s="533" t="inlineStr">
        <is>
          <t>VENCIMIENTO DEL BIOLÓGICO O JERINGA</t>
        </is>
      </c>
      <c r="AH819" s="566" t="inlineStr">
        <is>
          <t>FARMACOVIGILANCIA / TECNOVIGILANCIA</t>
        </is>
      </c>
      <c r="AI819" s="533" t="inlineStr">
        <is>
          <t>VOMITO FRANCO</t>
        </is>
      </c>
      <c r="AJ819" s="533" t="inlineStr">
        <is>
          <t>APLICACIÓN FUERA DE LA EDAD</t>
        </is>
      </c>
      <c r="AK819" s="533" t="inlineStr">
        <is>
          <t>POR DECISIÓN FINAL DEL PACIENTE DE NO VACUNACIÓN</t>
        </is>
      </c>
      <c r="AL819" s="566" t="inlineStr">
        <is>
          <t>SINIESTRO O ROBO</t>
        </is>
      </c>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X820" s="366" t="n"/>
      <c r="Y820" s="232" t="n"/>
      <c r="Z820" s="533" t="inlineStr">
        <is>
          <t>INSTITUCIONAL</t>
        </is>
      </c>
      <c r="AA820" s="533" t="inlineStr">
        <is>
          <t>EXTRAMURAL</t>
        </is>
      </c>
      <c r="AB820" s="533" t="inlineStr">
        <is>
          <t>TOTAL</t>
        </is>
      </c>
      <c r="AC820" s="975" t="n"/>
      <c r="AD820" s="975" t="n"/>
      <c r="AE820" s="975" t="n"/>
      <c r="AF820" s="975" t="n"/>
      <c r="AG820" s="975" t="n"/>
      <c r="AH820" s="975" t="n"/>
      <c r="AI820" s="975" t="n"/>
      <c r="AJ820" s="975" t="n"/>
      <c r="AK820" s="975" t="n"/>
      <c r="AL820" s="975" t="n"/>
      <c r="AM820" s="975" t="n"/>
      <c r="AN820" s="333" t="n"/>
      <c r="AO820" s="368" t="n"/>
      <c r="AQ820" s="370" t="inlineStr">
        <is>
          <t>PORCENTAJE DE PERDIDA DEL MES
%</t>
        </is>
      </c>
      <c r="AR820" s="370" t="inlineStr">
        <is>
          <t>FACTOR DE PERDIDA DEL MES</t>
        </is>
      </c>
      <c r="AS820" s="371" t="inlineStr">
        <is>
          <t>% DE PERDIDA DEL MSPS</t>
        </is>
      </c>
      <c r="AT820" s="371" t="inlineStr">
        <is>
          <t>DOSIS POR VIAL</t>
        </is>
      </c>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v>65</v>
      </c>
      <c r="AT821" s="345" t="n">
        <v>10</v>
      </c>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v>0</v>
      </c>
      <c r="AT823" s="345" t="n">
        <v>0</v>
      </c>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v>15</v>
      </c>
      <c r="AT824" s="345" t="n">
        <v>5</v>
      </c>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v>0</v>
      </c>
      <c r="AT825" s="345" t="n">
        <v>0</v>
      </c>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v>0</v>
      </c>
      <c r="AT826" s="345" t="n">
        <v>0</v>
      </c>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v>0</v>
      </c>
      <c r="AT827" s="345" t="n">
        <v>0</v>
      </c>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v>0</v>
      </c>
      <c r="AT829" s="345" t="n">
        <v>1</v>
      </c>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v>0</v>
      </c>
      <c r="AT830" s="345" t="n">
        <v>1</v>
      </c>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v>0</v>
      </c>
      <c r="AT831" s="345" t="n">
        <v>1</v>
      </c>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v>0</v>
      </c>
      <c r="AT832" s="345" t="n">
        <v>1</v>
      </c>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v>0</v>
      </c>
      <c r="AT833" s="345" t="n">
        <v>1</v>
      </c>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v>0</v>
      </c>
      <c r="AT835" s="345" t="n">
        <v>1</v>
      </c>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v>0</v>
      </c>
      <c r="AT836" s="345" t="n">
        <v>1</v>
      </c>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v>0</v>
      </c>
      <c r="AT837" s="345" t="n">
        <v>1</v>
      </c>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v>25</v>
      </c>
      <c r="AT838" s="345" t="n">
        <v>5</v>
      </c>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v>0</v>
      </c>
      <c r="AT839" s="345" t="n">
        <v>1</v>
      </c>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v>70</v>
      </c>
      <c r="AT841" s="345" t="n">
        <v>10</v>
      </c>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v>0</v>
      </c>
      <c r="AT842" s="345" t="n">
        <v>1</v>
      </c>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v>0</v>
      </c>
      <c r="AT843" s="345" t="n">
        <v>1</v>
      </c>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v>0</v>
      </c>
      <c r="AT844" s="345" t="n">
        <v>1</v>
      </c>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v>10</v>
      </c>
      <c r="AT845" s="345" t="n">
        <v>10</v>
      </c>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v>10</v>
      </c>
      <c r="AT847" s="345" t="n">
        <v>20</v>
      </c>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v>10</v>
      </c>
      <c r="AT848" s="345" t="n">
        <v>10</v>
      </c>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v>0</v>
      </c>
      <c r="AT849" s="345" t="n">
        <v>1</v>
      </c>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v>0</v>
      </c>
      <c r="AT850" s="345" t="n">
        <v>1</v>
      </c>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v>0</v>
      </c>
      <c r="AT851" s="345" t="n">
        <v>1</v>
      </c>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v>0</v>
      </c>
      <c r="AT853" s="345" t="n">
        <v>1</v>
      </c>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v>0</v>
      </c>
      <c r="AT854" s="345" t="n">
        <v>1</v>
      </c>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v>0</v>
      </c>
      <c r="AT855" s="345" t="n">
        <v>1</v>
      </c>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v>0</v>
      </c>
      <c r="AT856" s="345" t="n">
        <v>1</v>
      </c>
    </row>
    <row r="857" ht="28.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7"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inlineStr">
        <is>
          <t>SALDO MES ANTERIOR</t>
        </is>
      </c>
      <c r="E889" s="961" t="inlineStr">
        <is>
          <t xml:space="preserve">BIOLÓGICO RECIBIDO POR MSPS O ET </t>
        </is>
      </c>
      <c r="F889" s="545" t="inlineStr">
        <is>
          <t>DOSIS APLICADAS</t>
        </is>
      </c>
      <c r="G889" s="967" t="n"/>
      <c r="H889" s="1232" t="inlineStr">
        <is>
          <t>TOTAL DE DOSIS APLICADAS</t>
        </is>
      </c>
      <c r="I889" s="961" t="inlineStr">
        <is>
          <t>DOSIS PERDIDAS</t>
        </is>
      </c>
      <c r="J889" s="1231" t="inlineStr">
        <is>
          <t>TOTAL DE DOSIS UTILIZADAS EN EL MES</t>
        </is>
      </c>
      <c r="K889" s="961" t="inlineStr">
        <is>
          <t>DOSIS TRASLADADAS A OTROS DEPARTAMENTOS, DISTRITOS O RETORNO AL MSPS</t>
        </is>
      </c>
      <c r="L889" s="1253" t="inlineStr">
        <is>
          <t xml:space="preserve">TOTAL SALDO QUE INICIA EL MES </t>
        </is>
      </c>
      <c r="M889" s="1232" t="inlineStr">
        <is>
          <t xml:space="preserve">SALDO CON QUE EL CA DEPARTAMENTAL INICIA </t>
        </is>
      </c>
      <c r="N889" s="1231" t="inlineStr">
        <is>
          <t xml:space="preserve">SALDO CON QUE LOS MUNICIPIOS O IPS INICIAN </t>
        </is>
      </c>
      <c r="O889" s="1232" t="inlineStr">
        <is>
          <t>MESES DISPONIBLES SEGÚN DOSIS UTILIZADAS EN EL MES</t>
        </is>
      </c>
      <c r="P889" s="544" t="inlineStr">
        <is>
          <t>DOSIS EN CUARENTENA</t>
        </is>
      </c>
      <c r="Q889" s="544" t="inlineStr">
        <is>
          <t>LABORATORIO</t>
        </is>
      </c>
      <c r="R889" s="544" t="inlineStr">
        <is>
          <t>No. LOTE</t>
        </is>
      </c>
      <c r="S889" s="544" t="inlineStr">
        <is>
          <t>FECHA DE VENCIMEINTO</t>
        </is>
      </c>
      <c r="T889" s="544" t="inlineStr">
        <is>
          <t>CONDICIÓN FINAL DEL BIOLÓGICO O INSUMO</t>
        </is>
      </c>
      <c r="U889" s="561" t="n"/>
      <c r="V889" s="1254" t="n"/>
      <c r="Y889" s="232" t="n"/>
      <c r="Z889" s="1221" t="inlineStr">
        <is>
          <t>MOTIVOS DE NO USO DE VACUNAS CONTRA LA COVID-19
RESOLUCIÓN 0118 DEL 27 DE ENERO DE 2026
DISPONIBLE EN EL SIGUIENTE LINK: https://www.minsalud.gov.co/Normatividad_Nuevo/Resolucion%20No%20118%20de%202026.pdf</t>
        </is>
      </c>
      <c r="AA889" s="968" t="n"/>
      <c r="AB889" s="968" t="n"/>
      <c r="AC889" s="968" t="n"/>
      <c r="AD889" s="968" t="n"/>
      <c r="AE889" s="968" t="n"/>
      <c r="AF889" s="968" t="n"/>
      <c r="AG889" s="968" t="n"/>
      <c r="AH889" s="968" t="n"/>
      <c r="AI889" s="968" t="n"/>
      <c r="AJ889" s="968" t="n"/>
      <c r="AK889" s="968" t="n"/>
      <c r="AL889" s="967" t="n"/>
      <c r="AM889" s="532" t="inlineStr">
        <is>
          <t xml:space="preserve">TOTAL DOSIS PERDIDAS        </t>
        </is>
      </c>
      <c r="AP889" s="416" t="n"/>
      <c r="AQ889" s="416" t="n"/>
      <c r="AR889" s="416" t="n"/>
      <c r="AS889" s="416" t="n"/>
      <c r="AT889" s="416" t="n"/>
      <c r="AU889" s="1240" t="n"/>
      <c r="AV889" s="1240" t="n"/>
    </row>
    <row r="890" ht="22.5" customHeight="1">
      <c r="A890" s="971" t="n"/>
      <c r="C890" s="972" t="n"/>
      <c r="D890" s="973" t="n"/>
      <c r="E890" s="973" t="n"/>
      <c r="F890" s="552" t="inlineStr">
        <is>
          <t>DOSIS APLICADAS
COLOMBIANOS</t>
        </is>
      </c>
      <c r="G890" s="552" t="inlineStr">
        <is>
          <t>DOSIS APLICADAS EXTRANJEROS</t>
        </is>
      </c>
      <c r="H890" s="973" t="n"/>
      <c r="I890" s="973" t="n"/>
      <c r="J890" s="973" t="n"/>
      <c r="K890" s="973" t="n"/>
      <c r="L890" s="973" t="n"/>
      <c r="M890" s="973" t="n"/>
      <c r="N890" s="973" t="n"/>
      <c r="O890" s="973" t="n"/>
      <c r="P890" s="973" t="n"/>
      <c r="Q890" s="973" t="n"/>
      <c r="R890" s="973" t="n"/>
      <c r="S890" s="973" t="n"/>
      <c r="T890" s="973" t="n"/>
      <c r="Y890" s="232" t="n"/>
      <c r="Z890" s="533" t="n">
        <v>1</v>
      </c>
      <c r="AA890" s="967" t="n"/>
      <c r="AB890" s="533" t="n">
        <v>2</v>
      </c>
      <c r="AC890" s="533" t="n">
        <v>3</v>
      </c>
      <c r="AD890" s="533" t="n">
        <v>4</v>
      </c>
      <c r="AE890" s="533" t="n">
        <v>5</v>
      </c>
      <c r="AF890" s="533" t="n">
        <v>6</v>
      </c>
      <c r="AG890" s="533" t="n">
        <v>7</v>
      </c>
      <c r="AH890" s="533" t="n">
        <v>8</v>
      </c>
      <c r="AI890" s="533" t="n">
        <v>9</v>
      </c>
      <c r="AJ890" s="533" t="n">
        <v>10</v>
      </c>
      <c r="AK890" s="533" t="n">
        <v>11</v>
      </c>
      <c r="AL890" s="533" t="n">
        <v>12</v>
      </c>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inlineStr">
        <is>
          <t>POLÍTICA DE FRASCOS ABIERTO</t>
        </is>
      </c>
      <c r="AA891" s="967" t="n"/>
      <c r="AB891" s="1222" t="inlineStr">
        <is>
          <t>INTERRUPCIÓN DE LA CADENA DE FRÍO</t>
        </is>
      </c>
      <c r="AC891" s="537" t="inlineStr">
        <is>
          <t>CONTAMINACIÓN DEL BIOLÓGICO</t>
        </is>
      </c>
      <c r="AD891" s="1222" t="inlineStr">
        <is>
          <t>ERROR EN LA MANIPULACIÓN</t>
        </is>
      </c>
      <c r="AE891" s="537" t="inlineStr">
        <is>
          <t>ERROR EN LA RECONSTITUCIÓN/DILUCIÓN</t>
        </is>
      </c>
      <c r="AF891" s="1222" t="inlineStr">
        <is>
          <t>ERROR EN LA DOSIFICACIÓN</t>
        </is>
      </c>
      <c r="AG891" s="537" t="inlineStr">
        <is>
          <t>VACUNA QUE EXCEDE EL TIEMPO DE ALMACENAMIENTO EN REFRIGERACIÓN</t>
        </is>
      </c>
      <c r="AH891" s="1222" t="inlineStr">
        <is>
          <t>VENCIMIENTO DEL BIOLÓGICO</t>
        </is>
      </c>
      <c r="AI891" s="537" t="inlineStr">
        <is>
          <t>FRASCO VIAL ROTO</t>
        </is>
      </c>
      <c r="AJ891" s="1222" t="inlineStr">
        <is>
          <t>FALLAS DE FABRICACIÓN/CALIDAD</t>
        </is>
      </c>
      <c r="AK891" s="537" t="inlineStr">
        <is>
          <t>SINIESTRO / ACCIDENTE</t>
        </is>
      </c>
      <c r="AL891" s="1222" t="inlineStr">
        <is>
          <t>ROBO/HURTO BIOLÓGICO</t>
        </is>
      </c>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inlineStr">
        <is>
          <t>INSTITUCIONAL</t>
        </is>
      </c>
      <c r="AA892" s="497" t="inlineStr">
        <is>
          <t>EXTRAMURAL</t>
        </is>
      </c>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inlineStr">
        <is>
          <t>Observación</t>
        </is>
      </c>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y9PlxPCvp8t4xx+70wl7Vg==" formatRows="1" sort="1" spinCount="100000" hashValue="hh6pQFMxqN6C57KinDRsdq0cybXqA9retrdte+2Pq6hJKlqhrdea8IJ50WXAiks8CNgI9OjdyfNVX43pIA5yNA=="/>
  <mergeCells count="3720">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AC25:AC29"/>
    <mergeCell ref="I133:I138"/>
    <mergeCell ref="B181:C186"/>
    <mergeCell ref="AI352:AI357"/>
    <mergeCell ref="D413:D416"/>
    <mergeCell ref="AL787:AL788"/>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AH11:AH12"/>
    <mergeCell ref="E31:E36"/>
    <mergeCell ref="I435:I440"/>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Z11:AB11"/>
    <mergeCell ref="AG211:AG215"/>
    <mergeCell ref="W742:W748"/>
    <mergeCell ref="AN163:AN167"/>
    <mergeCell ref="D236:D241"/>
    <mergeCell ref="J465:J470"/>
    <mergeCell ref="AV465:AV469"/>
    <mergeCell ref="B507:C512"/>
    <mergeCell ref="Z223:Z227"/>
    <mergeCell ref="D359:D365"/>
    <mergeCell ref="A525:A530"/>
    <mergeCell ref="B778:C778"/>
    <mergeCell ref="I609:I614"/>
    <mergeCell ref="AF230:AF234"/>
    <mergeCell ref="K115:K119"/>
    <mergeCell ref="AF537:AF541"/>
    <mergeCell ref="AC79:AC83"/>
    <mergeCell ref="U9:U12"/>
    <mergeCell ref="AC73:AC77"/>
    <mergeCell ref="J272:J277"/>
    <mergeCell ref="K543:K547"/>
    <mergeCell ref="F652:F657"/>
    <mergeCell ref="K579:K583"/>
    <mergeCell ref="B37:C42"/>
    <mergeCell ref="AA615:AA619"/>
    <mergeCell ref="AK664:AK668"/>
    <mergeCell ref="AH296:AH300"/>
    <mergeCell ref="AH303:AH308"/>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E61:AE65"/>
    <mergeCell ref="AJ441:AJ445"/>
    <mergeCell ref="AF714:AF719"/>
    <mergeCell ref="B121:C126"/>
    <mergeCell ref="E272:E277"/>
    <mergeCell ref="AH676:AH680"/>
    <mergeCell ref="AD543:AD547"/>
    <mergeCell ref="G459:G464"/>
    <mergeCell ref="E735:E741"/>
    <mergeCell ref="D634:D639"/>
    <mergeCell ref="AE519:AE523"/>
    <mergeCell ref="H441:H446"/>
    <mergeCell ref="J199:J204"/>
    <mergeCell ref="B579:C584"/>
    <mergeCell ref="AG11:AG12"/>
    <mergeCell ref="AE891:AE892"/>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I193:I198"/>
    <mergeCell ref="AG296:AG300"/>
    <mergeCell ref="AG303:AG308"/>
    <mergeCell ref="AD804:AD807"/>
    <mergeCell ref="AI489:AI493"/>
    <mergeCell ref="K513:K517"/>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H85:H90"/>
    <mergeCell ref="AC187:AC191"/>
    <mergeCell ref="I175:I180"/>
    <mergeCell ref="AM809:AM812"/>
    <mergeCell ref="AI405:AI408"/>
    <mergeCell ref="AR441:AR445"/>
    <mergeCell ref="AB555:AB559"/>
    <mergeCell ref="H303:H309"/>
    <mergeCell ref="AB549:AB553"/>
    <mergeCell ref="AM97:AM101"/>
    <mergeCell ref="AE721:AE726"/>
    <mergeCell ref="AD749:AD754"/>
    <mergeCell ref="AL423:AL427"/>
    <mergeCell ref="AE591:AE595"/>
    <mergeCell ref="AV447:AV451"/>
    <mergeCell ref="D103:D108"/>
    <mergeCell ref="H507:H512"/>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AA55:AA59"/>
    <mergeCell ref="AT525:AT529"/>
    <mergeCell ref="B782:C782"/>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J284:J289"/>
    <mergeCell ref="K585:K5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K103:AK107"/>
    <mergeCell ref="AA37:AA41"/>
    <mergeCell ref="AL139:AL143"/>
    <mergeCell ref="J749:J755"/>
    <mergeCell ref="AA73:AA77"/>
    <mergeCell ref="AH338:AH343"/>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AI25:AI29"/>
    <mergeCell ref="K211:K215"/>
    <mergeCell ref="B290:C295"/>
    <mergeCell ref="AI181:AI185"/>
    <mergeCell ref="B826:C826"/>
    <mergeCell ref="AW609:AW613"/>
    <mergeCell ref="I278:I283"/>
    <mergeCell ref="AQ441:AQ445"/>
    <mergeCell ref="F531:F536"/>
    <mergeCell ref="AF756:AF761"/>
    <mergeCell ref="B785:C788"/>
    <mergeCell ref="K763:K768"/>
    <mergeCell ref="A187:A192"/>
    <mergeCell ref="AN290:AN294"/>
    <mergeCell ref="AT477:AT481"/>
    <mergeCell ref="AD591:AD595"/>
    <mergeCell ref="AC794:AC797"/>
    <mergeCell ref="B828:C828"/>
    <mergeCell ref="B853:C853"/>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E352:AE357"/>
    <mergeCell ref="E169:E174"/>
    <mergeCell ref="K331:K336"/>
    <mergeCell ref="D501:D506"/>
    <mergeCell ref="I573:I578"/>
    <mergeCell ref="AM603:AM607"/>
    <mergeCell ref="AL664:AL668"/>
    <mergeCell ref="AB390:AB393"/>
    <mergeCell ref="AH787:AH78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Z139:Z143"/>
    <mergeCell ref="G345:G351"/>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565:C565"/>
    <mergeCell ref="Z799:Z802"/>
    <mergeCell ref="B894:C894"/>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AR447:AR451"/>
    <mergeCell ref="D507:D512"/>
    <mergeCell ref="H205:H210"/>
    <mergeCell ref="AK609:AK613"/>
    <mergeCell ref="A682:A687"/>
    <mergeCell ref="R889:R892"/>
    <mergeCell ref="F413:G413"/>
    <mergeCell ref="AA714:AA719"/>
    <mergeCell ref="K278:K282"/>
    <mergeCell ref="H634:H639"/>
    <mergeCell ref="I735:I741"/>
    <mergeCell ref="AF694:AF698"/>
    <mergeCell ref="H31:H36"/>
    <mergeCell ref="AL272:AL27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AN345:AN350"/>
    <mergeCell ref="Z381:AL381"/>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AC248:AC252"/>
    <mergeCell ref="AA175:AA179"/>
    <mergeCell ref="J447:J452"/>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T561:AT565"/>
    <mergeCell ref="AD700:AD704"/>
    <mergeCell ref="AD891:AD892"/>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A109:A114"/>
    <mergeCell ref="H382:H38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Z609:Z613"/>
    <mergeCell ref="B862:C862"/>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W429:AW433"/>
    <mergeCell ref="AL435:AL439"/>
    <mergeCell ref="AG543:AG547"/>
    <mergeCell ref="AG537:AG541"/>
    <mergeCell ref="AA646:AA650"/>
    <mergeCell ref="J459:J464"/>
    <mergeCell ref="A567:A572"/>
    <mergeCell ref="N817:N820"/>
    <mergeCell ref="A561:A566"/>
    <mergeCell ref="K157:K161"/>
    <mergeCell ref="I91:I96"/>
    <mergeCell ref="Z549:Z553"/>
    <mergeCell ref="AF728:AF733"/>
    <mergeCell ref="AK67:AK71"/>
    <mergeCell ref="AN395:AN398"/>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I417:I422"/>
    <mergeCell ref="B781:C781"/>
    <mergeCell ref="I531:I536"/>
    <mergeCell ref="D317:D323"/>
    <mergeCell ref="D187:D192"/>
    <mergeCell ref="AF794:AF797"/>
    <mergeCell ref="D912:G912"/>
    <mergeCell ref="F103:F108"/>
    <mergeCell ref="B571:C571"/>
    <mergeCell ref="AI199:AI203"/>
    <mergeCell ref="J230:J235"/>
    <mergeCell ref="AE395:AE398"/>
    <mergeCell ref="AH561:AH565"/>
    <mergeCell ref="K501:K505"/>
    <mergeCell ref="Z417:Z421"/>
    <mergeCell ref="B871:C871"/>
    <mergeCell ref="Z199:Z203"/>
    <mergeCell ref="J652:J657"/>
    <mergeCell ref="AL85:AL89"/>
    <mergeCell ref="J400:J404"/>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AK133:AK137"/>
    <mergeCell ref="V817:V820"/>
    <mergeCell ref="I799:I803"/>
    <mergeCell ref="B804:C808"/>
    <mergeCell ref="A199:A204"/>
    <mergeCell ref="AV429:AV433"/>
    <mergeCell ref="Z652:Z656"/>
    <mergeCell ref="Z646:Z650"/>
    <mergeCell ref="B145:C150"/>
    <mergeCell ref="AW555:AW559"/>
    <mergeCell ref="AF211:AF215"/>
    <mergeCell ref="AR423:AR427"/>
    <mergeCell ref="Z43:Z47"/>
    <mergeCell ref="A331:A337"/>
    <mergeCell ref="H91:H96"/>
    <mergeCell ref="G513:G518"/>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AK459:AK463"/>
    <mergeCell ref="I519:I524"/>
    <mergeCell ref="AD621:AD625"/>
    <mergeCell ref="B163:C168"/>
    <mergeCell ref="B794:C798"/>
    <mergeCell ref="K242:K246"/>
    <mergeCell ref="Z61:Z65"/>
    <mergeCell ref="K236:K240"/>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D615:D620"/>
    <mergeCell ref="B413:C416"/>
    <mergeCell ref="B395:C399"/>
    <mergeCell ref="Z889:AL889"/>
    <mergeCell ref="B779:C779"/>
    <mergeCell ref="AL181:AL185"/>
    <mergeCell ref="D272:D277"/>
    <mergeCell ref="B543:C548"/>
    <mergeCell ref="AM447:AM451"/>
    <mergeCell ref="Z818:AB818"/>
    <mergeCell ref="AA483:AA487"/>
    <mergeCell ref="AF609:AF613"/>
    <mergeCell ref="K799:K802"/>
    <mergeCell ref="AA694:AA698"/>
    <mergeCell ref="AJ133:AJ137"/>
    <mergeCell ref="AH646:AH650"/>
    <mergeCell ref="H567:H572"/>
    <mergeCell ref="U817:U820"/>
    <mergeCell ref="H561:H566"/>
    <mergeCell ref="B839:C839"/>
    <mergeCell ref="AM573:AM577"/>
    <mergeCell ref="AB471:AB475"/>
    <mergeCell ref="A573:A578"/>
    <mergeCell ref="AB507:AB511"/>
    <mergeCell ref="E429:E434"/>
    <mergeCell ref="J317:J323"/>
    <mergeCell ref="AL163:AL167"/>
    <mergeCell ref="Q381:Q384"/>
    <mergeCell ref="H465:H470"/>
    <mergeCell ref="E97:E102"/>
    <mergeCell ref="AI345:AI350"/>
    <mergeCell ref="B707:C713"/>
    <mergeCell ref="AT465:AT469"/>
    <mergeCell ref="AL199:AL203"/>
    <mergeCell ref="AK531:AK535"/>
    <mergeCell ref="B378:C378"/>
    <mergeCell ref="AD579:AD583"/>
    <mergeCell ref="AK525:AK529"/>
    <mergeCell ref="B115:C120"/>
    <mergeCell ref="AE809:AE812"/>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Z441:Z445"/>
    <mergeCell ref="H489:H494"/>
    <mergeCell ref="AH61:AH65"/>
    <mergeCell ref="AM284:AM288"/>
    <mergeCell ref="A284:A289"/>
    <mergeCell ref="AF331:AF336"/>
    <mergeCell ref="U413:U416"/>
    <mergeCell ref="AJ459:AJ463"/>
    <mergeCell ref="E151:E156"/>
    <mergeCell ref="H193:H198"/>
    <mergeCell ref="AF296:AF300"/>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AK157:AK161"/>
    <mergeCell ref="G385:G389"/>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C67:AC71"/>
    <mergeCell ref="AL278:AL282"/>
    <mergeCell ref="D682:D687"/>
    <mergeCell ref="AH441:AH445"/>
    <mergeCell ref="U889:U892"/>
    <mergeCell ref="AD317:AD322"/>
    <mergeCell ref="AC97:AC101"/>
    <mergeCell ref="AE290:AE294"/>
    <mergeCell ref="K567:K571"/>
    <mergeCell ref="K561:K565"/>
    <mergeCell ref="E459:E464"/>
    <mergeCell ref="AL115:AL119"/>
    <mergeCell ref="J181:J186"/>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E317:E323"/>
    <mergeCell ref="D97:D102"/>
    <mergeCell ref="G465:G470"/>
    <mergeCell ref="AB447:AB451"/>
    <mergeCell ref="AJ531:AJ535"/>
    <mergeCell ref="K714:K719"/>
    <mergeCell ref="K139:K143"/>
    <mergeCell ref="AF248:AF252"/>
    <mergeCell ref="AL477:AL481"/>
    <mergeCell ref="AM567:AM571"/>
    <mergeCell ref="AT435:AT439"/>
    <mergeCell ref="AC537:AC541"/>
    <mergeCell ref="AN331:AN336"/>
    <mergeCell ref="AW585:AW589"/>
    <mergeCell ref="H217:H222"/>
    <mergeCell ref="A707:A713"/>
    <mergeCell ref="J817:J820"/>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AK395:AK398"/>
    <mergeCell ref="B832:C832"/>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Z127:Z131"/>
    <mergeCell ref="AM763:AM768"/>
    <mergeCell ref="H175:H180"/>
    <mergeCell ref="B845:C845"/>
    <mergeCell ref="AJ447:AJ451"/>
    <mergeCell ref="AL205:AL209"/>
    <mergeCell ref="AE682:AE686"/>
    <mergeCell ref="AH405:AH408"/>
    <mergeCell ref="AC609:AC613"/>
    <mergeCell ref="AR531:AR535"/>
    <mergeCell ref="AR525:AR529"/>
    <mergeCell ref="F525:F530"/>
    <mergeCell ref="W423:W428"/>
    <mergeCell ref="AG19:AG23"/>
    <mergeCell ref="Z181:Z185"/>
    <mergeCell ref="AD272:AD276"/>
    <mergeCell ref="AK537:AK541"/>
    <mergeCell ref="AG133:AG137"/>
    <mergeCell ref="AA447:AA451"/>
    <mergeCell ref="R817:R820"/>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K591:K595"/>
    <mergeCell ref="AF891:AF892"/>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AJ97:AJ101"/>
    <mergeCell ref="I465:I470"/>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M477:AM481"/>
    <mergeCell ref="P9:P12"/>
    <mergeCell ref="A477:A482"/>
    <mergeCell ref="K670:K674"/>
    <mergeCell ref="D809:D813"/>
    <mergeCell ref="AM652:AM656"/>
    <mergeCell ref="AL67:AL71"/>
    <mergeCell ref="A79:A84"/>
    <mergeCell ref="E483:E488"/>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AH447:AH451"/>
    <mergeCell ref="B477:C482"/>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L97:AL101"/>
    <mergeCell ref="A317:A323"/>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W465:AW469"/>
    <mergeCell ref="AL345:AL350"/>
    <mergeCell ref="AG579:AG583"/>
    <mergeCell ref="AD405:AD408"/>
    <mergeCell ref="F91:F96"/>
    <mergeCell ref="AN254:AN258"/>
    <mergeCell ref="B375:C375"/>
    <mergeCell ref="AG423:AG427"/>
    <mergeCell ref="K483:K487"/>
    <mergeCell ref="A290:A295"/>
    <mergeCell ref="AI385:AI388"/>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AN157:AN161"/>
    <mergeCell ref="AA272:AA276"/>
    <mergeCell ref="J385:J389"/>
    <mergeCell ref="D555:D560"/>
    <mergeCell ref="AV417:AV421"/>
    <mergeCell ref="AA735:AA740"/>
    <mergeCell ref="AI688:AI692"/>
    <mergeCell ref="AB248:AB252"/>
    <mergeCell ref="Z31:Z35"/>
    <mergeCell ref="H79:H84"/>
    <mergeCell ref="K400:K403"/>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J109:J114"/>
    <mergeCell ref="AH290:AH29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D181:AD185"/>
    <mergeCell ref="AC366:AC371"/>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AB133:AB137"/>
    <mergeCell ref="M817:M820"/>
    <mergeCell ref="AL799:AL802"/>
    <mergeCell ref="J585:J590"/>
    <mergeCell ref="W646:W651"/>
    <mergeCell ref="J382:J384"/>
    <mergeCell ref="F31:F36"/>
    <mergeCell ref="AH310:AH315"/>
    <mergeCell ref="AB477:AB481"/>
    <mergeCell ref="AG236:AG240"/>
    <mergeCell ref="J789:J793"/>
    <mergeCell ref="AI423:AI427"/>
    <mergeCell ref="AD331:AD336"/>
    <mergeCell ref="AN400:AN403"/>
    <mergeCell ref="J193:J198"/>
    <mergeCell ref="S413:S416"/>
    <mergeCell ref="Z352:Z357"/>
    <mergeCell ref="I390:I394"/>
    <mergeCell ref="AI640:AI644"/>
    <mergeCell ref="B531:C536"/>
    <mergeCell ref="AG664:AG668"/>
    <mergeCell ref="AV483:AV487"/>
    <mergeCell ref="AG707:AG712"/>
    <mergeCell ref="T381:T384"/>
    <mergeCell ref="AD507:AD511"/>
    <mergeCell ref="AH205:AH209"/>
    <mergeCell ref="AM714:AM719"/>
    <mergeCell ref="A714:A720"/>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V435:AV439"/>
    <mergeCell ref="AJ477:AJ481"/>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M400:AM403"/>
    <mergeCell ref="A400:A404"/>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D13:D18"/>
    <mergeCell ref="AM115:AM119"/>
    <mergeCell ref="J175:J180"/>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K794:K797"/>
    <mergeCell ref="P413:P416"/>
    <mergeCell ref="T817:T820"/>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AB310:AB315"/>
    <mergeCell ref="J331:J337"/>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AN49:AN53"/>
    <mergeCell ref="I248:I253"/>
    <mergeCell ref="F809:F813"/>
    <mergeCell ref="B835:C835"/>
    <mergeCell ref="B829:C829"/>
    <mergeCell ref="E85:E90"/>
    <mergeCell ref="AA199:AA203"/>
    <mergeCell ref="AN260:AN264"/>
    <mergeCell ref="AK345:AK350"/>
    <mergeCell ref="AV615:AV619"/>
    <mergeCell ref="J615:J620"/>
    <mergeCell ref="F211:F216"/>
    <mergeCell ref="I676:I681"/>
    <mergeCell ref="AG513:AG517"/>
    <mergeCell ref="AH91:AH95"/>
    <mergeCell ref="AM749:AM754"/>
    <mergeCell ref="AK223:AK227"/>
    <mergeCell ref="AA395:AA398"/>
    <mergeCell ref="AS447:AS451"/>
    <mergeCell ref="A621:A626"/>
    <mergeCell ref="AH385:AH388"/>
    <mergeCell ref="F763:F769"/>
    <mergeCell ref="Z254:Z258"/>
    <mergeCell ref="S889:S892"/>
    <mergeCell ref="AA103:AA107"/>
    <mergeCell ref="Z248:Z252"/>
    <mergeCell ref="AB317:AB322"/>
    <mergeCell ref="AM742:AM747"/>
    <mergeCell ref="B830:C830"/>
    <mergeCell ref="D19:D24"/>
    <mergeCell ref="AB441:AB445"/>
    <mergeCell ref="E109:E114"/>
    <mergeCell ref="AC290:AC294"/>
    <mergeCell ref="J43:J48"/>
    <mergeCell ref="Z465:Z469"/>
    <mergeCell ref="AB223:AB227"/>
    <mergeCell ref="J489:J494"/>
    <mergeCell ref="E145:E150"/>
    <mergeCell ref="W413:W416"/>
    <mergeCell ref="K640:K644"/>
    <mergeCell ref="E139:E144"/>
    <mergeCell ref="O785:O788"/>
    <mergeCell ref="J700:J705"/>
    <mergeCell ref="AM615:AM619"/>
    <mergeCell ref="AJ157:AJ161"/>
    <mergeCell ref="AJ151:AJ155"/>
    <mergeCell ref="AM193:AM197"/>
    <mergeCell ref="AA217:AA221"/>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Z151:Z155"/>
    <mergeCell ref="K366:K371"/>
    <mergeCell ref="AA543:AA547"/>
    <mergeCell ref="AR435:AR439"/>
    <mergeCell ref="B193:C198"/>
    <mergeCell ref="AK236:AK240"/>
    <mergeCell ref="AF477:AF481"/>
    <mergeCell ref="A809:A813"/>
    <mergeCell ref="H817:H820"/>
    <mergeCell ref="AR555:AR559"/>
    <mergeCell ref="E585:E590"/>
    <mergeCell ref="AE67:AE71"/>
    <mergeCell ref="AB242:AB246"/>
    <mergeCell ref="AQ789:AQ792"/>
    <mergeCell ref="AJ597:AJ601"/>
    <mergeCell ref="E789:E793"/>
    <mergeCell ref="AD429:AD433"/>
    <mergeCell ref="I109:I114"/>
    <mergeCell ref="W573:W578"/>
    <mergeCell ref="G352:G358"/>
    <mergeCell ref="AI400:AI403"/>
    <mergeCell ref="E193:E198"/>
    <mergeCell ref="N413:N416"/>
    <mergeCell ref="B570:C570"/>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E400:E404"/>
    <mergeCell ref="D585:D590"/>
    <mergeCell ref="AD67:AD71"/>
    <mergeCell ref="AL640:AL644"/>
    <mergeCell ref="G818:G820"/>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M9:AM12"/>
    <mergeCell ref="AD97:AD101"/>
    <mergeCell ref="AI223:AI227"/>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AJ260:AJ264"/>
    <mergeCell ref="B390:C394"/>
    <mergeCell ref="E676:E681"/>
    <mergeCell ref="J804:J808"/>
    <mergeCell ref="AV471:AV475"/>
    <mergeCell ref="J471:J476"/>
    <mergeCell ref="AD91:AD95"/>
    <mergeCell ref="G13:G18"/>
    <mergeCell ref="AK37:AK41"/>
    <mergeCell ref="I324:I330"/>
    <mergeCell ref="AD385:AD388"/>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G151:G156"/>
    <mergeCell ref="AE230:AE234"/>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AN151:AN155"/>
    <mergeCell ref="E489:E494"/>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AM230:AM234"/>
    <mergeCell ref="E61:E66"/>
    <mergeCell ref="H429:H4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D109:D114"/>
    <mergeCell ref="S381:S38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B841:C841"/>
    <mergeCell ref="AK91:AK95"/>
    <mergeCell ref="H573:H578"/>
    <mergeCell ref="B373:C373"/>
    <mergeCell ref="K804:K807"/>
    <mergeCell ref="AM278:AM282"/>
    <mergeCell ref="A278:A283"/>
    <mergeCell ref="G49:G54"/>
    <mergeCell ref="AK385:AK388"/>
    <mergeCell ref="AC254:AC258"/>
    <mergeCell ref="AJ453:AJ457"/>
    <mergeCell ref="K471:K475"/>
    <mergeCell ref="AE317:AE322"/>
    <mergeCell ref="AL809:AL812"/>
    <mergeCell ref="AW603:AW607"/>
    <mergeCell ref="AC465:AC469"/>
    <mergeCell ref="G303:G309"/>
    <mergeCell ref="Z97:Z101"/>
    <mergeCell ref="AE223:AE227"/>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AD242:AD246"/>
    <mergeCell ref="AD217:AD221"/>
    <mergeCell ref="AL519:AL523"/>
    <mergeCell ref="AG585:AG589"/>
    <mergeCell ref="B846:C846"/>
    <mergeCell ref="AH682:AH686"/>
    <mergeCell ref="A609:A614"/>
    <mergeCell ref="AL891:AL892"/>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F223:F228"/>
    <mergeCell ref="K324:K329"/>
    <mergeCell ref="AE345:AE350"/>
    <mergeCell ref="AK567:AK571"/>
    <mergeCell ref="I591:I596"/>
    <mergeCell ref="Z19:Z23"/>
    <mergeCell ref="A640:A645"/>
    <mergeCell ref="AE670:AE674"/>
    <mergeCell ref="AT794:AT797"/>
    <mergeCell ref="AL405:AL408"/>
    <mergeCell ref="H794:H798"/>
    <mergeCell ref="B849:C849"/>
    <mergeCell ref="AB627:AB631"/>
    <mergeCell ref="G395:G399"/>
    <mergeCell ref="AJ799:AJ802"/>
    <mergeCell ref="AL230:AL234"/>
    <mergeCell ref="AM79:AM83"/>
    <mergeCell ref="AV561:AV565"/>
    <mergeCell ref="H585:H590"/>
    <mergeCell ref="G890:G892"/>
    <mergeCell ref="AI73:AI77"/>
    <mergeCell ref="AE242:AE246"/>
    <mergeCell ref="Z477:Z481"/>
    <mergeCell ref="AE236:AE240"/>
    <mergeCell ref="A633:C633"/>
    <mergeCell ref="H789:H793"/>
    <mergeCell ref="K217:K221"/>
    <mergeCell ref="B303:C309"/>
    <mergeCell ref="D25:D30"/>
    <mergeCell ref="AI187:AI191"/>
    <mergeCell ref="B296:C301"/>
    <mergeCell ref="AG429:AG433"/>
    <mergeCell ref="AB331:AB336"/>
    <mergeCell ref="AB85:AB89"/>
    <mergeCell ref="I284:I289"/>
    <mergeCell ref="J133:J138"/>
    <mergeCell ref="J352:J358"/>
    <mergeCell ref="AG770:AG775"/>
    <mergeCell ref="I785:I788"/>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AA133:AA137"/>
    <mergeCell ref="H413:H416"/>
    <mergeCell ref="B860:C860"/>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K175:AK179"/>
    <mergeCell ref="A248:A253"/>
    <mergeCell ref="AQ501:AQ505"/>
    <mergeCell ref="W489:W494"/>
    <mergeCell ref="AL157:AL161"/>
    <mergeCell ref="AC345:AC350"/>
    <mergeCell ref="AF260:AF264"/>
    <mergeCell ref="H700:H705"/>
    <mergeCell ref="F181:F186"/>
    <mergeCell ref="AA459:AA463"/>
    <mergeCell ref="H115:H120"/>
    <mergeCell ref="AC217:AC221"/>
    <mergeCell ref="B317:C323"/>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AS794:AS797"/>
    <mergeCell ref="Z205:Z209"/>
    <mergeCell ref="G794:G798"/>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AT459:AT463"/>
    <mergeCell ref="F519:F524"/>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AS809:AS812"/>
    <mergeCell ref="AJ465:AJ469"/>
    <mergeCell ref="AL223:AL227"/>
    <mergeCell ref="G809:G813"/>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AE266:AE270"/>
    <mergeCell ref="L785:L788"/>
    <mergeCell ref="AB345:AB350"/>
    <mergeCell ref="AE260:AE264"/>
    <mergeCell ref="AM770:AM775"/>
    <mergeCell ref="E181:E186"/>
    <mergeCell ref="B858:C85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G405:G409"/>
    <mergeCell ref="AK603:AK607"/>
    <mergeCell ref="B817:C820"/>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Z310:Z315"/>
    <mergeCell ref="H331:H337"/>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AK324:AK329"/>
    <mergeCell ref="AF11:AF12"/>
    <mergeCell ref="D513:D518"/>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AL13:AL17"/>
    <mergeCell ref="AM49:AM53"/>
    <mergeCell ref="H248:H253"/>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AK676:AK680"/>
    <mergeCell ref="W555:W560"/>
    <mergeCell ref="AK670:AK674"/>
    <mergeCell ref="B260:C265"/>
    <mergeCell ref="B827:C827"/>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M55:AM59"/>
    <mergeCell ref="AB205:AB20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AK13:AK17"/>
    <mergeCell ref="AL49:AL53"/>
    <mergeCell ref="G248:G253"/>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AG809:AG812"/>
    <mergeCell ref="AR603:AR607"/>
    <mergeCell ref="B895:C895"/>
    <mergeCell ref="AB721:AB726"/>
    <mergeCell ref="AM501:AM505"/>
    <mergeCell ref="G272:G277"/>
    <mergeCell ref="AL400:AL403"/>
    <mergeCell ref="B471:C476"/>
    <mergeCell ref="AK615:AK619"/>
    <mergeCell ref="AH157:AH161"/>
    <mergeCell ref="I459:I464"/>
    <mergeCell ref="D115:D120"/>
    <mergeCell ref="AG519:AG523"/>
    <mergeCell ref="A405:A409"/>
    <mergeCell ref="AC682:AC686"/>
    <mergeCell ref="AJ390:AJ393"/>
    <mergeCell ref="AI11:AI12"/>
    <mergeCell ref="J435:J440"/>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G109:G114"/>
    <mergeCell ref="F324:F330"/>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AH223:AH227"/>
    <mergeCell ref="J303:J309"/>
    <mergeCell ref="AC640:AC644"/>
    <mergeCell ref="I525:I530"/>
    <mergeCell ref="AG591:AG595"/>
    <mergeCell ref="J507:J512"/>
    <mergeCell ref="G489:G494"/>
    <mergeCell ref="B109:C114"/>
    <mergeCell ref="AG217:AG221"/>
    <mergeCell ref="D905:G905"/>
    <mergeCell ref="AD417:AD421"/>
    <mergeCell ref="AA49:AA53"/>
    <mergeCell ref="W567:W572"/>
    <mergeCell ref="AL501:AL505"/>
    <mergeCell ref="B564:C564"/>
    <mergeCell ref="AK400:AK403"/>
    <mergeCell ref="AI383:AI384"/>
    <mergeCell ref="AA266:AA270"/>
    <mergeCell ref="AA260:AA264"/>
    <mergeCell ref="H459:H464"/>
    <mergeCell ref="AN109:AN113"/>
    <mergeCell ref="A181:A186"/>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AG603:AG607"/>
    <mergeCell ref="W721:W727"/>
    <mergeCell ref="F817:G817"/>
    <mergeCell ref="AD145:AD149"/>
    <mergeCell ref="G67:G72"/>
    <mergeCell ref="J395:J399"/>
    <mergeCell ref="J429:J434"/>
    <mergeCell ref="G61:G66"/>
    <mergeCell ref="E756:E762"/>
    <mergeCell ref="AM799:AM802"/>
    <mergeCell ref="A799:A803"/>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K405:K408"/>
    <mergeCell ref="F597:F602"/>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B67:C72"/>
    <mergeCell ref="AG324:AG329"/>
    <mergeCell ref="J573:J578"/>
    <mergeCell ref="W640:W645"/>
    <mergeCell ref="E9:G9"/>
    <mergeCell ref="AJ55:AJ59"/>
    <mergeCell ref="I49:I54"/>
    <mergeCell ref="AM385:AM388"/>
    <mergeCell ref="AE254:AE258"/>
    <mergeCell ref="AN61:AN65"/>
    <mergeCell ref="AB97:AB101"/>
    <mergeCell ref="I303:I309"/>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AH199:AH203"/>
    <mergeCell ref="I181:I186"/>
    <mergeCell ref="H381:J381"/>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G352:AG357"/>
    <mergeCell ref="AL471:AL475"/>
    <mergeCell ref="AJ787:AJ788"/>
    <mergeCell ref="AL145:AL149"/>
    <mergeCell ref="A359:A365"/>
    <mergeCell ref="AE483:AE487"/>
    <mergeCell ref="AB115:AB119"/>
    <mergeCell ref="J163:J168"/>
    <mergeCell ref="J794:J798"/>
    <mergeCell ref="AK507:AK511"/>
    <mergeCell ref="AG676:AG680"/>
    <mergeCell ref="B537:C542"/>
    <mergeCell ref="AG670:AG674"/>
    <mergeCell ref="AN405:AN408"/>
    <mergeCell ref="AW441:AW445"/>
    <mergeCell ref="D735:D741"/>
    <mergeCell ref="F67:F72"/>
    <mergeCell ref="I395:I399"/>
    <mergeCell ref="AN230:AN234"/>
    <mergeCell ref="AD519:AD523"/>
    <mergeCell ref="G435:G440"/>
    <mergeCell ref="AA501:AA505"/>
    <mergeCell ref="AK79:AK83"/>
    <mergeCell ref="AK73:AK77"/>
    <mergeCell ref="AG242:AG246"/>
    <mergeCell ref="AQ573:AQ577"/>
    <mergeCell ref="K459:K463"/>
    <mergeCell ref="A266:A271"/>
    <mergeCell ref="F25:F30"/>
    <mergeCell ref="AI429:AI433"/>
    <mergeCell ref="A260:A265"/>
    <mergeCell ref="D603:D608"/>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Z121:Z125"/>
    <mergeCell ref="J242:J247"/>
    <mergeCell ref="B374:C374"/>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AA242:AA246"/>
    <mergeCell ref="H471:H476"/>
    <mergeCell ref="B609:C614"/>
    <mergeCell ref="B847:C847"/>
    <mergeCell ref="E13:E18"/>
    <mergeCell ref="AB385:AB388"/>
    <mergeCell ref="AF352:AF357"/>
    <mergeCell ref="AI787:AI788"/>
    <mergeCell ref="AC809:AC812"/>
    <mergeCell ref="A664:A669"/>
    <mergeCell ref="AK145:AK149"/>
    <mergeCell ref="I728:I734"/>
    <mergeCell ref="K531:K535"/>
    <mergeCell ref="AA115:AA119"/>
    <mergeCell ref="AI501:AI505"/>
    <mergeCell ref="Z447:Z451"/>
    <mergeCell ref="K525:K529"/>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AC405:AC408"/>
    <mergeCell ref="AN199:AN203"/>
    <mergeCell ref="J728:J734"/>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A187:AA191"/>
    <mergeCell ref="AD555:AD559"/>
    <mergeCell ref="AN248:AN252"/>
    <mergeCell ref="AN352:AN357"/>
    <mergeCell ref="AD400:AD403"/>
    <mergeCell ref="AJ579:AJ583"/>
    <mergeCell ref="AK770:AK775"/>
    <mergeCell ref="AV603:AV607"/>
    <mergeCell ref="AS804:AS807"/>
    <mergeCell ref="AB465:AB469"/>
    <mergeCell ref="AD223:AD227"/>
    <mergeCell ref="F303:F309"/>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AG400:AG403"/>
    <mergeCell ref="L413:L416"/>
    <mergeCell ref="AF615:AF619"/>
    <mergeCell ref="AC157:AC161"/>
    <mergeCell ref="AV627:AV631"/>
    <mergeCell ref="J627:J632"/>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AD278:AD282"/>
    <mergeCell ref="B844:C844"/>
    <mergeCell ref="Z145:Z149"/>
    <mergeCell ref="AM756:AM761"/>
    <mergeCell ref="B838:C838"/>
    <mergeCell ref="AK230:AK234"/>
    <mergeCell ref="F429:F434"/>
    <mergeCell ref="D338:D344"/>
    <mergeCell ref="I290:I295"/>
    <mergeCell ref="AJ163:AJ167"/>
    <mergeCell ref="AK441:AK445"/>
    <mergeCell ref="AH73:AH77"/>
    <mergeCell ref="Q413:Q416"/>
    <mergeCell ref="F890:F892"/>
    <mergeCell ref="AC175:AC179"/>
    <mergeCell ref="D157:D162"/>
    <mergeCell ref="AH400:AH403"/>
    <mergeCell ref="A603:A608"/>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G115:G120"/>
    <mergeCell ref="AB217:AB221"/>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C352:AC357"/>
    <mergeCell ref="AH471:AH475"/>
    <mergeCell ref="AA193:AA197"/>
    <mergeCell ref="AF787:AF788"/>
    <mergeCell ref="AJ664:AJ668"/>
    <mergeCell ref="I756:I762"/>
    <mergeCell ref="K597:K601"/>
    <mergeCell ref="H236:H241"/>
    <mergeCell ref="F163:F168"/>
    <mergeCell ref="AI567:AI571"/>
    <mergeCell ref="F794:F798"/>
    <mergeCell ref="AR794:AR797"/>
    <mergeCell ref="AJ405:AJ408"/>
    <mergeCell ref="AS441:AS445"/>
    <mergeCell ref="AQ525:AQ529"/>
    <mergeCell ref="E525:E530"/>
    <mergeCell ref="AM248:AM252"/>
    <mergeCell ref="AL735:AL740"/>
    <mergeCell ref="E395:E399"/>
    <mergeCell ref="AJ230:AJ234"/>
    <mergeCell ref="AT567:AT571"/>
    <mergeCell ref="B874:C874"/>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B700:C705"/>
    <mergeCell ref="AL296:AL300"/>
    <mergeCell ref="D127:D132"/>
    <mergeCell ref="AL303:AL308"/>
    <mergeCell ref="G495:G500"/>
    <mergeCell ref="AN359:AN364"/>
    <mergeCell ref="I688:I693"/>
    <mergeCell ref="Z786:AA786"/>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7:F713"/>
    <mergeCell ref="F700:F705"/>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B352:AB357"/>
    <mergeCell ref="F573:F578"/>
    <mergeCell ref="AE787:AE78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K303:AK308"/>
    <mergeCell ref="AM338:AM343"/>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I169:I174"/>
    <mergeCell ref="AH284:AH288"/>
    <mergeCell ref="AI133:AI137"/>
    <mergeCell ref="Z414:AB414"/>
    <mergeCell ref="H9:J9"/>
    <mergeCell ref="W597:W602"/>
    <mergeCell ref="AD819:AD820"/>
    <mergeCell ref="AN25:AN29"/>
    <mergeCell ref="B338:C344"/>
    <mergeCell ref="AA296:AA300"/>
    <mergeCell ref="AA303:AA308"/>
    <mergeCell ref="D579:D584"/>
    <mergeCell ref="AQ809:AQ812"/>
    <mergeCell ref="AM405:AM408"/>
    <mergeCell ref="AV441:AV445"/>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AC266:AC270"/>
    <mergeCell ref="AB417:AB421"/>
    <mergeCell ref="H714:H720"/>
    <mergeCell ref="J785:J788"/>
    <mergeCell ref="G382:G384"/>
    <mergeCell ref="AJ352:AJ357"/>
    <mergeCell ref="Z400:Z403"/>
    <mergeCell ref="E413:E416"/>
    <mergeCell ref="AJ127:AJ131"/>
    <mergeCell ref="AG390:AG393"/>
    <mergeCell ref="I495:I500"/>
    <mergeCell ref="E664:E669"/>
    <mergeCell ref="D597:D602"/>
    <mergeCell ref="AH483:AH487"/>
    <mergeCell ref="AL415:AL416"/>
    <mergeCell ref="AD359:AD364"/>
    <mergeCell ref="AI609:AI613"/>
    <mergeCell ref="B79:C84"/>
    <mergeCell ref="I67:I72"/>
    <mergeCell ref="G804:G808"/>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391" operator="containsText" dxfId="325" text="VERDE">
      <formula>NOT(ISERROR(SEARCH("VERDE",D229)))</formula>
    </cfRule>
    <cfRule type="containsText" priority="392" operator="containsText" dxfId="324" text="AMARILLO">
      <formula>NOT(ISERROR(SEARCH("AMARILLO",D229)))</formula>
    </cfRule>
    <cfRule type="containsText" priority="393" operator="containsText" dxfId="323" text="ROJO">
      <formula>NOT(ISERROR(SEARCH("ROJO",D229)))</formula>
    </cfRule>
  </conditionalFormatting>
  <conditionalFormatting sqref="D821:D856">
    <cfRule type="cellIs" priority="389" operator="lessThan" dxfId="0" stopIfTrue="1">
      <formula>0</formula>
    </cfRule>
  </conditionalFormatting>
  <conditionalFormatting sqref="D858:D869">
    <cfRule type="cellIs" priority="388" operator="lessThan" dxfId="0" stopIfTrue="1">
      <formula>0</formula>
    </cfRule>
  </conditionalFormatting>
  <conditionalFormatting sqref="D871:D888">
    <cfRule type="cellIs" priority="387" operator="lessThan" dxfId="0" stopIfTrue="1">
      <formula>0</formula>
    </cfRule>
  </conditionalFormatting>
  <conditionalFormatting sqref="D893:D894">
    <cfRule type="cellIs" priority="390" operator="lessThan" dxfId="0" stopIfTrue="1">
      <formula>0</formula>
    </cfRule>
  </conditionalFormatting>
  <conditionalFormatting sqref="D566">
    <cfRule type="cellIs" priority="386" operator="lessThan" dxfId="384" stopIfTrue="1">
      <formula>0</formula>
    </cfRule>
  </conditionalFormatting>
  <conditionalFormatting sqref="D572">
    <cfRule type="cellIs" priority="385" operator="lessThan" dxfId="384" stopIfTrue="1">
      <formula>0</formula>
    </cfRule>
  </conditionalFormatting>
  <conditionalFormatting sqref="D895:D897">
    <cfRule type="cellIs" priority="384" operator="lessThan" dxfId="0" stopIfTrue="1">
      <formula>0</formula>
    </cfRule>
  </conditionalFormatting>
  <conditionalFormatting sqref="E229 P410">
    <cfRule type="containsText" priority="376" operator="containsText" dxfId="325" text="VERDE">
      <formula>NOT(ISERROR(SEARCH("VERDE",E229)))</formula>
    </cfRule>
    <cfRule type="containsText" priority="377" operator="containsText" dxfId="324" text="AMARILLO">
      <formula>NOT(ISERROR(SEARCH("AMARILLO",E229)))</formula>
    </cfRule>
    <cfRule type="containsText" priority="378" operator="containsText" dxfId="323" text="ROJO">
      <formula>NOT(ISERROR(SEARCH("ROJO",E229)))</formula>
    </cfRule>
  </conditionalFormatting>
  <conditionalFormatting sqref="E821:I856">
    <cfRule type="cellIs" priority="253" operator="lessThan" dxfId="0" stopIfTrue="1">
      <formula>0</formula>
    </cfRule>
  </conditionalFormatting>
  <conditionalFormatting sqref="E858:I869">
    <cfRule type="cellIs" priority="252" operator="lessThan" dxfId="0" stopIfTrue="1">
      <formula>0</formula>
    </cfRule>
  </conditionalFormatting>
  <conditionalFormatting sqref="E871:I888">
    <cfRule type="cellIs" priority="251" operator="lessThan" dxfId="0" stopIfTrue="1">
      <formula>0</formula>
    </cfRule>
  </conditionalFormatting>
  <conditionalFormatting sqref="E893:I893 E894:G894 H894:I897">
    <cfRule type="cellIs" priority="369" operator="lessThan" dxfId="0" stopIfTrue="1">
      <formula>0</formula>
    </cfRule>
  </conditionalFormatting>
  <conditionalFormatting sqref="K13:K17">
    <cfRule type="cellIs" priority="379" operator="lessThan" dxfId="0" stopIfTrue="1">
      <formula>0</formula>
    </cfRule>
  </conditionalFormatting>
  <conditionalFormatting sqref="K303:K308 K777:K783">
    <cfRule type="cellIs" priority="365" operator="lessThan" dxfId="0" stopIfTrue="1">
      <formula>0</formula>
    </cfRule>
  </conditionalFormatting>
  <conditionalFormatting sqref="K309">
    <cfRule type="containsText" priority="375" operator="containsText" dxfId="8" text="Falso">
      <formula>NOT(ISERROR(SEARCH("Falso",K309)))</formula>
    </cfRule>
  </conditionalFormatting>
  <conditionalFormatting sqref="K373:K380">
    <cfRule type="cellIs" priority="372" operator="lessThan" dxfId="0" stopIfTrue="1">
      <formula>0</formula>
    </cfRule>
  </conditionalFormatting>
  <conditionalFormatting sqref="K385:K388">
    <cfRule type="cellIs" priority="380" operator="lessThan" dxfId="0" stopIfTrue="1">
      <formula>0</formula>
    </cfRule>
  </conditionalFormatting>
  <conditionalFormatting sqref="K389">
    <cfRule type="containsText" priority="381" operator="containsText" dxfId="8" text="Falso">
      <formula>NOT(ISERROR(SEARCH("Falso",K389)))</formula>
    </cfRule>
  </conditionalFormatting>
  <conditionalFormatting sqref="K394">
    <cfRule type="containsText" priority="371" operator="containsText" dxfId="8" text="Falso">
      <formula>NOT(ISERROR(SEARCH("Falso",K394)))</formula>
    </cfRule>
  </conditionalFormatting>
  <conditionalFormatting sqref="K399 K404 K409">
    <cfRule type="containsText" priority="370" operator="containsText" dxfId="8" text="Falso">
      <formula>NOT(ISERROR(SEARCH("Falso",K399)))</formula>
    </cfRule>
  </conditionalFormatting>
  <conditionalFormatting sqref="K714:K719 K721:K726">
    <cfRule type="cellIs" priority="273" operator="lessThan" dxfId="0" stopIfTrue="1">
      <formula>0</formula>
    </cfRule>
  </conditionalFormatting>
  <conditionalFormatting sqref="K634:K638">
    <cfRule type="cellIs" priority="279" operator="lessThan" dxfId="0" stopIfTrue="1">
      <formula>0</formula>
    </cfRule>
  </conditionalFormatting>
  <conditionalFormatting sqref="K749:K754 K756:K761">
    <cfRule type="cellIs" priority="271" operator="lessThan" dxfId="0" stopIfTrue="1">
      <formula>0</formula>
    </cfRule>
  </conditionalFormatting>
  <conditionalFormatting sqref="K763:K768">
    <cfRule type="cellIs" priority="270" operator="lessThan" dxfId="0" stopIfTrue="1">
      <formula>0</formula>
    </cfRule>
  </conditionalFormatting>
  <conditionalFormatting sqref="K770:K775">
    <cfRule type="cellIs" priority="269" operator="lessThan" dxfId="0" stopIfTrue="1">
      <formula>0</formula>
    </cfRule>
  </conditionalFormatting>
  <conditionalFormatting sqref="K707:K712">
    <cfRule type="cellIs" priority="278" operator="lessThan" dxfId="0" stopIfTrue="1">
      <formula>0</formula>
    </cfRule>
  </conditionalFormatting>
  <conditionalFormatting sqref="K728:K733 K735:K740 K742:K747">
    <cfRule type="cellIs" priority="272" operator="lessThan" dxfId="0" stopIfTrue="1">
      <formula>0</formula>
    </cfRule>
  </conditionalFormatting>
  <conditionalFormatting sqref="K821:K856 M821:O856">
    <cfRule type="cellIs" priority="250" operator="lessThan" dxfId="0" stopIfTrue="1">
      <formula>0</formula>
    </cfRule>
  </conditionalFormatting>
  <conditionalFormatting sqref="K858:K869 M858:N869">
    <cfRule type="cellIs" priority="249" operator="lessThan" dxfId="0" stopIfTrue="1">
      <formula>0</formula>
    </cfRule>
  </conditionalFormatting>
  <conditionalFormatting sqref="K871:K888 M871:N887 M888:O888">
    <cfRule type="cellIs" priority="248" operator="lessThan" dxfId="0" stopIfTrue="1">
      <formula>0</formula>
    </cfRule>
  </conditionalFormatting>
  <conditionalFormatting sqref="K893:K894 M893:N894">
    <cfRule type="cellIs" priority="247" operator="lessThan" dxfId="0" stopIfTrue="1">
      <formula>0</formula>
    </cfRule>
  </conditionalFormatting>
  <conditionalFormatting sqref="P13:P17 P303:P308">
    <cfRule type="containsText" priority="361" operator="containsText" dxfId="131" text="VENCIDO">
      <formula>NOT(ISERROR(SEARCH("VENCIDO",P13)))</formula>
    </cfRule>
    <cfRule type="containsText" priority="362" operator="containsText" dxfId="130" text="VERDE">
      <formula>NOT(ISERROR(SEARCH("VERDE",P13)))</formula>
    </cfRule>
    <cfRule type="containsText" priority="363" operator="containsText" dxfId="129" stopIfTrue="1" text="AMARILLO">
      <formula>NOT(ISERROR(SEARCH("AMARILLO",P13)))</formula>
    </cfRule>
    <cfRule type="containsText" priority="364" operator="containsText" dxfId="128" text="ROJO">
      <formula>NOT(ISERROR(SEARCH("ROJO",P13)))</formula>
    </cfRule>
  </conditionalFormatting>
  <conditionalFormatting sqref="P373:P379">
    <cfRule type="containsText" priority="357" operator="containsText" dxfId="131" text="VENCIDO">
      <formula>NOT(ISERROR(SEARCH("VENCIDO",P373)))</formula>
    </cfRule>
    <cfRule type="containsText" priority="358" operator="containsText" dxfId="130" text="VERDE">
      <formula>NOT(ISERROR(SEARCH("VERDE",P373)))</formula>
    </cfRule>
    <cfRule type="containsText" priority="359" operator="containsText" dxfId="129" stopIfTrue="1" text="AMARILLO">
      <formula>NOT(ISERROR(SEARCH("AMARILLO",P373)))</formula>
    </cfRule>
    <cfRule type="containsText" priority="360" operator="containsText" dxfId="128" text="ROJO">
      <formula>NOT(ISERROR(SEARCH("ROJO",P373)))</formula>
    </cfRule>
  </conditionalFormatting>
  <conditionalFormatting sqref="P385:P388">
    <cfRule type="containsText" priority="353" operator="containsText" dxfId="131" text="VENCIDO">
      <formula>NOT(ISERROR(SEARCH("VENCIDO",P385)))</formula>
    </cfRule>
    <cfRule type="containsText" priority="354" operator="containsText" dxfId="130" text="VERDE">
      <formula>NOT(ISERROR(SEARCH("VERDE",P385)))</formula>
    </cfRule>
    <cfRule type="containsText" priority="355" operator="containsText" dxfId="129" stopIfTrue="1" text="AMARILLO">
      <formula>NOT(ISERROR(SEARCH("AMARILLO",P385)))</formula>
    </cfRule>
    <cfRule type="containsText" priority="356" operator="containsText" dxfId="128" text="ROJO">
      <formula>NOT(ISERROR(SEARCH("ROJO",P385)))</formula>
    </cfRule>
  </conditionalFormatting>
  <conditionalFormatting sqref="P417:P421">
    <cfRule type="containsText" priority="346" operator="containsText" dxfId="131" text="VENCIDO">
      <formula>NOT(ISERROR(SEARCH("VENCIDO",P417)))</formula>
    </cfRule>
    <cfRule type="containsText" priority="347" operator="containsText" dxfId="130" text="VERDE">
      <formula>NOT(ISERROR(SEARCH("VERDE",P417)))</formula>
    </cfRule>
    <cfRule type="containsText" priority="348" operator="containsText" dxfId="129" stopIfTrue="1" text="AMARILLO">
      <formula>NOT(ISERROR(SEARCH("AMARILLO",P417)))</formula>
    </cfRule>
    <cfRule type="containsText" priority="349" operator="containsText" dxfId="128" text="ROJO">
      <formula>NOT(ISERROR(SEARCH("ROJO",P417)))</formula>
    </cfRule>
  </conditionalFormatting>
  <conditionalFormatting sqref="P561:P565">
    <cfRule type="containsText" priority="342" operator="containsText" dxfId="131" text="VENCIDO">
      <formula>NOT(ISERROR(SEARCH("VENCIDO",P561)))</formula>
    </cfRule>
    <cfRule type="containsText" priority="343" operator="containsText" dxfId="130" text="VERDE">
      <formula>NOT(ISERROR(SEARCH("VERDE",P561)))</formula>
    </cfRule>
    <cfRule type="containsText" priority="344" operator="containsText" dxfId="129" stopIfTrue="1" text="AMARILLO">
      <formula>NOT(ISERROR(SEARCH("AMARILLO",P561)))</formula>
    </cfRule>
    <cfRule type="containsText" priority="345" operator="containsText" dxfId="128" text="ROJO">
      <formula>NOT(ISERROR(SEARCH("ROJO",P561)))</formula>
    </cfRule>
  </conditionalFormatting>
  <conditionalFormatting sqref="P707:P712">
    <cfRule type="containsText" priority="274" operator="containsText" dxfId="131" text="VENCIDO">
      <formula>NOT(ISERROR(SEARCH("VENCIDO",P707)))</formula>
    </cfRule>
    <cfRule type="containsText" priority="275" operator="containsText" dxfId="130" text="VERDE">
      <formula>NOT(ISERROR(SEARCH("VERDE",P707)))</formula>
    </cfRule>
    <cfRule type="containsText" priority="276" operator="containsText" dxfId="129" stopIfTrue="1" text="AMARILLO">
      <formula>NOT(ISERROR(SEARCH("AMARILLO",P707)))</formula>
    </cfRule>
    <cfRule type="containsText" priority="277" operator="containsText" dxfId="128" text="ROJO">
      <formula>NOT(ISERROR(SEARCH("ROJO",P707)))</formula>
    </cfRule>
  </conditionalFormatting>
  <conditionalFormatting sqref="P777:P783">
    <cfRule type="containsText" priority="265" operator="containsText" dxfId="131" text="VENCIDO">
      <formula>NOT(ISERROR(SEARCH("VENCIDO",P777)))</formula>
    </cfRule>
    <cfRule type="containsText" priority="266" operator="containsText" dxfId="130" text="VERDE">
      <formula>NOT(ISERROR(SEARCH("VERDE",P777)))</formula>
    </cfRule>
    <cfRule type="containsText" priority="267" operator="containsText" dxfId="129" stopIfTrue="1" text="AMARILLO">
      <formula>NOT(ISERROR(SEARCH("AMARILLO",P777)))</formula>
    </cfRule>
    <cfRule type="containsText" priority="268" operator="containsText" dxfId="128" text="ROJO">
      <formula>NOT(ISERROR(SEARCH("ROJO",P777)))</formula>
    </cfRule>
  </conditionalFormatting>
  <conditionalFormatting sqref="Q833:Q848">
    <cfRule type="containsText" priority="259" operator="containsText" dxfId="325" text="VERDE">
      <formula>NOT(ISERROR(SEARCH("VERDE",Q833)))</formula>
    </cfRule>
    <cfRule type="containsText" priority="260" operator="containsText" dxfId="324" text="AMARILLO">
      <formula>NOT(ISERROR(SEARCH("AMARILLO",Q833)))</formula>
    </cfRule>
    <cfRule type="containsText" priority="261" operator="containsText" dxfId="323" text="ROJO">
      <formula>NOT(ISERROR(SEARCH("ROJO",Q833)))</formula>
    </cfRule>
  </conditionalFormatting>
  <conditionalFormatting sqref="Q821:R832">
    <cfRule type="containsText" priority="350" operator="containsText" dxfId="325" text="VERDE">
      <formula>NOT(ISERROR(SEARCH("VERDE",Q821)))</formula>
    </cfRule>
    <cfRule type="containsText" priority="351" operator="containsText" dxfId="324" text="AMARILLO">
      <formula>NOT(ISERROR(SEARCH("AMARILLO",Q821)))</formula>
    </cfRule>
    <cfRule type="containsText" priority="352" operator="containsText" dxfId="323" text="ROJO">
      <formula>NOT(ISERROR(SEARCH("ROJO",Q821)))</formula>
    </cfRule>
  </conditionalFormatting>
  <conditionalFormatting sqref="AO821:AO827 AO838:AO860 AO868:AO871 AO873 AO875:AO887">
    <cfRule type="expression" priority="366" dxfId="314">
      <formula>$AO821&lt;&gt;#REF!</formula>
    </cfRule>
  </conditionalFormatting>
  <conditionalFormatting sqref="AO828:AO835">
    <cfRule type="expression" priority="382" dxfId="314">
      <formula>$AO828&lt;&gt;#REF!</formula>
    </cfRule>
  </conditionalFormatting>
  <conditionalFormatting sqref="AO836:AO837">
    <cfRule type="expression" priority="264" dxfId="314">
      <formula>$AO836&lt;&gt;#REF!</formula>
    </cfRule>
  </conditionalFormatting>
  <conditionalFormatting sqref="AO861">
    <cfRule type="expression" priority="258" dxfId="314">
      <formula>$AO861&lt;&gt;#REF!</formula>
    </cfRule>
  </conditionalFormatting>
  <conditionalFormatting sqref="AO862:AO866">
    <cfRule type="expression" priority="257" dxfId="314">
      <formula>$AO862&lt;&gt;#REF!</formula>
    </cfRule>
  </conditionalFormatting>
  <conditionalFormatting sqref="AO867">
    <cfRule type="expression" priority="256" dxfId="314">
      <formula>$AO867&lt;&gt;#REF!</formula>
    </cfRule>
  </conditionalFormatting>
  <conditionalFormatting sqref="AO872">
    <cfRule type="expression" priority="255" dxfId="314">
      <formula>$AO872&lt;&gt;#REF!</formula>
    </cfRule>
  </conditionalFormatting>
  <conditionalFormatting sqref="AO874">
    <cfRule type="expression" priority="254" dxfId="314">
      <formula>$AO874&lt;&gt;#REF!</formula>
    </cfRule>
  </conditionalFormatting>
  <conditionalFormatting sqref="AO888">
    <cfRule type="expression" priority="383" dxfId="314">
      <formula>$AO888&lt;&gt;$L888</formula>
    </cfRule>
  </conditionalFormatting>
  <conditionalFormatting sqref="AS417">
    <cfRule type="cellIs" priority="368" operator="greaterThan" dxfId="8">
      <formula>1</formula>
    </cfRule>
  </conditionalFormatting>
  <conditionalFormatting sqref="AS423">
    <cfRule type="cellIs" priority="341" operator="greaterThan" dxfId="8">
      <formula>1</formula>
    </cfRule>
  </conditionalFormatting>
  <conditionalFormatting sqref="AS429">
    <cfRule type="cellIs" priority="339" operator="greaterThan" dxfId="8">
      <formula>1</formula>
    </cfRule>
  </conditionalFormatting>
  <conditionalFormatting sqref="AS435">
    <cfRule type="cellIs" priority="337" operator="greaterThan" dxfId="8">
      <formula>1</formula>
    </cfRule>
  </conditionalFormatting>
  <conditionalFormatting sqref="AS441">
    <cfRule type="cellIs" priority="335" operator="greaterThan" dxfId="8">
      <formula>1</formula>
    </cfRule>
  </conditionalFormatting>
  <conditionalFormatting sqref="AS447">
    <cfRule type="cellIs" priority="333" operator="greaterThan" dxfId="8">
      <formula>1</formula>
    </cfRule>
  </conditionalFormatting>
  <conditionalFormatting sqref="AS453">
    <cfRule type="cellIs" priority="331" operator="greaterThan" dxfId="8">
      <formula>1</formula>
    </cfRule>
  </conditionalFormatting>
  <conditionalFormatting sqref="AS459">
    <cfRule type="cellIs" priority="329" operator="greaterThan" dxfId="8">
      <formula>1</formula>
    </cfRule>
  </conditionalFormatting>
  <conditionalFormatting sqref="AS465">
    <cfRule type="cellIs" priority="327" operator="greaterThan" dxfId="8">
      <formula>1</formula>
    </cfRule>
  </conditionalFormatting>
  <conditionalFormatting sqref="AS471">
    <cfRule type="cellIs" priority="325" operator="greaterThan" dxfId="8">
      <formula>1</formula>
    </cfRule>
  </conditionalFormatting>
  <conditionalFormatting sqref="AS477">
    <cfRule type="cellIs" priority="323" operator="greaterThan" dxfId="8">
      <formula>1</formula>
    </cfRule>
  </conditionalFormatting>
  <conditionalFormatting sqref="AS483">
    <cfRule type="cellIs" priority="321" operator="greaterThan" dxfId="8">
      <formula>1</formula>
    </cfRule>
  </conditionalFormatting>
  <conditionalFormatting sqref="AS489">
    <cfRule type="cellIs" priority="319" operator="greaterThan" dxfId="8">
      <formula>1</formula>
    </cfRule>
  </conditionalFormatting>
  <conditionalFormatting sqref="AS495">
    <cfRule type="cellIs" priority="317" operator="greaterThan" dxfId="8">
      <formula>1</formula>
    </cfRule>
  </conditionalFormatting>
  <conditionalFormatting sqref="AS501">
    <cfRule type="cellIs" priority="315" operator="greaterThan" dxfId="8">
      <formula>1</formula>
    </cfRule>
  </conditionalFormatting>
  <conditionalFormatting sqref="AS507">
    <cfRule type="cellIs" priority="313" operator="greaterThan" dxfId="8">
      <formula>1</formula>
    </cfRule>
  </conditionalFormatting>
  <conditionalFormatting sqref="AS513">
    <cfRule type="cellIs" priority="311" operator="greaterThan" dxfId="8">
      <formula>1</formula>
    </cfRule>
  </conditionalFormatting>
  <conditionalFormatting sqref="AS519">
    <cfRule type="cellIs" priority="309" operator="greaterThan" dxfId="8">
      <formula>1</formula>
    </cfRule>
  </conditionalFormatting>
  <conditionalFormatting sqref="AS525">
    <cfRule type="cellIs" priority="307" operator="greaterThan" dxfId="8">
      <formula>1</formula>
    </cfRule>
  </conditionalFormatting>
  <conditionalFormatting sqref="AS531">
    <cfRule type="cellIs" priority="305" operator="greaterThan" dxfId="8">
      <formula>1</formula>
    </cfRule>
  </conditionalFormatting>
  <conditionalFormatting sqref="AS537">
    <cfRule type="cellIs" priority="303" operator="greaterThan" dxfId="8">
      <formula>1</formula>
    </cfRule>
  </conditionalFormatting>
  <conditionalFormatting sqref="AS543">
    <cfRule type="cellIs" priority="301" operator="greaterThan" dxfId="8">
      <formula>1</formula>
    </cfRule>
  </conditionalFormatting>
  <conditionalFormatting sqref="AS549">
    <cfRule type="cellIs" priority="299" operator="greaterThan" dxfId="8">
      <formula>1</formula>
    </cfRule>
  </conditionalFormatting>
  <conditionalFormatting sqref="AS555">
    <cfRule type="cellIs" priority="297" operator="greaterThan" dxfId="8">
      <formula>1</formula>
    </cfRule>
  </conditionalFormatting>
  <conditionalFormatting sqref="AS561">
    <cfRule type="cellIs" priority="295" operator="greaterThan" dxfId="8">
      <formula>1</formula>
    </cfRule>
  </conditionalFormatting>
  <conditionalFormatting sqref="AS567">
    <cfRule type="cellIs" priority="293" operator="greaterThan" dxfId="8">
      <formula>1</formula>
    </cfRule>
  </conditionalFormatting>
  <conditionalFormatting sqref="AS573">
    <cfRule type="cellIs" priority="288" operator="greaterThan" dxfId="8">
      <formula>1</formula>
    </cfRule>
  </conditionalFormatting>
  <conditionalFormatting sqref="AS579">
    <cfRule type="cellIs" priority="290" operator="greaterThan" dxfId="8">
      <formula>1</formula>
    </cfRule>
  </conditionalFormatting>
  <conditionalFormatting sqref="AS585">
    <cfRule type="cellIs" priority="287" operator="greaterThan" dxfId="8">
      <formula>1</formula>
    </cfRule>
  </conditionalFormatting>
  <conditionalFormatting sqref="AS591">
    <cfRule type="cellIs" priority="285" operator="greaterThan" dxfId="8">
      <formula>1</formula>
    </cfRule>
  </conditionalFormatting>
  <conditionalFormatting sqref="AS597 AS603">
    <cfRule type="cellIs" priority="283" operator="greaterThan" dxfId="8">
      <formula>1</formula>
    </cfRule>
  </conditionalFormatting>
  <conditionalFormatting sqref="AS609 AS615 AS621 AS627">
    <cfRule type="cellIs" priority="281" operator="greaterThan" dxfId="8">
      <formula>1</formula>
    </cfRule>
  </conditionalFormatting>
  <conditionalFormatting sqref="AS780:AS787">
    <cfRule type="cellIs" priority="374" operator="greaterThan" dxfId="8">
      <formula>1</formula>
    </cfRule>
  </conditionalFormatting>
  <conditionalFormatting sqref="AS821:AS856">
    <cfRule type="cellIs" priority="263" operator="greaterThan" dxfId="8">
      <formula>1</formula>
    </cfRule>
  </conditionalFormatting>
  <conditionalFormatting sqref="AT417">
    <cfRule type="cellIs" priority="367" operator="greaterThan" dxfId="121">
      <formula>1</formula>
    </cfRule>
  </conditionalFormatting>
  <conditionalFormatting sqref="AT423">
    <cfRule type="cellIs" priority="340" operator="greaterThan" dxfId="121">
      <formula>1</formula>
    </cfRule>
  </conditionalFormatting>
  <conditionalFormatting sqref="AT429">
    <cfRule type="cellIs" priority="338" operator="greaterThan" dxfId="121">
      <formula>1</formula>
    </cfRule>
  </conditionalFormatting>
  <conditionalFormatting sqref="AT435">
    <cfRule type="cellIs" priority="336" operator="greaterThan" dxfId="121">
      <formula>1</formula>
    </cfRule>
  </conditionalFormatting>
  <conditionalFormatting sqref="AT441">
    <cfRule type="cellIs" priority="334" operator="greaterThan" dxfId="121">
      <formula>1</formula>
    </cfRule>
  </conditionalFormatting>
  <conditionalFormatting sqref="AT447">
    <cfRule type="cellIs" priority="332" operator="greaterThan" dxfId="121">
      <formula>1</formula>
    </cfRule>
  </conditionalFormatting>
  <conditionalFormatting sqref="AT453">
    <cfRule type="cellIs" priority="330" operator="greaterThan" dxfId="121">
      <formula>1</formula>
    </cfRule>
  </conditionalFormatting>
  <conditionalFormatting sqref="AT459">
    <cfRule type="cellIs" priority="328" operator="greaterThan" dxfId="121">
      <formula>1</formula>
    </cfRule>
  </conditionalFormatting>
  <conditionalFormatting sqref="AT465">
    <cfRule type="cellIs" priority="326" operator="greaterThan" dxfId="121">
      <formula>1</formula>
    </cfRule>
  </conditionalFormatting>
  <conditionalFormatting sqref="AT471">
    <cfRule type="cellIs" priority="324" operator="greaterThan" dxfId="121">
      <formula>1</formula>
    </cfRule>
  </conditionalFormatting>
  <conditionalFormatting sqref="AT477">
    <cfRule type="cellIs" priority="322" operator="greaterThan" dxfId="121">
      <formula>1</formula>
    </cfRule>
  </conditionalFormatting>
  <conditionalFormatting sqref="AT483">
    <cfRule type="cellIs" priority="320" operator="greaterThan" dxfId="121">
      <formula>1</formula>
    </cfRule>
  </conditionalFormatting>
  <conditionalFormatting sqref="AT489">
    <cfRule type="cellIs" priority="318" operator="greaterThan" dxfId="121">
      <formula>1</formula>
    </cfRule>
  </conditionalFormatting>
  <conditionalFormatting sqref="AT495">
    <cfRule type="cellIs" priority="316" operator="greaterThan" dxfId="121">
      <formula>1</formula>
    </cfRule>
  </conditionalFormatting>
  <conditionalFormatting sqref="AT501">
    <cfRule type="cellIs" priority="314" operator="greaterThan" dxfId="121">
      <formula>1</formula>
    </cfRule>
  </conditionalFormatting>
  <conditionalFormatting sqref="AT507">
    <cfRule type="cellIs" priority="312" operator="greaterThan" dxfId="121">
      <formula>1</formula>
    </cfRule>
  </conditionalFormatting>
  <conditionalFormatting sqref="AT513">
    <cfRule type="cellIs" priority="310" operator="greaterThan" dxfId="121">
      <formula>1</formula>
    </cfRule>
  </conditionalFormatting>
  <conditionalFormatting sqref="AT519">
    <cfRule type="cellIs" priority="308" operator="greaterThan" dxfId="121">
      <formula>1</formula>
    </cfRule>
  </conditionalFormatting>
  <conditionalFormatting sqref="AT525">
    <cfRule type="cellIs" priority="306" operator="greaterThan" dxfId="121">
      <formula>1</formula>
    </cfRule>
  </conditionalFormatting>
  <conditionalFormatting sqref="AT531">
    <cfRule type="cellIs" priority="304" operator="greaterThan" dxfId="121">
      <formula>1</formula>
    </cfRule>
  </conditionalFormatting>
  <conditionalFormatting sqref="AT537">
    <cfRule type="cellIs" priority="302" operator="greaterThan" dxfId="121">
      <formula>1</formula>
    </cfRule>
  </conditionalFormatting>
  <conditionalFormatting sqref="AT543">
    <cfRule type="cellIs" priority="300" operator="greaterThan" dxfId="121">
      <formula>1</formula>
    </cfRule>
  </conditionalFormatting>
  <conditionalFormatting sqref="AT549">
    <cfRule type="cellIs" priority="298" operator="greaterThan" dxfId="121">
      <formula>1</formula>
    </cfRule>
  </conditionalFormatting>
  <conditionalFormatting sqref="AT555">
    <cfRule type="cellIs" priority="296" operator="greaterThan" dxfId="121">
      <formula>1</formula>
    </cfRule>
  </conditionalFormatting>
  <conditionalFormatting sqref="AT561">
    <cfRule type="cellIs" priority="294" operator="greaterThan" dxfId="121">
      <formula>1</formula>
    </cfRule>
  </conditionalFormatting>
  <conditionalFormatting sqref="AT567">
    <cfRule type="cellIs" priority="292" operator="greaterThan" dxfId="121">
      <formula>1</formula>
    </cfRule>
  </conditionalFormatting>
  <conditionalFormatting sqref="AT573">
    <cfRule type="cellIs" priority="291" operator="greaterThan" dxfId="121">
      <formula>1</formula>
    </cfRule>
  </conditionalFormatting>
  <conditionalFormatting sqref="AT579">
    <cfRule type="cellIs" priority="289" operator="greaterThan" dxfId="121">
      <formula>1</formula>
    </cfRule>
  </conditionalFormatting>
  <conditionalFormatting sqref="AT585">
    <cfRule type="cellIs" priority="286" operator="greaterThan" dxfId="121">
      <formula>1</formula>
    </cfRule>
  </conditionalFormatting>
  <conditionalFormatting sqref="AT591">
    <cfRule type="cellIs" priority="284" operator="greaterThan" dxfId="121">
      <formula>1</formula>
    </cfRule>
  </conditionalFormatting>
  <conditionalFormatting sqref="AT597 AT603">
    <cfRule type="cellIs" priority="282" operator="greaterThan" dxfId="121">
      <formula>1</formula>
    </cfRule>
  </conditionalFormatting>
  <conditionalFormatting sqref="AT609 AT615 AT621 AT627">
    <cfRule type="cellIs" priority="280" operator="greaterThan" dxfId="121">
      <formula>1</formula>
    </cfRule>
  </conditionalFormatting>
  <conditionalFormatting sqref="AT780:AT787">
    <cfRule type="cellIs" priority="373" operator="greaterThan" dxfId="121">
      <formula>1</formula>
    </cfRule>
  </conditionalFormatting>
  <conditionalFormatting sqref="AT821:AT856">
    <cfRule type="cellIs" priority="262" operator="greaterThan" dxfId="121">
      <formula>1</formula>
    </cfRule>
  </conditionalFormatting>
  <conditionalFormatting sqref="K561:K565">
    <cfRule type="cellIs" priority="246" operator="lessThan" dxfId="0" stopIfTrue="1">
      <formula>0</formula>
    </cfRule>
  </conditionalFormatting>
  <conditionalFormatting sqref="K417:K421">
    <cfRule type="cellIs" priority="245" operator="lessThan" dxfId="0" stopIfTrue="1">
      <formula>0</formula>
    </cfRule>
  </conditionalFormatting>
  <conditionalFormatting sqref="K405:K408">
    <cfRule type="cellIs" priority="244" operator="lessThan" dxfId="0" stopIfTrue="1">
      <formula>0</formula>
    </cfRule>
  </conditionalFormatting>
  <conditionalFormatting sqref="K395:K398">
    <cfRule type="cellIs" priority="243" operator="lessThan" dxfId="0" stopIfTrue="1">
      <formula>0</formula>
    </cfRule>
  </conditionalFormatting>
  <conditionalFormatting sqref="K400:K403">
    <cfRule type="cellIs" priority="242" operator="lessThan" dxfId="0" stopIfTrue="1">
      <formula>0</formula>
    </cfRule>
  </conditionalFormatting>
  <conditionalFormatting sqref="K390:K393">
    <cfRule type="cellIs" priority="241" operator="lessThan" dxfId="0" stopIfTrue="1">
      <formula>0</formula>
    </cfRule>
  </conditionalFormatting>
  <conditionalFormatting sqref="P390:P393">
    <cfRule type="containsText" priority="237" operator="containsText" dxfId="131" text="VENCIDO">
      <formula>NOT(ISERROR(SEARCH("VENCIDO",P390)))</formula>
    </cfRule>
    <cfRule type="containsText" priority="238" operator="containsText" dxfId="130" text="VERDE">
      <formula>NOT(ISERROR(SEARCH("VERDE",P390)))</formula>
    </cfRule>
    <cfRule type="containsText" priority="239" operator="containsText" dxfId="129" stopIfTrue="1" text="AMARILLO">
      <formula>NOT(ISERROR(SEARCH("AMARILLO",P390)))</formula>
    </cfRule>
    <cfRule type="containsText" priority="240" operator="containsText" dxfId="128" text="ROJO">
      <formula>NOT(ISERROR(SEARCH("ROJO",P390)))</formula>
    </cfRule>
  </conditionalFormatting>
  <conditionalFormatting sqref="P395:P398">
    <cfRule type="containsText" priority="233" operator="containsText" dxfId="131" text="VENCIDO">
      <formula>NOT(ISERROR(SEARCH("VENCIDO",P395)))</formula>
    </cfRule>
    <cfRule type="containsText" priority="234" operator="containsText" dxfId="130" text="VERDE">
      <formula>NOT(ISERROR(SEARCH("VERDE",P395)))</formula>
    </cfRule>
    <cfRule type="containsText" priority="235" operator="containsText" dxfId="129" stopIfTrue="1" text="AMARILLO">
      <formula>NOT(ISERROR(SEARCH("AMARILLO",P395)))</formula>
    </cfRule>
    <cfRule type="containsText" priority="236" operator="containsText" dxfId="128" text="ROJO">
      <formula>NOT(ISERROR(SEARCH("ROJO",P395)))</formula>
    </cfRule>
  </conditionalFormatting>
  <conditionalFormatting sqref="P400:P403">
    <cfRule type="containsText" priority="229" operator="containsText" dxfId="131" text="VENCIDO">
      <formula>NOT(ISERROR(SEARCH("VENCIDO",P400)))</formula>
    </cfRule>
    <cfRule type="containsText" priority="230" operator="containsText" dxfId="130" text="VERDE">
      <formula>NOT(ISERROR(SEARCH("VERDE",P400)))</formula>
    </cfRule>
    <cfRule type="containsText" priority="231" operator="containsText" dxfId="129" stopIfTrue="1" text="AMARILLO">
      <formula>NOT(ISERROR(SEARCH("AMARILLO",P400)))</formula>
    </cfRule>
    <cfRule type="containsText" priority="232" operator="containsText" dxfId="128" text="ROJO">
      <formula>NOT(ISERROR(SEARCH("ROJO",P400)))</formula>
    </cfRule>
  </conditionalFormatting>
  <conditionalFormatting sqref="P405:P408">
    <cfRule type="containsText" priority="225" operator="containsText" dxfId="131" text="VENCIDO">
      <formula>NOT(ISERROR(SEARCH("VENCIDO",P405)))</formula>
    </cfRule>
    <cfRule type="containsText" priority="226" operator="containsText" dxfId="130" text="VERDE">
      <formula>NOT(ISERROR(SEARCH("VERDE",P405)))</formula>
    </cfRule>
    <cfRule type="containsText" priority="227" operator="containsText" dxfId="129" stopIfTrue="1" text="AMARILLO">
      <formula>NOT(ISERROR(SEARCH("AMARILLO",P405)))</formula>
    </cfRule>
    <cfRule type="containsText" priority="228" operator="containsText" dxfId="128" text="ROJO">
      <formula>NOT(ISERROR(SEARCH("ROJO",P405)))</formula>
    </cfRule>
  </conditionalFormatting>
  <conditionalFormatting sqref="K640:K644 K646:K650 K652:K656 K658:K662 K664:K668 K670:K674 K676:K680 K682:K686 K688:K692 K694:K698 K700:K704">
    <cfRule type="cellIs" priority="181"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24"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20" operator="containsText" dxfId="131" text="VENCIDO">
      <formula>NOT(ISERROR(SEARCH("VENCIDO",P19)))</formula>
    </cfRule>
    <cfRule type="containsText" priority="221" operator="containsText" dxfId="130" text="VERDE">
      <formula>NOT(ISERROR(SEARCH("VERDE",P19)))</formula>
    </cfRule>
    <cfRule type="containsText" priority="222" operator="containsText" dxfId="129" stopIfTrue="1" text="AMARILLO">
      <formula>NOT(ISERROR(SEARCH("AMARILLO",P19)))</formula>
    </cfRule>
    <cfRule type="containsText" priority="223" operator="containsText" dxfId="128" text="ROJO">
      <formula>NOT(ISERROR(SEARCH("ROJO",P19)))</formula>
    </cfRule>
  </conditionalFormatting>
  <conditionalFormatting sqref="K230:K234 K236:K240 K242:K246 K248:K252 K254:K258 K260:K264 K266:K270 K272:K276 K278:K282 K284:K288 K290:K294 K296:K300">
    <cfRule type="cellIs" priority="219" operator="lessThan" dxfId="0" stopIfTrue="1">
      <formula>0</formula>
    </cfRule>
  </conditionalFormatting>
  <conditionalFormatting sqref="P230:P234 P236:P240 P242:P246 P248:P252 P254:P258 P260:P264 P266:P270 P272:P276 P278:P282 P284:P288 P290:P294 P296:P300">
    <cfRule type="containsText" priority="215" operator="containsText" dxfId="131" text="VENCIDO">
      <formula>NOT(ISERROR(SEARCH("VENCIDO",P230)))</formula>
    </cfRule>
    <cfRule type="containsText" priority="216" operator="containsText" dxfId="130" text="VERDE">
      <formula>NOT(ISERROR(SEARCH("VERDE",P230)))</formula>
    </cfRule>
    <cfRule type="containsText" priority="217" operator="containsText" dxfId="129" stopIfTrue="1" text="AMARILLO">
      <formula>NOT(ISERROR(SEARCH("AMARILLO",P230)))</formula>
    </cfRule>
    <cfRule type="containsText" priority="218" operator="containsText" dxfId="128" text="ROJO">
      <formula>NOT(ISERROR(SEARCH("ROJO",P230)))</formula>
    </cfRule>
  </conditionalFormatting>
  <conditionalFormatting sqref="K316 K323 K330 K337 K344 K351 K358 K365 K372">
    <cfRule type="containsText" priority="214" operator="containsText" dxfId="8" text="Falso">
      <formula>NOT(ISERROR(SEARCH("Falso",K316)))</formula>
    </cfRule>
  </conditionalFormatting>
  <conditionalFormatting sqref="P310:P315 P317:P322 P324:P329 P331:P336 P338:P343 P345:P350 P352:P357 P359:P364 P366:P371">
    <cfRule type="containsText" priority="210" operator="containsText" dxfId="131" text="VENCIDO">
      <formula>NOT(ISERROR(SEARCH("VENCIDO",P310)))</formula>
    </cfRule>
    <cfRule type="containsText" priority="211" operator="containsText" dxfId="130" text="VERDE">
      <formula>NOT(ISERROR(SEARCH("VERDE",P310)))</formula>
    </cfRule>
    <cfRule type="containsText" priority="212" operator="containsText" dxfId="129" stopIfTrue="1" text="AMARILLO">
      <formula>NOT(ISERROR(SEARCH("AMARILLO",P310)))</formula>
    </cfRule>
    <cfRule type="containsText" priority="213" operator="containsText" dxfId="128" text="ROJO">
      <formula>NOT(ISERROR(SEARCH("ROJO",P310)))</formula>
    </cfRule>
  </conditionalFormatting>
  <conditionalFormatting sqref="K310:K315">
    <cfRule type="cellIs" priority="209" operator="lessThan" dxfId="0" stopIfTrue="1">
      <formula>0</formula>
    </cfRule>
  </conditionalFormatting>
  <conditionalFormatting sqref="K317:K322">
    <cfRule type="cellIs" priority="208" operator="lessThan" dxfId="0" stopIfTrue="1">
      <formula>0</formula>
    </cfRule>
  </conditionalFormatting>
  <conditionalFormatting sqref="K324:K329">
    <cfRule type="cellIs" priority="207" operator="lessThan" dxfId="0" stopIfTrue="1">
      <formula>0</formula>
    </cfRule>
  </conditionalFormatting>
  <conditionalFormatting sqref="K331:K336">
    <cfRule type="cellIs" priority="206" operator="lessThan" dxfId="0" stopIfTrue="1">
      <formula>0</formula>
    </cfRule>
  </conditionalFormatting>
  <conditionalFormatting sqref="K338:K343">
    <cfRule type="cellIs" priority="205" operator="lessThan" dxfId="0" stopIfTrue="1">
      <formula>0</formula>
    </cfRule>
  </conditionalFormatting>
  <conditionalFormatting sqref="K345:K350">
    <cfRule type="cellIs" priority="204" operator="lessThan" dxfId="0" stopIfTrue="1">
      <formula>0</formula>
    </cfRule>
  </conditionalFormatting>
  <conditionalFormatting sqref="K352:K357">
    <cfRule type="cellIs" priority="203" operator="lessThan" dxfId="0" stopIfTrue="1">
      <formula>0</formula>
    </cfRule>
  </conditionalFormatting>
  <conditionalFormatting sqref="K359:K364">
    <cfRule type="cellIs" priority="202" operator="lessThan" dxfId="0" stopIfTrue="1">
      <formula>0</formula>
    </cfRule>
  </conditionalFormatting>
  <conditionalFormatting sqref="K366:K371">
    <cfRule type="cellIs" priority="201"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197" operator="containsText" dxfId="131" text="VENCIDO">
      <formula>NOT(ISERROR(SEARCH("VENCIDO",P423)))</formula>
    </cfRule>
    <cfRule type="containsText" priority="198" operator="containsText" dxfId="130" text="VERDE">
      <formula>NOT(ISERROR(SEARCH("VERDE",P423)))</formula>
    </cfRule>
    <cfRule type="containsText" priority="199" operator="containsText" dxfId="129" stopIfTrue="1" text="AMARILLO">
      <formula>NOT(ISERROR(SEARCH("AMARILLO",P423)))</formula>
    </cfRule>
    <cfRule type="containsText" priority="200"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196" operator="lessThan" dxfId="0" stopIfTrue="1">
      <formula>0</formula>
    </cfRule>
  </conditionalFormatting>
  <conditionalFormatting sqref="P567:P571">
    <cfRule type="containsText" priority="192" operator="containsText" dxfId="131" text="VENCIDO">
      <formula>NOT(ISERROR(SEARCH("VENCIDO",P567)))</formula>
    </cfRule>
    <cfRule type="containsText" priority="193" operator="containsText" dxfId="130" text="VERDE">
      <formula>NOT(ISERROR(SEARCH("VERDE",P567)))</formula>
    </cfRule>
    <cfRule type="containsText" priority="194" operator="containsText" dxfId="129" stopIfTrue="1" text="AMARILLO">
      <formula>NOT(ISERROR(SEARCH("AMARILLO",P567)))</formula>
    </cfRule>
    <cfRule type="containsText" priority="195" operator="containsText" dxfId="128" text="ROJO">
      <formula>NOT(ISERROR(SEARCH("ROJO",P567)))</formula>
    </cfRule>
  </conditionalFormatting>
  <conditionalFormatting sqref="K567:K571">
    <cfRule type="cellIs" priority="191" operator="lessThan" dxfId="0" stopIfTrue="1">
      <formula>0</formula>
    </cfRule>
  </conditionalFormatting>
  <conditionalFormatting sqref="P573:P577 P579:P583 P585:P589 P591:P595 P597:P601 P603:P607 P609:P613 P615:P619 P621:P625 P627:P631">
    <cfRule type="containsText" priority="187" operator="containsText" dxfId="131" text="VENCIDO">
      <formula>NOT(ISERROR(SEARCH("VENCIDO",P573)))</formula>
    </cfRule>
    <cfRule type="containsText" priority="188" operator="containsText" dxfId="130" text="VERDE">
      <formula>NOT(ISERROR(SEARCH("VERDE",P573)))</formula>
    </cfRule>
    <cfRule type="containsText" priority="189" operator="containsText" dxfId="129" stopIfTrue="1" text="AMARILLO">
      <formula>NOT(ISERROR(SEARCH("AMARILLO",P573)))</formula>
    </cfRule>
    <cfRule type="containsText" priority="190" operator="containsText" dxfId="128" text="ROJO">
      <formula>NOT(ISERROR(SEARCH("ROJO",P573)))</formula>
    </cfRule>
  </conditionalFormatting>
  <conditionalFormatting sqref="K573:K577 K579:K583 K585:K589 K591:K595 K597:K601 K603:K607 K609:K613 K615:K619 K621:K625 K627:K631">
    <cfRule type="cellIs" priority="186" operator="lessThan" dxfId="0" stopIfTrue="1">
      <formula>0</formula>
    </cfRule>
  </conditionalFormatting>
  <conditionalFormatting sqref="P634:P638">
    <cfRule type="containsText" priority="182" operator="containsText" dxfId="131" text="VENCIDO">
      <formula>NOT(ISERROR(SEARCH("VENCIDO",P634)))</formula>
    </cfRule>
    <cfRule type="containsText" priority="183" operator="containsText" dxfId="130" text="VERDE">
      <formula>NOT(ISERROR(SEARCH("VERDE",P634)))</formula>
    </cfRule>
    <cfRule type="containsText" priority="184" operator="containsText" dxfId="129" stopIfTrue="1" text="AMARILLO">
      <formula>NOT(ISERROR(SEARCH("AMARILLO",P634)))</formula>
    </cfRule>
    <cfRule type="containsText" priority="185" operator="containsText" dxfId="128" text="ROJO">
      <formula>NOT(ISERROR(SEARCH("ROJO",P634)))</formula>
    </cfRule>
  </conditionalFormatting>
  <conditionalFormatting sqref="P640:P644 P646:P650 P652:P656 P658:P662 P664:P668 P670:P674 P676:P680 P682:P686 P688:P692 P694:P698 P700:P704">
    <cfRule type="containsText" priority="177" operator="containsText" dxfId="131" text="VENCIDO">
      <formula>NOT(ISERROR(SEARCH("VENCIDO",P640)))</formula>
    </cfRule>
    <cfRule type="containsText" priority="178" operator="containsText" dxfId="130" text="VERDE">
      <formula>NOT(ISERROR(SEARCH("VERDE",P640)))</formula>
    </cfRule>
    <cfRule type="containsText" priority="179" operator="containsText" dxfId="129" stopIfTrue="1" text="AMARILLO">
      <formula>NOT(ISERROR(SEARCH("AMARILLO",P640)))</formula>
    </cfRule>
    <cfRule type="containsText" priority="180" operator="containsText" dxfId="128" text="ROJO">
      <formula>NOT(ISERROR(SEARCH("ROJO",P640)))</formula>
    </cfRule>
  </conditionalFormatting>
  <conditionalFormatting sqref="P714:P719">
    <cfRule type="containsText" priority="173" operator="containsText" dxfId="131" text="VENCIDO">
      <formula>NOT(ISERROR(SEARCH("VENCIDO",P714)))</formula>
    </cfRule>
    <cfRule type="containsText" priority="174" operator="containsText" dxfId="130" text="VERDE">
      <formula>NOT(ISERROR(SEARCH("VERDE",P714)))</formula>
    </cfRule>
    <cfRule type="containsText" priority="175" operator="containsText" dxfId="129" stopIfTrue="1" text="AMARILLO">
      <formula>NOT(ISERROR(SEARCH("AMARILLO",P714)))</formula>
    </cfRule>
    <cfRule type="containsText" priority="176" operator="containsText" dxfId="128" text="ROJO">
      <formula>NOT(ISERROR(SEARCH("ROJO",P714)))</formula>
    </cfRule>
  </conditionalFormatting>
  <conditionalFormatting sqref="P721:P726">
    <cfRule type="containsText" priority="169" operator="containsText" dxfId="131" text="VENCIDO">
      <formula>NOT(ISERROR(SEARCH("VENCIDO",P721)))</formula>
    </cfRule>
    <cfRule type="containsText" priority="170" operator="containsText" dxfId="130" text="VERDE">
      <formula>NOT(ISERROR(SEARCH("VERDE",P721)))</formula>
    </cfRule>
    <cfRule type="containsText" priority="171" operator="containsText" dxfId="129" stopIfTrue="1" text="AMARILLO">
      <formula>NOT(ISERROR(SEARCH("AMARILLO",P721)))</formula>
    </cfRule>
    <cfRule type="containsText" priority="172" operator="containsText" dxfId="128" text="ROJO">
      <formula>NOT(ISERROR(SEARCH("ROJO",P721)))</formula>
    </cfRule>
  </conditionalFormatting>
  <conditionalFormatting sqref="P728:P733">
    <cfRule type="containsText" priority="165" operator="containsText" dxfId="131" text="VENCIDO">
      <formula>NOT(ISERROR(SEARCH("VENCIDO",P728)))</formula>
    </cfRule>
    <cfRule type="containsText" priority="166" operator="containsText" dxfId="130" text="VERDE">
      <formula>NOT(ISERROR(SEARCH("VERDE",P728)))</formula>
    </cfRule>
    <cfRule type="containsText" priority="167" operator="containsText" dxfId="129" stopIfTrue="1" text="AMARILLO">
      <formula>NOT(ISERROR(SEARCH("AMARILLO",P728)))</formula>
    </cfRule>
    <cfRule type="containsText" priority="168" operator="containsText" dxfId="128" text="ROJO">
      <formula>NOT(ISERROR(SEARCH("ROJO",P728)))</formula>
    </cfRule>
  </conditionalFormatting>
  <conditionalFormatting sqref="P735:P740">
    <cfRule type="containsText" priority="161" operator="containsText" dxfId="131" text="VENCIDO">
      <formula>NOT(ISERROR(SEARCH("VENCIDO",P735)))</formula>
    </cfRule>
    <cfRule type="containsText" priority="162" operator="containsText" dxfId="130" text="VERDE">
      <formula>NOT(ISERROR(SEARCH("VERDE",P735)))</formula>
    </cfRule>
    <cfRule type="containsText" priority="163" operator="containsText" dxfId="129" stopIfTrue="1" text="AMARILLO">
      <formula>NOT(ISERROR(SEARCH("AMARILLO",P735)))</formula>
    </cfRule>
    <cfRule type="containsText" priority="164" operator="containsText" dxfId="128" text="ROJO">
      <formula>NOT(ISERROR(SEARCH("ROJO",P735)))</formula>
    </cfRule>
  </conditionalFormatting>
  <conditionalFormatting sqref="P742:P747">
    <cfRule type="containsText" priority="157" operator="containsText" dxfId="131" text="VENCIDO">
      <formula>NOT(ISERROR(SEARCH("VENCIDO",P742)))</formula>
    </cfRule>
    <cfRule type="containsText" priority="158" operator="containsText" dxfId="130" text="VERDE">
      <formula>NOT(ISERROR(SEARCH("VERDE",P742)))</formula>
    </cfRule>
    <cfRule type="containsText" priority="159" operator="containsText" dxfId="129" stopIfTrue="1" text="AMARILLO">
      <formula>NOT(ISERROR(SEARCH("AMARILLO",P742)))</formula>
    </cfRule>
    <cfRule type="containsText" priority="160" operator="containsText" dxfId="128" text="ROJO">
      <formula>NOT(ISERROR(SEARCH("ROJO",P742)))</formula>
    </cfRule>
  </conditionalFormatting>
  <conditionalFormatting sqref="P749:P754">
    <cfRule type="containsText" priority="153" operator="containsText" dxfId="131" text="VENCIDO">
      <formula>NOT(ISERROR(SEARCH("VENCIDO",P749)))</formula>
    </cfRule>
    <cfRule type="containsText" priority="154" operator="containsText" dxfId="130" text="VERDE">
      <formula>NOT(ISERROR(SEARCH("VERDE",P749)))</formula>
    </cfRule>
    <cfRule type="containsText" priority="155" operator="containsText" dxfId="129" stopIfTrue="1" text="AMARILLO">
      <formula>NOT(ISERROR(SEARCH("AMARILLO",P749)))</formula>
    </cfRule>
    <cfRule type="containsText" priority="156" operator="containsText" dxfId="128" text="ROJO">
      <formula>NOT(ISERROR(SEARCH("ROJO",P749)))</formula>
    </cfRule>
  </conditionalFormatting>
  <conditionalFormatting sqref="P756:P761">
    <cfRule type="containsText" priority="149" operator="containsText" dxfId="131" text="VENCIDO">
      <formula>NOT(ISERROR(SEARCH("VENCIDO",P756)))</formula>
    </cfRule>
    <cfRule type="containsText" priority="150" operator="containsText" dxfId="130" text="VERDE">
      <formula>NOT(ISERROR(SEARCH("VERDE",P756)))</formula>
    </cfRule>
    <cfRule type="containsText" priority="151" operator="containsText" dxfId="129" stopIfTrue="1" text="AMARILLO">
      <formula>NOT(ISERROR(SEARCH("AMARILLO",P756)))</formula>
    </cfRule>
    <cfRule type="containsText" priority="152" operator="containsText" dxfId="128" text="ROJO">
      <formula>NOT(ISERROR(SEARCH("ROJO",P756)))</formula>
    </cfRule>
  </conditionalFormatting>
  <conditionalFormatting sqref="P763:P768">
    <cfRule type="containsText" priority="145" operator="containsText" dxfId="131" text="VENCIDO">
      <formula>NOT(ISERROR(SEARCH("VENCIDO",P763)))</formula>
    </cfRule>
    <cfRule type="containsText" priority="146" operator="containsText" dxfId="130" text="VERDE">
      <formula>NOT(ISERROR(SEARCH("VERDE",P763)))</formula>
    </cfRule>
    <cfRule type="containsText" priority="147" operator="containsText" dxfId="129" stopIfTrue="1" text="AMARILLO">
      <formula>NOT(ISERROR(SEARCH("AMARILLO",P763)))</formula>
    </cfRule>
    <cfRule type="containsText" priority="148" operator="containsText" dxfId="128" text="ROJO">
      <formula>NOT(ISERROR(SEARCH("ROJO",P763)))</formula>
    </cfRule>
  </conditionalFormatting>
  <conditionalFormatting sqref="P770:P775">
    <cfRule type="containsText" priority="141" operator="containsText" dxfId="131" text="VENCIDO">
      <formula>NOT(ISERROR(SEARCH("VENCIDO",P770)))</formula>
    </cfRule>
    <cfRule type="containsText" priority="142" operator="containsText" dxfId="130" text="VERDE">
      <formula>NOT(ISERROR(SEARCH("VERDE",P770)))</formula>
    </cfRule>
    <cfRule type="containsText" priority="143" operator="containsText" dxfId="129" stopIfTrue="1" text="AMARILLO">
      <formula>NOT(ISERROR(SEARCH("AMARILLO",P770)))</formula>
    </cfRule>
    <cfRule type="containsText" priority="144" operator="containsText" dxfId="128" text="ROJO">
      <formula>NOT(ISERROR(SEARCH("ROJO",P770)))</formula>
    </cfRule>
  </conditionalFormatting>
  <conditionalFormatting sqref="P789:P792">
    <cfRule type="containsText" priority="137" operator="containsText" dxfId="131" text="VENCIDO">
      <formula>NOT(ISERROR(SEARCH("VENCIDO",P789)))</formula>
    </cfRule>
    <cfRule type="containsText" priority="138" operator="containsText" dxfId="130" text="VERDE">
      <formula>NOT(ISERROR(SEARCH("VERDE",P789)))</formula>
    </cfRule>
    <cfRule type="containsText" priority="139" operator="containsText" dxfId="129" stopIfTrue="1" text="AMARILLO">
      <formula>NOT(ISERROR(SEARCH("AMARILLO",P789)))</formula>
    </cfRule>
    <cfRule type="containsText" priority="140" operator="containsText" dxfId="128" text="ROJO">
      <formula>NOT(ISERROR(SEARCH("ROJO",P789)))</formula>
    </cfRule>
  </conditionalFormatting>
  <conditionalFormatting sqref="P794:P797">
    <cfRule type="containsText" priority="133" operator="containsText" dxfId="131" text="VENCIDO">
      <formula>NOT(ISERROR(SEARCH("VENCIDO",P794)))</formula>
    </cfRule>
    <cfRule type="containsText" priority="134" operator="containsText" dxfId="130" text="VERDE">
      <formula>NOT(ISERROR(SEARCH("VERDE",P794)))</formula>
    </cfRule>
    <cfRule type="containsText" priority="135" operator="containsText" dxfId="129" stopIfTrue="1" text="AMARILLO">
      <formula>NOT(ISERROR(SEARCH("AMARILLO",P794)))</formula>
    </cfRule>
    <cfRule type="containsText" priority="136" operator="containsText" dxfId="128" text="ROJO">
      <formula>NOT(ISERROR(SEARCH("ROJO",P794)))</formula>
    </cfRule>
  </conditionalFormatting>
  <conditionalFormatting sqref="P799:P802 P804:P807 P809:P812">
    <cfRule type="containsText" priority="129" operator="containsText" dxfId="131" text="VENCIDO">
      <formula>NOT(ISERROR(SEARCH("VENCIDO",P799)))</formula>
    </cfRule>
    <cfRule type="containsText" priority="130" operator="containsText" dxfId="130" text="VERDE">
      <formula>NOT(ISERROR(SEARCH("VERDE",P799)))</formula>
    </cfRule>
    <cfRule type="containsText" priority="131" operator="containsText" dxfId="129" stopIfTrue="1" text="AMARILLO">
      <formula>NOT(ISERROR(SEARCH("AMARILLO",P799)))</formula>
    </cfRule>
    <cfRule type="containsText" priority="132" operator="containsText" dxfId="128" text="ROJO">
      <formula>NOT(ISERROR(SEARCH("ROJO",P799)))</formula>
    </cfRule>
  </conditionalFormatting>
  <conditionalFormatting sqref="K789:K792">
    <cfRule type="cellIs" priority="128" operator="lessThan" dxfId="0" stopIfTrue="1">
      <formula>0</formula>
    </cfRule>
  </conditionalFormatting>
  <conditionalFormatting sqref="K794:K797">
    <cfRule type="cellIs" priority="127" operator="lessThan" dxfId="0" stopIfTrue="1">
      <formula>0</formula>
    </cfRule>
  </conditionalFormatting>
  <conditionalFormatting sqref="K799:K802">
    <cfRule type="cellIs" priority="126" operator="lessThan" dxfId="0" stopIfTrue="1">
      <formula>0</formula>
    </cfRule>
  </conditionalFormatting>
  <conditionalFormatting sqref="K804:K807">
    <cfRule type="cellIs" priority="125" operator="lessThan" dxfId="0" stopIfTrue="1">
      <formula>0</formula>
    </cfRule>
  </conditionalFormatting>
  <conditionalFormatting sqref="K809:K812">
    <cfRule type="cellIs" priority="124" operator="lessThan" dxfId="0" stopIfTrue="1">
      <formula>0</formula>
    </cfRule>
  </conditionalFormatting>
  <conditionalFormatting sqref="AT789">
    <cfRule type="cellIs" priority="123" operator="greaterThan" dxfId="121">
      <formula>1</formula>
    </cfRule>
  </conditionalFormatting>
  <conditionalFormatting sqref="AT794 AT799 AT804 AT809">
    <cfRule type="cellIs" priority="122" operator="greaterThan" dxfId="121">
      <formula>1</formula>
    </cfRule>
  </conditionalFormatting>
  <conditionalFormatting sqref="E895:G897">
    <cfRule type="cellIs" priority="121" operator="lessThan" dxfId="0" stopIfTrue="1">
      <formula>0</formula>
    </cfRule>
  </conditionalFormatting>
  <conditionalFormatting sqref="K895:K897 M895:N897">
    <cfRule type="cellIs" priority="120" operator="lessThan" dxfId="0" stopIfTrue="1">
      <formula>0</formula>
    </cfRule>
  </conditionalFormatting>
  <conditionalFormatting sqref="K301">
    <cfRule type="containsText" priority="119" operator="containsText" dxfId="8" text="Falso">
      <formula>NOT(ISERROR(SEARCH("Falso",K301)))</formula>
    </cfRule>
  </conditionalFormatting>
  <conditionalFormatting sqref="K295">
    <cfRule type="containsText" priority="118" operator="containsText" dxfId="8" text="Falso">
      <formula>NOT(ISERROR(SEARCH("Falso",K295)))</formula>
    </cfRule>
  </conditionalFormatting>
  <conditionalFormatting sqref="K289">
    <cfRule type="containsText" priority="117" operator="containsText" dxfId="8" text="Falso">
      <formula>NOT(ISERROR(SEARCH("Falso",K289)))</formula>
    </cfRule>
  </conditionalFormatting>
  <conditionalFormatting sqref="K283">
    <cfRule type="containsText" priority="116" operator="containsText" dxfId="8" text="Falso">
      <formula>NOT(ISERROR(SEARCH("Falso",K283)))</formula>
    </cfRule>
  </conditionalFormatting>
  <conditionalFormatting sqref="K277">
    <cfRule type="containsText" priority="115" operator="containsText" dxfId="8" text="Falso">
      <formula>NOT(ISERROR(SEARCH("Falso",K277)))</formula>
    </cfRule>
  </conditionalFormatting>
  <conditionalFormatting sqref="K271">
    <cfRule type="containsText" priority="114" operator="containsText" dxfId="8" text="Falso">
      <formula>NOT(ISERROR(SEARCH("Falso",K271)))</formula>
    </cfRule>
  </conditionalFormatting>
  <conditionalFormatting sqref="K265">
    <cfRule type="containsText" priority="113" operator="containsText" dxfId="8" text="Falso">
      <formula>NOT(ISERROR(SEARCH("Falso",K265)))</formula>
    </cfRule>
  </conditionalFormatting>
  <conditionalFormatting sqref="K259">
    <cfRule type="containsText" priority="112" operator="containsText" dxfId="8" text="Falso">
      <formula>NOT(ISERROR(SEARCH("Falso",K259)))</formula>
    </cfRule>
  </conditionalFormatting>
  <conditionalFormatting sqref="K253">
    <cfRule type="containsText" priority="111" operator="containsText" dxfId="8" text="Falso">
      <formula>NOT(ISERROR(SEARCH("Falso",K253)))</formula>
    </cfRule>
  </conditionalFormatting>
  <conditionalFormatting sqref="K247">
    <cfRule type="containsText" priority="110" operator="containsText" dxfId="8" text="Falso">
      <formula>NOT(ISERROR(SEARCH("Falso",K247)))</formula>
    </cfRule>
  </conditionalFormatting>
  <conditionalFormatting sqref="K235">
    <cfRule type="containsText" priority="109" operator="containsText" dxfId="8" text="Falso">
      <formula>NOT(ISERROR(SEARCH("Falso",K235)))</formula>
    </cfRule>
  </conditionalFormatting>
  <conditionalFormatting sqref="K241">
    <cfRule type="containsText" priority="108" operator="containsText" dxfId="8" text="Falso">
      <formula>NOT(ISERROR(SEARCH("Falso",K241)))</formula>
    </cfRule>
  </conditionalFormatting>
  <conditionalFormatting sqref="K228">
    <cfRule type="containsText" priority="107" operator="containsText" dxfId="8" text="Falso">
      <formula>NOT(ISERROR(SEARCH("Falso",K228)))</formula>
    </cfRule>
  </conditionalFormatting>
  <conditionalFormatting sqref="K222">
    <cfRule type="containsText" priority="106" operator="containsText" dxfId="8" text="Falso">
      <formula>NOT(ISERROR(SEARCH("Falso",K222)))</formula>
    </cfRule>
  </conditionalFormatting>
  <conditionalFormatting sqref="K216">
    <cfRule type="containsText" priority="105" operator="containsText" dxfId="8" text="Falso">
      <formula>NOT(ISERROR(SEARCH("Falso",K216)))</formula>
    </cfRule>
  </conditionalFormatting>
  <conditionalFormatting sqref="K210">
    <cfRule type="containsText" priority="104" operator="containsText" dxfId="8" text="Falso">
      <formula>NOT(ISERROR(SEARCH("Falso",K210)))</formula>
    </cfRule>
  </conditionalFormatting>
  <conditionalFormatting sqref="K204">
    <cfRule type="containsText" priority="103" operator="containsText" dxfId="8" text="Falso">
      <formula>NOT(ISERROR(SEARCH("Falso",K204)))</formula>
    </cfRule>
  </conditionalFormatting>
  <conditionalFormatting sqref="K198">
    <cfRule type="containsText" priority="102" operator="containsText" dxfId="8" text="Falso">
      <formula>NOT(ISERROR(SEARCH("Falso",K198)))</formula>
    </cfRule>
  </conditionalFormatting>
  <conditionalFormatting sqref="K192">
    <cfRule type="containsText" priority="101" operator="containsText" dxfId="8" text="Falso">
      <formula>NOT(ISERROR(SEARCH("Falso",K192)))</formula>
    </cfRule>
  </conditionalFormatting>
  <conditionalFormatting sqref="K186">
    <cfRule type="containsText" priority="100" operator="containsText" dxfId="8" text="Falso">
      <formula>NOT(ISERROR(SEARCH("Falso",K186)))</formula>
    </cfRule>
  </conditionalFormatting>
  <conditionalFormatting sqref="K180">
    <cfRule type="containsText" priority="99" operator="containsText" dxfId="8" text="Falso">
      <formula>NOT(ISERROR(SEARCH("Falso",K180)))</formula>
    </cfRule>
  </conditionalFormatting>
  <conditionalFormatting sqref="K174">
    <cfRule type="containsText" priority="98" operator="containsText" dxfId="8" text="Falso">
      <formula>NOT(ISERROR(SEARCH("Falso",K174)))</formula>
    </cfRule>
  </conditionalFormatting>
  <conditionalFormatting sqref="K168">
    <cfRule type="containsText" priority="97" operator="containsText" dxfId="8" text="Falso">
      <formula>NOT(ISERROR(SEARCH("Falso",K168)))</formula>
    </cfRule>
  </conditionalFormatting>
  <conditionalFormatting sqref="K162">
    <cfRule type="containsText" priority="96" operator="containsText" dxfId="8" text="Falso">
      <formula>NOT(ISERROR(SEARCH("Falso",K162)))</formula>
    </cfRule>
  </conditionalFormatting>
  <conditionalFormatting sqref="K156">
    <cfRule type="containsText" priority="95" operator="containsText" dxfId="8" text="Falso">
      <formula>NOT(ISERROR(SEARCH("Falso",K156)))</formula>
    </cfRule>
  </conditionalFormatting>
  <conditionalFormatting sqref="K150">
    <cfRule type="containsText" priority="94" operator="containsText" dxfId="8" text="Falso">
      <formula>NOT(ISERROR(SEARCH("Falso",K150)))</formula>
    </cfRule>
  </conditionalFormatting>
  <conditionalFormatting sqref="K144">
    <cfRule type="containsText" priority="93" operator="containsText" dxfId="8" text="Falso">
      <formula>NOT(ISERROR(SEARCH("Falso",K144)))</formula>
    </cfRule>
  </conditionalFormatting>
  <conditionalFormatting sqref="K138">
    <cfRule type="containsText" priority="92" operator="containsText" dxfId="8" text="Falso">
      <formula>NOT(ISERROR(SEARCH("Falso",K138)))</formula>
    </cfRule>
  </conditionalFormatting>
  <conditionalFormatting sqref="K132">
    <cfRule type="containsText" priority="91" operator="containsText" dxfId="8" text="Falso">
      <formula>NOT(ISERROR(SEARCH("Falso",K132)))</formula>
    </cfRule>
  </conditionalFormatting>
  <conditionalFormatting sqref="K126">
    <cfRule type="containsText" priority="90" operator="containsText" dxfId="8" text="Falso">
      <formula>NOT(ISERROR(SEARCH("Falso",K126)))</formula>
    </cfRule>
  </conditionalFormatting>
  <conditionalFormatting sqref="K120">
    <cfRule type="containsText" priority="89" operator="containsText" dxfId="8" text="Falso">
      <formula>NOT(ISERROR(SEARCH("Falso",K120)))</formula>
    </cfRule>
  </conditionalFormatting>
  <conditionalFormatting sqref="K114">
    <cfRule type="containsText" priority="88" operator="containsText" dxfId="8" text="Falso">
      <formula>NOT(ISERROR(SEARCH("Falso",K114)))</formula>
    </cfRule>
  </conditionalFormatting>
  <conditionalFormatting sqref="K108">
    <cfRule type="containsText" priority="87" operator="containsText" dxfId="8" text="Falso">
      <formula>NOT(ISERROR(SEARCH("Falso",K108)))</formula>
    </cfRule>
  </conditionalFormatting>
  <conditionalFormatting sqref="K102">
    <cfRule type="containsText" priority="86" operator="containsText" dxfId="8" text="Falso">
      <formula>NOT(ISERROR(SEARCH("Falso",K102)))</formula>
    </cfRule>
  </conditionalFormatting>
  <conditionalFormatting sqref="K96">
    <cfRule type="containsText" priority="85" operator="containsText" dxfId="8" text="Falso">
      <formula>NOT(ISERROR(SEARCH("Falso",K96)))</formula>
    </cfRule>
  </conditionalFormatting>
  <conditionalFormatting sqref="K90">
    <cfRule type="containsText" priority="84" operator="containsText" dxfId="8" text="Falso">
      <formula>NOT(ISERROR(SEARCH("Falso",K90)))</formula>
    </cfRule>
  </conditionalFormatting>
  <conditionalFormatting sqref="K84">
    <cfRule type="containsText" priority="83" operator="containsText" dxfId="8" text="Falso">
      <formula>NOT(ISERROR(SEARCH("Falso",K84)))</formula>
    </cfRule>
  </conditionalFormatting>
  <conditionalFormatting sqref="K78">
    <cfRule type="containsText" priority="82" operator="containsText" dxfId="8" text="Falso">
      <formula>NOT(ISERROR(SEARCH("Falso",K78)))</formula>
    </cfRule>
  </conditionalFormatting>
  <conditionalFormatting sqref="K72">
    <cfRule type="containsText" priority="81" operator="containsText" dxfId="8" text="Falso">
      <formula>NOT(ISERROR(SEARCH("Falso",K72)))</formula>
    </cfRule>
  </conditionalFormatting>
  <conditionalFormatting sqref="K66">
    <cfRule type="containsText" priority="80" operator="containsText" dxfId="8" text="Falso">
      <formula>NOT(ISERROR(SEARCH("Falso",K66)))</formula>
    </cfRule>
  </conditionalFormatting>
  <conditionalFormatting sqref="K60">
    <cfRule type="containsText" priority="79" operator="containsText" dxfId="8" text="Falso">
      <formula>NOT(ISERROR(SEARCH("Falso",K60)))</formula>
    </cfRule>
  </conditionalFormatting>
  <conditionalFormatting sqref="K54">
    <cfRule type="containsText" priority="78" operator="containsText" dxfId="8" text="Falso">
      <formula>NOT(ISERROR(SEARCH("Falso",K54)))</formula>
    </cfRule>
  </conditionalFormatting>
  <conditionalFormatting sqref="K48">
    <cfRule type="containsText" priority="77" operator="containsText" dxfId="8" text="Falso">
      <formula>NOT(ISERROR(SEARCH("Falso",K48)))</formula>
    </cfRule>
  </conditionalFormatting>
  <conditionalFormatting sqref="K42">
    <cfRule type="containsText" priority="76" operator="containsText" dxfId="8" text="Falso">
      <formula>NOT(ISERROR(SEARCH("Falso",K42)))</formula>
    </cfRule>
  </conditionalFormatting>
  <conditionalFormatting sqref="K36">
    <cfRule type="containsText" priority="75" operator="containsText" dxfId="8" text="Falso">
      <formula>NOT(ISERROR(SEARCH("Falso",K36)))</formula>
    </cfRule>
  </conditionalFormatting>
  <conditionalFormatting sqref="K30">
    <cfRule type="containsText" priority="74" operator="containsText" dxfId="8" text="Falso">
      <formula>NOT(ISERROR(SEARCH("Falso",K30)))</formula>
    </cfRule>
  </conditionalFormatting>
  <conditionalFormatting sqref="K24">
    <cfRule type="containsText" priority="73" operator="containsText" dxfId="8" text="Falso">
      <formula>NOT(ISERROR(SEARCH("Falso",K24)))</formula>
    </cfRule>
  </conditionalFormatting>
  <conditionalFormatting sqref="K18">
    <cfRule type="containsText" priority="72" operator="containsText" dxfId="8" text="Falso">
      <formula>NOT(ISERROR(SEARCH("Falso",K18)))</formula>
    </cfRule>
  </conditionalFormatting>
  <conditionalFormatting sqref="K422">
    <cfRule type="containsText" priority="71" operator="containsText" dxfId="8" text="Falso">
      <formula>NOT(ISERROR(SEARCH("Falso",K422)))</formula>
    </cfRule>
  </conditionalFormatting>
  <conditionalFormatting sqref="K428">
    <cfRule type="containsText" priority="70" operator="containsText" dxfId="8" text="Falso">
      <formula>NOT(ISERROR(SEARCH("Falso",K428)))</formula>
    </cfRule>
  </conditionalFormatting>
  <conditionalFormatting sqref="K434">
    <cfRule type="containsText" priority="69" operator="containsText" dxfId="8" text="Falso">
      <formula>NOT(ISERROR(SEARCH("Falso",K434)))</formula>
    </cfRule>
  </conditionalFormatting>
  <conditionalFormatting sqref="K440">
    <cfRule type="containsText" priority="68" operator="containsText" dxfId="8" text="Falso">
      <formula>NOT(ISERROR(SEARCH("Falso",K440)))</formula>
    </cfRule>
  </conditionalFormatting>
  <conditionalFormatting sqref="K446">
    <cfRule type="containsText" priority="67" operator="containsText" dxfId="8" text="Falso">
      <formula>NOT(ISERROR(SEARCH("Falso",K446)))</formula>
    </cfRule>
  </conditionalFormatting>
  <conditionalFormatting sqref="K452">
    <cfRule type="containsText" priority="66" operator="containsText" dxfId="8" text="Falso">
      <formula>NOT(ISERROR(SEARCH("Falso",K452)))</formula>
    </cfRule>
  </conditionalFormatting>
  <conditionalFormatting sqref="K458">
    <cfRule type="containsText" priority="65" operator="containsText" dxfId="8" text="Falso">
      <formula>NOT(ISERROR(SEARCH("Falso",K458)))</formula>
    </cfRule>
  </conditionalFormatting>
  <conditionalFormatting sqref="K464">
    <cfRule type="containsText" priority="64" operator="containsText" dxfId="8" text="Falso">
      <formula>NOT(ISERROR(SEARCH("Falso",K464)))</formula>
    </cfRule>
  </conditionalFormatting>
  <conditionalFormatting sqref="K470">
    <cfRule type="containsText" priority="63" operator="containsText" dxfId="8" text="Falso">
      <formula>NOT(ISERROR(SEARCH("Falso",K470)))</formula>
    </cfRule>
  </conditionalFormatting>
  <conditionalFormatting sqref="K476">
    <cfRule type="containsText" priority="62" operator="containsText" dxfId="8" text="Falso">
      <formula>NOT(ISERROR(SEARCH("Falso",K476)))</formula>
    </cfRule>
  </conditionalFormatting>
  <conditionalFormatting sqref="K482">
    <cfRule type="containsText" priority="61" operator="containsText" dxfId="8" text="Falso">
      <formula>NOT(ISERROR(SEARCH("Falso",K482)))</formula>
    </cfRule>
  </conditionalFormatting>
  <conditionalFormatting sqref="K488">
    <cfRule type="containsText" priority="60" operator="containsText" dxfId="8" text="Falso">
      <formula>NOT(ISERROR(SEARCH("Falso",K488)))</formula>
    </cfRule>
  </conditionalFormatting>
  <conditionalFormatting sqref="K494">
    <cfRule type="containsText" priority="59" operator="containsText" dxfId="8" text="Falso">
      <formula>NOT(ISERROR(SEARCH("Falso",K494)))</formula>
    </cfRule>
  </conditionalFormatting>
  <conditionalFormatting sqref="K500">
    <cfRule type="containsText" priority="58" operator="containsText" dxfId="8" text="Falso">
      <formula>NOT(ISERROR(SEARCH("Falso",K500)))</formula>
    </cfRule>
  </conditionalFormatting>
  <conditionalFormatting sqref="K506">
    <cfRule type="containsText" priority="57" operator="containsText" dxfId="8" text="Falso">
      <formula>NOT(ISERROR(SEARCH("Falso",K506)))</formula>
    </cfRule>
  </conditionalFormatting>
  <conditionalFormatting sqref="K512">
    <cfRule type="containsText" priority="56" operator="containsText" dxfId="8" text="Falso">
      <formula>NOT(ISERROR(SEARCH("Falso",K512)))</formula>
    </cfRule>
  </conditionalFormatting>
  <conditionalFormatting sqref="K518">
    <cfRule type="containsText" priority="55" operator="containsText" dxfId="8" text="Falso">
      <formula>NOT(ISERROR(SEARCH("Falso",K518)))</formula>
    </cfRule>
  </conditionalFormatting>
  <conditionalFormatting sqref="K524">
    <cfRule type="containsText" priority="54" operator="containsText" dxfId="8" text="Falso">
      <formula>NOT(ISERROR(SEARCH("Falso",K524)))</formula>
    </cfRule>
  </conditionalFormatting>
  <conditionalFormatting sqref="K530">
    <cfRule type="containsText" priority="53" operator="containsText" dxfId="8" text="Falso">
      <formula>NOT(ISERROR(SEARCH("Falso",K530)))</formula>
    </cfRule>
  </conditionalFormatting>
  <conditionalFormatting sqref="K536">
    <cfRule type="containsText" priority="52" operator="containsText" dxfId="8" text="Falso">
      <formula>NOT(ISERROR(SEARCH("Falso",K536)))</formula>
    </cfRule>
  </conditionalFormatting>
  <conditionalFormatting sqref="K542">
    <cfRule type="containsText" priority="51" operator="containsText" dxfId="8" text="Falso">
      <formula>NOT(ISERROR(SEARCH("Falso",K542)))</formula>
    </cfRule>
  </conditionalFormatting>
  <conditionalFormatting sqref="K548">
    <cfRule type="containsText" priority="50" operator="containsText" dxfId="8" text="Falso">
      <formula>NOT(ISERROR(SEARCH("Falso",K548)))</formula>
    </cfRule>
  </conditionalFormatting>
  <conditionalFormatting sqref="K554">
    <cfRule type="containsText" priority="49" operator="containsText" dxfId="8" text="Falso">
      <formula>NOT(ISERROR(SEARCH("Falso",K554)))</formula>
    </cfRule>
  </conditionalFormatting>
  <conditionalFormatting sqref="K560">
    <cfRule type="containsText" priority="48" operator="containsText" dxfId="8" text="Falso">
      <formula>NOT(ISERROR(SEARCH("Falso",K560)))</formula>
    </cfRule>
  </conditionalFormatting>
  <conditionalFormatting sqref="K566">
    <cfRule type="containsText" priority="47" operator="containsText" dxfId="8" text="Falso">
      <formula>NOT(ISERROR(SEARCH("Falso",K566)))</formula>
    </cfRule>
  </conditionalFormatting>
  <conditionalFormatting sqref="K572">
    <cfRule type="containsText" priority="46" operator="containsText" dxfId="8" text="Falso">
      <formula>NOT(ISERROR(SEARCH("Falso",K572)))</formula>
    </cfRule>
  </conditionalFormatting>
  <conditionalFormatting sqref="K578">
    <cfRule type="containsText" priority="45" operator="containsText" dxfId="8" text="Falso">
      <formula>NOT(ISERROR(SEARCH("Falso",K578)))</formula>
    </cfRule>
  </conditionalFormatting>
  <conditionalFormatting sqref="K584">
    <cfRule type="containsText" priority="44" operator="containsText" dxfId="8" text="Falso">
      <formula>NOT(ISERROR(SEARCH("Falso",K584)))</formula>
    </cfRule>
  </conditionalFormatting>
  <conditionalFormatting sqref="K590">
    <cfRule type="containsText" priority="43" operator="containsText" dxfId="8" text="Falso">
      <formula>NOT(ISERROR(SEARCH("Falso",K590)))</formula>
    </cfRule>
  </conditionalFormatting>
  <conditionalFormatting sqref="K596">
    <cfRule type="containsText" priority="42" operator="containsText" dxfId="8" text="Falso">
      <formula>NOT(ISERROR(SEARCH("Falso",K596)))</formula>
    </cfRule>
  </conditionalFormatting>
  <conditionalFormatting sqref="K602">
    <cfRule type="containsText" priority="41" operator="containsText" dxfId="8" text="Falso">
      <formula>NOT(ISERROR(SEARCH("Falso",K602)))</formula>
    </cfRule>
  </conditionalFormatting>
  <conditionalFormatting sqref="K608">
    <cfRule type="containsText" priority="40" operator="containsText" dxfId="8" text="Falso">
      <formula>NOT(ISERROR(SEARCH("Falso",K608)))</formula>
    </cfRule>
  </conditionalFormatting>
  <conditionalFormatting sqref="K614">
    <cfRule type="containsText" priority="39" operator="containsText" dxfId="8" text="Falso">
      <formula>NOT(ISERROR(SEARCH("Falso",K614)))</formula>
    </cfRule>
  </conditionalFormatting>
  <conditionalFormatting sqref="K620">
    <cfRule type="containsText" priority="38" operator="containsText" dxfId="8" text="Falso">
      <formula>NOT(ISERROR(SEARCH("Falso",K620)))</formula>
    </cfRule>
  </conditionalFormatting>
  <conditionalFormatting sqref="K626">
    <cfRule type="containsText" priority="37" operator="containsText" dxfId="8" text="Falso">
      <formula>NOT(ISERROR(SEARCH("Falso",K626)))</formula>
    </cfRule>
  </conditionalFormatting>
  <conditionalFormatting sqref="K632">
    <cfRule type="containsText" priority="36" operator="containsText" dxfId="8" text="Falso">
      <formula>NOT(ISERROR(SEARCH("Falso",K632)))</formula>
    </cfRule>
  </conditionalFormatting>
  <conditionalFormatting sqref="K639">
    <cfRule type="containsText" priority="35" operator="containsText" dxfId="8" text="Falso">
      <formula>NOT(ISERROR(SEARCH("Falso",K639)))</formula>
    </cfRule>
  </conditionalFormatting>
  <conditionalFormatting sqref="K645">
    <cfRule type="containsText" priority="34" operator="containsText" dxfId="8" text="Falso">
      <formula>NOT(ISERROR(SEARCH("Falso",K645)))</formula>
    </cfRule>
  </conditionalFormatting>
  <conditionalFormatting sqref="K651">
    <cfRule type="containsText" priority="33" operator="containsText" dxfId="8" text="Falso">
      <formula>NOT(ISERROR(SEARCH("Falso",K651)))</formula>
    </cfRule>
  </conditionalFormatting>
  <conditionalFormatting sqref="K657">
    <cfRule type="containsText" priority="32" operator="containsText" dxfId="8" text="Falso">
      <formula>NOT(ISERROR(SEARCH("Falso",K657)))</formula>
    </cfRule>
  </conditionalFormatting>
  <conditionalFormatting sqref="K663">
    <cfRule type="containsText" priority="31" operator="containsText" dxfId="8" text="Falso">
      <formula>NOT(ISERROR(SEARCH("Falso",K663)))</formula>
    </cfRule>
  </conditionalFormatting>
  <conditionalFormatting sqref="K669">
    <cfRule type="containsText" priority="30" operator="containsText" dxfId="8" text="Falso">
      <formula>NOT(ISERROR(SEARCH("Falso",K669)))</formula>
    </cfRule>
  </conditionalFormatting>
  <conditionalFormatting sqref="K675">
    <cfRule type="containsText" priority="29" operator="containsText" dxfId="8" text="Falso">
      <formula>NOT(ISERROR(SEARCH("Falso",K675)))</formula>
    </cfRule>
  </conditionalFormatting>
  <conditionalFormatting sqref="K681">
    <cfRule type="containsText" priority="28" operator="containsText" dxfId="8" text="Falso">
      <formula>NOT(ISERROR(SEARCH("Falso",K681)))</formula>
    </cfRule>
  </conditionalFormatting>
  <conditionalFormatting sqref="K687">
    <cfRule type="containsText" priority="27" operator="containsText" dxfId="8" text="Falso">
      <formula>NOT(ISERROR(SEARCH("Falso",K687)))</formula>
    </cfRule>
  </conditionalFormatting>
  <conditionalFormatting sqref="K693">
    <cfRule type="containsText" priority="26" operator="containsText" dxfId="8" text="Falso">
      <formula>NOT(ISERROR(SEARCH("Falso",K693)))</formula>
    </cfRule>
  </conditionalFormatting>
  <conditionalFormatting sqref="K699">
    <cfRule type="containsText" priority="25" operator="containsText" dxfId="8" text="Falso">
      <formula>NOT(ISERROR(SEARCH("Falso",K699)))</formula>
    </cfRule>
  </conditionalFormatting>
  <conditionalFormatting sqref="K705">
    <cfRule type="containsText" priority="24" operator="containsText" dxfId="8" text="Falso">
      <formula>NOT(ISERROR(SEARCH("Falso",K705)))</formula>
    </cfRule>
  </conditionalFormatting>
  <conditionalFormatting sqref="K713">
    <cfRule type="containsText" priority="23" operator="containsText" dxfId="8" text="Falso">
      <formula>NOT(ISERROR(SEARCH("Falso",K713)))</formula>
    </cfRule>
  </conditionalFormatting>
  <conditionalFormatting sqref="K720">
    <cfRule type="containsText" priority="22" operator="containsText" dxfId="8" text="Falso">
      <formula>NOT(ISERROR(SEARCH("Falso",K720)))</formula>
    </cfRule>
  </conditionalFormatting>
  <conditionalFormatting sqref="K727">
    <cfRule type="containsText" priority="21" operator="containsText" dxfId="8" text="Falso">
      <formula>NOT(ISERROR(SEARCH("Falso",K727)))</formula>
    </cfRule>
  </conditionalFormatting>
  <conditionalFormatting sqref="K734">
    <cfRule type="containsText" priority="20" operator="containsText" dxfId="8" text="Falso">
      <formula>NOT(ISERROR(SEARCH("Falso",K734)))</formula>
    </cfRule>
  </conditionalFormatting>
  <conditionalFormatting sqref="K741">
    <cfRule type="containsText" priority="19" operator="containsText" dxfId="8" text="Falso">
      <formula>NOT(ISERROR(SEARCH("Falso",K741)))</formula>
    </cfRule>
  </conditionalFormatting>
  <conditionalFormatting sqref="K748">
    <cfRule type="containsText" priority="18" operator="containsText" dxfId="8" text="Falso">
      <formula>NOT(ISERROR(SEARCH("Falso",K748)))</formula>
    </cfRule>
  </conditionalFormatting>
  <conditionalFormatting sqref="K755">
    <cfRule type="containsText" priority="17" operator="containsText" dxfId="8" text="Falso">
      <formula>NOT(ISERROR(SEARCH("Falso",K755)))</formula>
    </cfRule>
  </conditionalFormatting>
  <conditionalFormatting sqref="K762">
    <cfRule type="containsText" priority="16" operator="containsText" dxfId="8" text="Falso">
      <formula>NOT(ISERROR(SEARCH("Falso",K762)))</formula>
    </cfRule>
  </conditionalFormatting>
  <conditionalFormatting sqref="K769">
    <cfRule type="containsText" priority="15" operator="containsText" dxfId="8" text="Falso">
      <formula>NOT(ISERROR(SEARCH("Falso",K769)))</formula>
    </cfRule>
  </conditionalFormatting>
  <conditionalFormatting sqref="K776">
    <cfRule type="containsText" priority="14" operator="containsText" dxfId="8" text="Falso">
      <formula>NOT(ISERROR(SEARCH("Falso",K776)))</formula>
    </cfRule>
  </conditionalFormatting>
  <conditionalFormatting sqref="K793">
    <cfRule type="containsText" priority="13" operator="containsText" dxfId="8" text="Falso">
      <formula>NOT(ISERROR(SEARCH("Falso",K793)))</formula>
    </cfRule>
  </conditionalFormatting>
  <conditionalFormatting sqref="K798">
    <cfRule type="containsText" priority="12" operator="containsText" dxfId="8" text="Falso">
      <formula>NOT(ISERROR(SEARCH("Falso",K798)))</formula>
    </cfRule>
  </conditionalFormatting>
  <conditionalFormatting sqref="K803">
    <cfRule type="containsText" priority="11" operator="containsText" dxfId="8" text="Falso">
      <formula>NOT(ISERROR(SEARCH("Falso",K803)))</formula>
    </cfRule>
  </conditionalFormatting>
  <conditionalFormatting sqref="K808">
    <cfRule type="containsText" priority="10" operator="containsText" dxfId="8" text="Falso">
      <formula>NOT(ISERROR(SEARCH("Falso",K808)))</formula>
    </cfRule>
  </conditionalFormatting>
  <conditionalFormatting sqref="K813">
    <cfRule type="containsText" priority="9" operator="containsText" dxfId="8" text="Falso">
      <formula>NOT(ISERROR(SEARCH("Falso",K813)))</formula>
    </cfRule>
  </conditionalFormatting>
  <conditionalFormatting sqref="O858:O869">
    <cfRule type="cellIs" priority="8" operator="lessThan" dxfId="0" stopIfTrue="1">
      <formula>0</formula>
    </cfRule>
  </conditionalFormatting>
  <conditionalFormatting sqref="O871:O887">
    <cfRule type="cellIs" priority="7" operator="lessThan" dxfId="0" stopIfTrue="1">
      <formula>0</formula>
    </cfRule>
  </conditionalFormatting>
  <conditionalFormatting sqref="O893:O897">
    <cfRule type="cellIs" priority="6" operator="lessThan" dxfId="0" stopIfTrue="1">
      <formula>0</formula>
    </cfRule>
  </conditionalFormatting>
  <conditionalFormatting sqref="L888">
    <cfRule type="cellIs" priority="5" operator="lessThan" dxfId="0" stopIfTrue="1">
      <formula>0</formula>
    </cfRule>
  </conditionalFormatting>
  <conditionalFormatting sqref="L821:L856">
    <cfRule type="cellIs" priority="4" operator="lessThan" dxfId="0" stopIfTrue="1">
      <formula>0</formula>
    </cfRule>
  </conditionalFormatting>
  <conditionalFormatting sqref="L858:L869">
    <cfRule type="cellIs" priority="3" operator="lessThan" dxfId="0" stopIfTrue="1">
      <formula>0</formula>
    </cfRule>
  </conditionalFormatting>
  <conditionalFormatting sqref="L871:L887">
    <cfRule type="cellIs" priority="2" operator="lessThan" dxfId="0" stopIfTrue="1">
      <formula>0</formula>
    </cfRule>
  </conditionalFormatting>
  <conditionalFormatting sqref="L893:L897">
    <cfRule type="cellIs" priority="1" operator="lessThan" dxfId="0" stopIfTrue="1">
      <formula>0</formula>
    </cfRule>
  </conditionalFormatting>
  <dataValidations count="3">
    <dataValidation sqref="C903:C907 C912:C913" showDropDown="0" showInputMessage="1" showErrorMessage="1" allowBlank="1" type="list">
      <formula1>"SI,NO"</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O278:O279 O284:O285 O292" showDropDown="0" showInputMessage="1" showErrorMessage="1" allowBlank="1" errorTitle="INGRESE LA FECHA" error="FECHA DE VENCIMIENTO" type="date" operator="greaterThan">
      <formula1>39083</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xl/worksheets/sheet10.xml><?xml version="1.0" encoding="utf-8"?>
<worksheet xmlns="http://schemas.openxmlformats.org/spreadsheetml/2006/main">
  <sheetPr codeName="Hoja20">
    <tabColor theme="9" tint="0.3999755851924192"/>
    <outlinePr summaryBelow="1" summaryRight="1"/>
    <pageSetUpPr/>
  </sheetPr>
  <dimension ref="A1:AZ919"/>
  <sheetViews>
    <sheetView topLeftCell="A410" zoomScale="70" zoomScaleNormal="70" workbookViewId="0">
      <selection activeCell="M395" sqref="M395:O395"/>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n"/>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748"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496">
        <f>ABRIL!K13</f>
        <v/>
      </c>
      <c r="E13" s="731" t="n"/>
      <c r="F13" s="731" t="n">
        <v>40</v>
      </c>
      <c r="G13" s="730">
        <f>E13+F13</f>
        <v/>
      </c>
      <c r="H13" s="731" t="n">
        <v>1980</v>
      </c>
      <c r="I13" s="731" t="n"/>
      <c r="J13" s="732">
        <f>AM13</f>
        <v/>
      </c>
      <c r="K13" s="738">
        <f>+(D13+G13)-(H13+I13+J13)</f>
        <v/>
      </c>
      <c r="L13" s="253" t="n">
        <v>180</v>
      </c>
      <c r="M13" s="254" t="inlineStr">
        <is>
          <t>0374MA071</t>
        </is>
      </c>
      <c r="N13" s="254" t="inlineStr">
        <is>
          <t>Serum</t>
        </is>
      </c>
      <c r="O13" s="1183" t="inlineStr">
        <is>
          <t>31/12/2026</t>
        </is>
      </c>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inlineStr">
        <is>
          <t>AMAZONAS</t>
        </is>
      </c>
      <c r="AZ13" s="231" t="inlineStr">
        <is>
          <t>ENERO</t>
        </is>
      </c>
    </row>
    <row r="14" ht="18.75" customHeight="1">
      <c r="A14" s="973" t="n"/>
      <c r="B14" s="971" t="n"/>
      <c r="C14" s="972" t="n"/>
      <c r="D14" s="973" t="n"/>
      <c r="E14" s="994" t="n"/>
      <c r="F14" s="994" t="n"/>
      <c r="G14" s="973" t="n"/>
      <c r="H14" s="994" t="n"/>
      <c r="I14" s="994" t="n"/>
      <c r="J14" s="973" t="n"/>
      <c r="K14" s="973" t="n"/>
      <c r="L14" s="253" t="n">
        <v>460</v>
      </c>
      <c r="M14" s="254" t="inlineStr">
        <is>
          <t>0374MA072</t>
        </is>
      </c>
      <c r="N14" s="254" t="inlineStr">
        <is>
          <t>Serum</t>
        </is>
      </c>
      <c r="O14" s="1183" t="inlineStr">
        <is>
          <t>31/12/2026</t>
        </is>
      </c>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inlineStr">
        <is>
          <t>ANTIOQUIA</t>
        </is>
      </c>
      <c r="AZ14" s="231" t="inlineStr">
        <is>
          <t>ABRIL</t>
        </is>
      </c>
    </row>
    <row r="15" ht="18.75" customHeight="1">
      <c r="A15" s="973" t="n"/>
      <c r="B15" s="971" t="n"/>
      <c r="C15" s="972" t="n"/>
      <c r="D15" s="973" t="n"/>
      <c r="E15" s="994" t="n"/>
      <c r="F15" s="994" t="n"/>
      <c r="G15" s="973" t="n"/>
      <c r="H15" s="994" t="n"/>
      <c r="I15" s="994" t="n"/>
      <c r="J15" s="973" t="n"/>
      <c r="K15" s="973" t="n"/>
      <c r="L15" s="253" t="n">
        <v>5000</v>
      </c>
      <c r="M15" s="254" t="inlineStr">
        <is>
          <t>0374MA082</t>
        </is>
      </c>
      <c r="N15" s="254" t="inlineStr">
        <is>
          <t>Serum</t>
        </is>
      </c>
      <c r="O15" s="1183" t="inlineStr">
        <is>
          <t>31/01/2027</t>
        </is>
      </c>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73"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inlineStr">
        <is>
          <t>ATLANTICO</t>
        </is>
      </c>
      <c r="AZ16" s="231" t="inlineStr">
        <is>
          <t>ABRIL</t>
        </is>
      </c>
    </row>
    <row r="17" ht="18.75" customHeight="1">
      <c r="A17" s="973" t="n"/>
      <c r="B17" s="971" t="n"/>
      <c r="C17" s="972" t="n"/>
      <c r="D17" s="973"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inlineStr">
        <is>
          <t>BARRANQUILLA</t>
        </is>
      </c>
      <c r="AZ17" s="231" t="inlineStr">
        <is>
          <t>MAYO</t>
        </is>
      </c>
    </row>
    <row r="18" ht="18.75" customHeight="1">
      <c r="A18" s="975" t="n"/>
      <c r="B18" s="1182" t="n"/>
      <c r="C18" s="1103" t="n"/>
      <c r="D18" s="975"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JUNIO</t>
        </is>
      </c>
    </row>
    <row r="19" ht="18.75" customHeight="1">
      <c r="A19" s="741">
        <f>A13+1</f>
        <v/>
      </c>
      <c r="B19" s="733" t="inlineStr">
        <is>
          <t>Vacuna de Hepatitis B Recombinante Pediátrica - Liquida</t>
        </is>
      </c>
      <c r="C19" s="965" t="n"/>
      <c r="D19" s="496">
        <f>ABRIL!K19</f>
        <v/>
      </c>
      <c r="E19" s="731" t="n"/>
      <c r="F19" s="731" t="n">
        <v>2</v>
      </c>
      <c r="G19" s="730">
        <f>E19+F19</f>
        <v/>
      </c>
      <c r="H19" s="731" t="n">
        <v>887</v>
      </c>
      <c r="I19" s="731" t="n"/>
      <c r="J19" s="732">
        <f>AM19</f>
        <v/>
      </c>
      <c r="K19" s="738">
        <f>+(D19+G19)-(H19+I19+J19)</f>
        <v/>
      </c>
      <c r="L19" s="253" t="n">
        <v>2</v>
      </c>
      <c r="M19" s="254" t="inlineStr">
        <is>
          <t>0324L013A</t>
        </is>
      </c>
      <c r="N19" s="254" t="inlineStr">
        <is>
          <t>Serum</t>
        </is>
      </c>
      <c r="O19" s="1183" t="inlineStr">
        <is>
          <t>30/11/2027</t>
        </is>
      </c>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inlineStr">
        <is>
          <t>BOLIVAR</t>
        </is>
      </c>
      <c r="AZ19" s="231" t="inlineStr">
        <is>
          <t>JULIO</t>
        </is>
      </c>
    </row>
    <row r="20" ht="18.75" customHeight="1">
      <c r="A20" s="973" t="n"/>
      <c r="B20" s="971" t="n"/>
      <c r="C20" s="972" t="n"/>
      <c r="D20" s="973" t="n"/>
      <c r="E20" s="994" t="n"/>
      <c r="F20" s="994" t="n"/>
      <c r="G20" s="973" t="n"/>
      <c r="H20" s="994" t="n"/>
      <c r="I20" s="994" t="n"/>
      <c r="J20" s="973" t="n"/>
      <c r="K20" s="973" t="n"/>
      <c r="L20" s="253" t="n">
        <v>57</v>
      </c>
      <c r="M20" s="254" t="inlineStr">
        <is>
          <t>0324L013B</t>
        </is>
      </c>
      <c r="N20" s="254" t="inlineStr">
        <is>
          <t>Serum</t>
        </is>
      </c>
      <c r="O20" s="1183" t="inlineStr">
        <is>
          <t>30/11/2027</t>
        </is>
      </c>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73" t="n"/>
      <c r="E21" s="994" t="n"/>
      <c r="F21" s="994" t="n"/>
      <c r="G21" s="973" t="n"/>
      <c r="H21" s="994" t="n"/>
      <c r="I21" s="994" t="n"/>
      <c r="J21" s="973" t="n"/>
      <c r="K21" s="973" t="n"/>
      <c r="L21" s="253" t="n">
        <v>80</v>
      </c>
      <c r="M21" s="254" t="inlineStr">
        <is>
          <t>0325Q010B</t>
        </is>
      </c>
      <c r="N21" s="254" t="inlineStr">
        <is>
          <t>Sinovac</t>
        </is>
      </c>
      <c r="O21" s="1183" t="inlineStr">
        <is>
          <t>25/04/2028</t>
        </is>
      </c>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inlineStr">
        <is>
          <t>CARTAGENA</t>
        </is>
      </c>
      <c r="AZ21" s="231" t="inlineStr">
        <is>
          <t>AGOSTO</t>
        </is>
      </c>
    </row>
    <row r="22" ht="18.75" customHeight="1">
      <c r="A22" s="973" t="n"/>
      <c r="B22" s="971" t="n"/>
      <c r="C22" s="972" t="n"/>
      <c r="D22" s="973" t="n"/>
      <c r="E22" s="994" t="n"/>
      <c r="F22" s="994" t="n"/>
      <c r="G22" s="973" t="n"/>
      <c r="H22" s="994" t="n"/>
      <c r="I22" s="994" t="n"/>
      <c r="J22" s="973" t="n"/>
      <c r="K22" s="973" t="n"/>
      <c r="L22" s="253" t="n"/>
      <c r="M22" s="254" t="n"/>
      <c r="N22" s="254" t="n"/>
      <c r="O22" s="1183" t="n"/>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inlineStr">
        <is>
          <t>BOYACA</t>
        </is>
      </c>
      <c r="AZ22" s="231" t="inlineStr">
        <is>
          <t>SEPTIEMBRE</t>
        </is>
      </c>
    </row>
    <row r="23" ht="18.75" customHeight="1">
      <c r="A23" s="973" t="n"/>
      <c r="B23" s="971" t="n"/>
      <c r="C23" s="972" t="n"/>
      <c r="D23" s="973"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inlineStr">
        <is>
          <t>CAQUETA</t>
        </is>
      </c>
      <c r="AZ23" s="231" t="inlineStr">
        <is>
          <t>NOVIEMBRE</t>
        </is>
      </c>
    </row>
    <row r="24" ht="18.75" customHeight="1">
      <c r="A24" s="975" t="n"/>
      <c r="B24" s="1182" t="n"/>
      <c r="C24" s="1103" t="n"/>
      <c r="D24" s="975"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496">
        <f>ABRIL!K25</f>
        <v/>
      </c>
      <c r="E25" s="731" t="n"/>
      <c r="F25" s="731" t="n"/>
      <c r="G25" s="730">
        <f>E25+F25</f>
        <v/>
      </c>
      <c r="H25" s="731" t="n"/>
      <c r="I25" s="731" t="n"/>
      <c r="J25" s="732">
        <f>AM25</f>
        <v/>
      </c>
      <c r="K25" s="738">
        <f>+(D25+G25)-(H25+I25+J25)</f>
        <v/>
      </c>
      <c r="L25" s="253" t="n"/>
      <c r="M25" s="254" t="n"/>
      <c r="N25" s="254" t="n"/>
      <c r="O25" s="1183" t="n"/>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inlineStr">
        <is>
          <t>BOLIVAR</t>
        </is>
      </c>
    </row>
    <row r="26" ht="18.75" customHeight="1">
      <c r="A26" s="973" t="n"/>
      <c r="B26" s="971" t="n"/>
      <c r="C26" s="972" t="n"/>
      <c r="D26" s="973"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73"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inlineStr">
        <is>
          <t>CARTAGENA</t>
        </is>
      </c>
    </row>
    <row r="28" ht="18.75" customHeight="1">
      <c r="A28" s="973" t="n"/>
      <c r="B28" s="971" t="n"/>
      <c r="C28" s="972" t="n"/>
      <c r="D28" s="973"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inlineStr">
        <is>
          <t>BOYACA</t>
        </is>
      </c>
    </row>
    <row r="29" ht="18.75" customHeight="1">
      <c r="A29" s="973" t="n"/>
      <c r="B29" s="971" t="n"/>
      <c r="C29" s="972" t="n"/>
      <c r="D29" s="973"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inlineStr">
        <is>
          <t>CAQUETA</t>
        </is>
      </c>
    </row>
    <row r="30" ht="18.75" customHeight="1">
      <c r="A30" s="975" t="n"/>
      <c r="B30" s="1182" t="n"/>
      <c r="C30" s="1103" t="n"/>
      <c r="D30" s="975"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496">
        <f>ABRIL!K31</f>
        <v/>
      </c>
      <c r="E31" s="731" t="n"/>
      <c r="F31" s="731" t="n"/>
      <c r="G31" s="730">
        <f>E31+F31</f>
        <v/>
      </c>
      <c r="H31" s="731" t="n">
        <v>3270</v>
      </c>
      <c r="I31" s="731" t="n"/>
      <c r="J31" s="732">
        <f>AM31</f>
        <v/>
      </c>
      <c r="K31" s="738">
        <f>+(D31+G31)-(H31+I31+J31)</f>
        <v/>
      </c>
      <c r="L31" s="253" t="n">
        <v>5600</v>
      </c>
      <c r="M31" s="254" t="inlineStr">
        <is>
          <t>2526003A</t>
        </is>
      </c>
      <c r="N31" s="254" t="inlineStr">
        <is>
          <t>Bilthoven Biologicals BV</t>
        </is>
      </c>
      <c r="O31" s="1183" t="inlineStr">
        <is>
          <t>12/06/2028</t>
        </is>
      </c>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inlineStr">
        <is>
          <t>CAUCA</t>
        </is>
      </c>
    </row>
    <row r="32" ht="18.75" customHeight="1">
      <c r="A32" s="973" t="n"/>
      <c r="B32" s="971" t="n"/>
      <c r="C32" s="972" t="n"/>
      <c r="D32" s="973" t="n"/>
      <c r="E32" s="994" t="n"/>
      <c r="F32" s="994" t="n"/>
      <c r="G32" s="973" t="n"/>
      <c r="H32" s="994" t="n"/>
      <c r="I32" s="994" t="n"/>
      <c r="J32" s="973" t="n"/>
      <c r="K32" s="973" t="n"/>
      <c r="L32" s="253" t="n">
        <v>4265</v>
      </c>
      <c r="M32" s="254" t="inlineStr">
        <is>
          <t>2522006A</t>
        </is>
      </c>
      <c r="N32" s="254" t="inlineStr">
        <is>
          <t>Bilthoven Biologicals BV</t>
        </is>
      </c>
      <c r="O32" s="1183" t="inlineStr">
        <is>
          <t>25/02/2028</t>
        </is>
      </c>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73" t="n"/>
      <c r="E33" s="994" t="n"/>
      <c r="F33" s="994" t="n"/>
      <c r="G33" s="973" t="n"/>
      <c r="H33" s="994" t="n"/>
      <c r="I33" s="994" t="n"/>
      <c r="J33" s="973" t="n"/>
      <c r="K33" s="973" t="n"/>
      <c r="L33" s="253" t="n"/>
      <c r="M33" s="254" t="n"/>
      <c r="N33" s="254" t="n"/>
      <c r="O33" s="1183" t="n"/>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inlineStr">
        <is>
          <t>CESAR</t>
        </is>
      </c>
    </row>
    <row r="34" ht="18.75" customHeight="1">
      <c r="A34" s="973" t="n"/>
      <c r="B34" s="971" t="n"/>
      <c r="C34" s="972" t="n"/>
      <c r="D34" s="973"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inlineStr">
        <is>
          <t>CHOCO</t>
        </is>
      </c>
    </row>
    <row r="35" ht="18.75" customHeight="1">
      <c r="A35" s="973" t="n"/>
      <c r="B35" s="971" t="n"/>
      <c r="C35" s="972" t="n"/>
      <c r="D35" s="973"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inlineStr">
        <is>
          <t>CORDOBA</t>
        </is>
      </c>
    </row>
    <row r="36" ht="18.75" customHeight="1">
      <c r="A36" s="975" t="n"/>
      <c r="B36" s="1182" t="n"/>
      <c r="C36" s="1103" t="n"/>
      <c r="D36" s="975"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496">
        <f>ABRIL!K37</f>
        <v/>
      </c>
      <c r="E37" s="731" t="n"/>
      <c r="F37" s="731" t="n"/>
      <c r="G37" s="730">
        <f>E37+F37</f>
        <v/>
      </c>
      <c r="H37" s="731" t="n">
        <v>2364</v>
      </c>
      <c r="I37" s="731" t="n"/>
      <c r="J37" s="732">
        <f>AM37</f>
        <v/>
      </c>
      <c r="K37" s="738">
        <f>+(D37+G37)-(H37+I37+J37)</f>
        <v/>
      </c>
      <c r="L37" s="253" t="n">
        <v>2650</v>
      </c>
      <c r="M37" s="254" t="inlineStr">
        <is>
          <t>2855X002C</t>
        </is>
      </c>
      <c r="N37" s="254" t="inlineStr">
        <is>
          <t>Serum</t>
        </is>
      </c>
      <c r="O37" s="1183" t="inlineStr">
        <is>
          <t>30/06/2027</t>
        </is>
      </c>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inlineStr">
        <is>
          <t>NARIÑO</t>
        </is>
      </c>
    </row>
    <row r="38" ht="19.5" customHeight="1">
      <c r="A38" s="973" t="n"/>
      <c r="B38" s="971" t="n"/>
      <c r="C38" s="972" t="n"/>
      <c r="D38" s="973" t="n"/>
      <c r="E38" s="994" t="n"/>
      <c r="F38" s="994" t="n"/>
      <c r="G38" s="973" t="n"/>
      <c r="H38" s="994" t="n"/>
      <c r="I38" s="994" t="n"/>
      <c r="J38" s="973" t="n"/>
      <c r="K38" s="973" t="n"/>
      <c r="L38" s="253" t="n">
        <v>1675</v>
      </c>
      <c r="M38" s="254" t="inlineStr">
        <is>
          <t>2855X001A</t>
        </is>
      </c>
      <c r="N38" s="254" t="inlineStr">
        <is>
          <t>Serum</t>
        </is>
      </c>
      <c r="O38" s="1183" t="inlineStr">
        <is>
          <t>30/06/2027</t>
        </is>
      </c>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73" t="n"/>
      <c r="E39" s="994" t="n"/>
      <c r="F39" s="994" t="n"/>
      <c r="G39" s="973" t="n"/>
      <c r="H39" s="994" t="n"/>
      <c r="I39" s="994" t="n"/>
      <c r="J39" s="973" t="n"/>
      <c r="K39" s="973" t="n"/>
      <c r="L39" s="253" t="n"/>
      <c r="M39" s="254" t="n"/>
      <c r="N39" s="254" t="n"/>
      <c r="O39" s="1183" t="n"/>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inlineStr">
        <is>
          <t>NORTE DE SANTANDER</t>
        </is>
      </c>
    </row>
    <row r="40" ht="19.5" customHeight="1">
      <c r="A40" s="973" t="n"/>
      <c r="B40" s="971" t="n"/>
      <c r="C40" s="972" t="n"/>
      <c r="D40" s="973"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73"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inlineStr">
        <is>
          <t>PUTUMAYO</t>
        </is>
      </c>
    </row>
    <row r="42" ht="19.5" customHeight="1">
      <c r="A42" s="975" t="n"/>
      <c r="B42" s="1182" t="n"/>
      <c r="C42" s="1103" t="n"/>
      <c r="D42" s="975"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496">
        <f>ABRIL!K43</f>
        <v/>
      </c>
      <c r="E43" s="731" t="n"/>
      <c r="F43" s="731" t="n"/>
      <c r="G43" s="730">
        <f>E43+F43</f>
        <v/>
      </c>
      <c r="H43" s="731" t="n">
        <v>8</v>
      </c>
      <c r="I43" s="731" t="n"/>
      <c r="J43" s="732">
        <f>AM43</f>
        <v/>
      </c>
      <c r="K43" s="706">
        <f>+(D43+G43)-(H43+I43+J43)</f>
        <v/>
      </c>
      <c r="L43" s="253" t="n">
        <v>0</v>
      </c>
      <c r="M43" s="254" t="inlineStr">
        <is>
          <t>Y3C49</t>
        </is>
      </c>
      <c r="N43" s="254" t="inlineStr">
        <is>
          <t>Sanofi Pasteur</t>
        </is>
      </c>
      <c r="O43" s="1183" t="inlineStr">
        <is>
          <t>29/02/2028</t>
        </is>
      </c>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inlineStr">
        <is>
          <t>NARIÑO</t>
        </is>
      </c>
    </row>
    <row r="44" ht="19.5" customHeight="1">
      <c r="A44" s="973" t="n"/>
      <c r="B44" s="971" t="n"/>
      <c r="C44" s="972" t="n"/>
      <c r="D44" s="973"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73"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inlineStr">
        <is>
          <t>NORTE DE SANTANDER</t>
        </is>
      </c>
    </row>
    <row r="46" ht="19.5" customHeight="1">
      <c r="A46" s="973" t="n"/>
      <c r="B46" s="971" t="n"/>
      <c r="C46" s="972" t="n"/>
      <c r="D46" s="973"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inlineStr">
        <is>
          <t>PUTUMAYO</t>
        </is>
      </c>
    </row>
    <row r="47" ht="19.5" customHeight="1">
      <c r="A47" s="973" t="n"/>
      <c r="B47" s="971" t="n"/>
      <c r="C47" s="972" t="n"/>
      <c r="D47" s="973"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inlineStr">
        <is>
          <t>QUINDIO</t>
        </is>
      </c>
    </row>
    <row r="48" ht="19.5" customHeight="1">
      <c r="A48" s="975" t="n"/>
      <c r="B48" s="1182" t="n"/>
      <c r="C48" s="1103" t="n"/>
      <c r="D48" s="975"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496">
        <f>ABRIL!K49</f>
        <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inlineStr">
        <is>
          <t>NARIÑO</t>
        </is>
      </c>
    </row>
    <row r="50" ht="19.5" customHeight="1">
      <c r="A50" s="973" t="n"/>
      <c r="B50" s="971" t="n"/>
      <c r="C50" s="972" t="n"/>
      <c r="D50" s="973"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73"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inlineStr">
        <is>
          <t>NORTE DE SANTANDER</t>
        </is>
      </c>
    </row>
    <row r="52" ht="19.5" customHeight="1">
      <c r="A52" s="973" t="n"/>
      <c r="B52" s="971" t="n"/>
      <c r="C52" s="972" t="n"/>
      <c r="D52" s="973"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inlineStr">
        <is>
          <t>PUTUMAYO</t>
        </is>
      </c>
    </row>
    <row r="53" ht="19.5" customHeight="1">
      <c r="A53" s="973" t="n"/>
      <c r="B53" s="971" t="n"/>
      <c r="C53" s="972" t="n"/>
      <c r="D53" s="973"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inlineStr">
        <is>
          <t>QUINDIO</t>
        </is>
      </c>
    </row>
    <row r="54" ht="19.5" customHeight="1">
      <c r="A54" s="975" t="n"/>
      <c r="B54" s="1182" t="n"/>
      <c r="C54" s="1103" t="n"/>
      <c r="D54" s="975"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496">
        <f>ABRIL!K55</f>
        <v/>
      </c>
      <c r="E55" s="731" t="n"/>
      <c r="F55" s="731" t="n"/>
      <c r="G55" s="730">
        <f>E55+F55</f>
        <v/>
      </c>
      <c r="H55" s="731" t="n">
        <v>1290</v>
      </c>
      <c r="I55" s="731" t="n"/>
      <c r="J55" s="732">
        <f>AM55</f>
        <v/>
      </c>
      <c r="K55" s="738">
        <f>+(D55+G55)-(H55+I55+J55)</f>
        <v/>
      </c>
      <c r="L55" s="253" t="n">
        <v>980</v>
      </c>
      <c r="M55" s="254" t="inlineStr">
        <is>
          <t>2825Q005A</t>
        </is>
      </c>
      <c r="N55" s="254" t="inlineStr">
        <is>
          <t>Serum</t>
        </is>
      </c>
      <c r="O55" s="1183" t="inlineStr">
        <is>
          <t>28/02/2027</t>
        </is>
      </c>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inlineStr">
        <is>
          <t>SANTANDER</t>
        </is>
      </c>
    </row>
    <row r="56" ht="19.5" customHeight="1">
      <c r="A56" s="973" t="n"/>
      <c r="B56" s="971" t="n"/>
      <c r="C56" s="972" t="n"/>
      <c r="D56" s="973" t="n"/>
      <c r="E56" s="994" t="n"/>
      <c r="F56" s="994" t="n"/>
      <c r="G56" s="973" t="n"/>
      <c r="H56" s="994" t="n"/>
      <c r="I56" s="994" t="n"/>
      <c r="J56" s="973" t="n"/>
      <c r="K56" s="973" t="n"/>
      <c r="L56" s="253" t="n"/>
      <c r="M56" s="254" t="n"/>
      <c r="N56" s="254" t="n"/>
      <c r="O56" s="1183" t="n"/>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73"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inlineStr">
        <is>
          <t>SUCRE</t>
        </is>
      </c>
    </row>
    <row r="58" ht="19.5" customHeight="1">
      <c r="A58" s="973" t="n"/>
      <c r="B58" s="971" t="n"/>
      <c r="C58" s="972" t="n"/>
      <c r="D58" s="973"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inlineStr">
        <is>
          <t>TOLIMA</t>
        </is>
      </c>
    </row>
    <row r="59" ht="19.5" customHeight="1">
      <c r="A59" s="973" t="n"/>
      <c r="B59" s="971" t="n"/>
      <c r="C59" s="972" t="n"/>
      <c r="D59" s="973"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inlineStr">
        <is>
          <t>VALLE</t>
        </is>
      </c>
    </row>
    <row r="60" ht="19.5" customHeight="1">
      <c r="A60" s="975" t="n"/>
      <c r="B60" s="971" t="n"/>
      <c r="C60" s="972" t="n"/>
      <c r="D60" s="975"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496">
        <f>ABRIL!K61</f>
        <v/>
      </c>
      <c r="E61" s="731" t="n"/>
      <c r="F61" s="731" t="n"/>
      <c r="G61" s="730">
        <f>E61+F61</f>
        <v/>
      </c>
      <c r="H61" s="731" t="n">
        <v>8</v>
      </c>
      <c r="I61" s="731" t="n"/>
      <c r="J61" s="732">
        <f>AM61</f>
        <v/>
      </c>
      <c r="K61" s="738">
        <f>+(D61+G61)-(H61+I61+J61)</f>
        <v/>
      </c>
      <c r="L61" s="253" t="n">
        <v>5</v>
      </c>
      <c r="M61" s="254" t="inlineStr">
        <is>
          <t>4CA34C1</t>
        </is>
      </c>
      <c r="N61" s="254" t="inlineStr">
        <is>
          <t>Sanofi Pasteur</t>
        </is>
      </c>
      <c r="O61" s="1183" t="inlineStr">
        <is>
          <t>31/05/2027</t>
        </is>
      </c>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inlineStr">
        <is>
          <t>VICHADA</t>
        </is>
      </c>
    </row>
    <row r="62" ht="19.5" customHeight="1">
      <c r="A62" s="973" t="n"/>
      <c r="B62" s="971" t="n"/>
      <c r="C62" s="972" t="n"/>
      <c r="D62" s="973"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73"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73"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73"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75"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496">
        <f>ABRIL!K67</f>
        <v/>
      </c>
      <c r="E67" s="731" t="n"/>
      <c r="F67" s="731" t="n"/>
      <c r="G67" s="730">
        <f>E67+F67</f>
        <v/>
      </c>
      <c r="H67" s="731" t="n">
        <v>1330</v>
      </c>
      <c r="I67" s="731" t="n"/>
      <c r="J67" s="732">
        <f>AM67</f>
        <v/>
      </c>
      <c r="K67" s="738">
        <f>+(D67+G67)-(H67+I67+J67)</f>
        <v/>
      </c>
      <c r="L67" s="253" t="n">
        <v>3</v>
      </c>
      <c r="M67" s="254" t="inlineStr">
        <is>
          <t>AROLE197AB</t>
        </is>
      </c>
      <c r="N67" s="254" t="inlineStr">
        <is>
          <t>Glaxo SmithKline</t>
        </is>
      </c>
      <c r="O67" s="1183" t="inlineStr">
        <is>
          <t>28/02/2027</t>
        </is>
      </c>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73" t="n"/>
      <c r="E68" s="994" t="n"/>
      <c r="F68" s="994" t="n"/>
      <c r="G68" s="973" t="n"/>
      <c r="H68" s="994" t="n"/>
      <c r="I68" s="994" t="n"/>
      <c r="J68" s="973" t="n"/>
      <c r="K68" s="973" t="n"/>
      <c r="L68" s="253" t="n">
        <v>0</v>
      </c>
      <c r="M68" s="254" t="inlineStr">
        <is>
          <t>AROLE203AC</t>
        </is>
      </c>
      <c r="N68" s="254" t="inlineStr">
        <is>
          <t>Glaxo SmithKline</t>
        </is>
      </c>
      <c r="O68" s="1183" t="inlineStr">
        <is>
          <t>31/03/2027</t>
        </is>
      </c>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73" t="n"/>
      <c r="E69" s="994" t="n"/>
      <c r="F69" s="994" t="n"/>
      <c r="G69" s="973" t="n"/>
      <c r="H69" s="994" t="n"/>
      <c r="I69" s="994" t="n"/>
      <c r="J69" s="973" t="n"/>
      <c r="K69" s="973" t="n"/>
      <c r="L69" s="253" t="n">
        <v>770</v>
      </c>
      <c r="M69" s="254" t="inlineStr">
        <is>
          <t>AROLE419AA</t>
        </is>
      </c>
      <c r="N69" s="254" t="inlineStr">
        <is>
          <t>Glaxo SmithKline</t>
        </is>
      </c>
      <c r="O69" s="1183" t="inlineStr">
        <is>
          <t>30/09/2027</t>
        </is>
      </c>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73"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73"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75"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496">
        <f>ABRIL!K73</f>
        <v/>
      </c>
      <c r="E73" s="731" t="n"/>
      <c r="F73" s="731" t="n"/>
      <c r="G73" s="730">
        <f>E73+F73</f>
        <v/>
      </c>
      <c r="H73" s="731" t="n">
        <v>1824</v>
      </c>
      <c r="I73" s="731" t="n"/>
      <c r="J73" s="732">
        <f>AM73</f>
        <v/>
      </c>
      <c r="K73" s="738">
        <f>+(D73+G73)-(H73+I73+J73)</f>
        <v/>
      </c>
      <c r="L73" s="253" t="n">
        <v>585</v>
      </c>
      <c r="M73" s="254" t="inlineStr">
        <is>
          <t>LK3156</t>
        </is>
      </c>
      <c r="N73" s="254" t="inlineStr">
        <is>
          <t>PFIZER</t>
        </is>
      </c>
      <c r="O73" s="1183" t="inlineStr">
        <is>
          <t>31/05/2027</t>
        </is>
      </c>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73" t="n"/>
      <c r="E74" s="994" t="n"/>
      <c r="F74" s="994" t="n"/>
      <c r="G74" s="973" t="n"/>
      <c r="H74" s="994" t="n"/>
      <c r="I74" s="994" t="n"/>
      <c r="J74" s="973" t="n"/>
      <c r="K74" s="973" t="n"/>
      <c r="L74" s="253" t="n">
        <v>1850</v>
      </c>
      <c r="M74" s="254" t="inlineStr">
        <is>
          <t>LR6371</t>
        </is>
      </c>
      <c r="N74" s="254" t="inlineStr">
        <is>
          <t>PFIZER</t>
        </is>
      </c>
      <c r="O74" s="1183" t="inlineStr">
        <is>
          <t>30/09/2027</t>
        </is>
      </c>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73" t="n"/>
      <c r="E75" s="994" t="n"/>
      <c r="F75" s="994" t="n"/>
      <c r="G75" s="973" t="n"/>
      <c r="H75" s="994" t="n"/>
      <c r="I75" s="994" t="n"/>
      <c r="J75" s="973" t="n"/>
      <c r="K75" s="973" t="n"/>
      <c r="L75" s="253" t="n"/>
      <c r="M75" s="254" t="n"/>
      <c r="N75" s="254" t="n"/>
      <c r="O75" s="1183" t="n"/>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73"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73"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75"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496">
        <f>ABRIL!K79</f>
        <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73"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73"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73"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73"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75"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496">
        <f>ABRIL!K85</f>
        <v/>
      </c>
      <c r="E85" s="731" t="n"/>
      <c r="F85" s="731" t="n"/>
      <c r="G85" s="730">
        <f>E85+F85</f>
        <v/>
      </c>
      <c r="H85" s="731" t="n">
        <v>1842</v>
      </c>
      <c r="I85" s="731" t="n"/>
      <c r="J85" s="732">
        <f>AM85</f>
        <v/>
      </c>
      <c r="K85" s="738">
        <f>+(D85+G85)-(H85+I85+J85)</f>
        <v/>
      </c>
      <c r="L85" s="253" t="n">
        <v>9</v>
      </c>
      <c r="M85" s="254" t="inlineStr">
        <is>
          <t>0133N146B</t>
        </is>
      </c>
      <c r="N85" s="254" t="inlineStr">
        <is>
          <t>Serum</t>
        </is>
      </c>
      <c r="O85" s="1183" t="inlineStr">
        <is>
          <t>30/09/2026</t>
        </is>
      </c>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73" t="n"/>
      <c r="E86" s="994" t="n"/>
      <c r="F86" s="994" t="n"/>
      <c r="G86" s="973" t="n"/>
      <c r="H86" s="994" t="n"/>
      <c r="I86" s="994" t="n"/>
      <c r="J86" s="973" t="n"/>
      <c r="K86" s="973" t="n"/>
      <c r="L86" s="253" t="n">
        <v>4501</v>
      </c>
      <c r="M86" s="254" t="inlineStr">
        <is>
          <t>0134N093A</t>
        </is>
      </c>
      <c r="N86" s="254" t="inlineStr">
        <is>
          <t>Serum</t>
        </is>
      </c>
      <c r="O86" s="1183" t="inlineStr">
        <is>
          <t>30/04/2027</t>
        </is>
      </c>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73" t="n"/>
      <c r="E87" s="994" t="n"/>
      <c r="F87" s="994" t="n"/>
      <c r="G87" s="973" t="n"/>
      <c r="H87" s="994" t="n"/>
      <c r="I87" s="994" t="n"/>
      <c r="J87" s="973" t="n"/>
      <c r="K87" s="973" t="n"/>
      <c r="L87" s="253" t="n">
        <v>2088</v>
      </c>
      <c r="M87" s="254" t="inlineStr">
        <is>
          <t>0134N096A</t>
        </is>
      </c>
      <c r="N87" s="254" t="inlineStr">
        <is>
          <t>Serum</t>
        </is>
      </c>
      <c r="O87" s="1183" t="inlineStr">
        <is>
          <t>30/04/2027</t>
        </is>
      </c>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73" t="n"/>
      <c r="E88" s="994" t="n"/>
      <c r="F88" s="994" t="n"/>
      <c r="G88" s="973" t="n"/>
      <c r="H88" s="994" t="n"/>
      <c r="I88" s="994" t="n"/>
      <c r="J88" s="973" t="n"/>
      <c r="K88" s="973" t="n"/>
      <c r="L88" s="253" t="n">
        <v>3000</v>
      </c>
      <c r="M88" s="254" t="inlineStr">
        <is>
          <t>0135AB117</t>
        </is>
      </c>
      <c r="N88" s="254" t="inlineStr">
        <is>
          <t>Serum</t>
        </is>
      </c>
      <c r="O88" s="1183" t="inlineStr">
        <is>
          <t>31/12/2027</t>
        </is>
      </c>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73"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75"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496">
        <f>ABRIL!K91</f>
        <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73"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73"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73"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73"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75"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496">
        <f>ABRIL!K97</f>
        <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73"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73"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73"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73"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75"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496">
        <f>ABRIL!K103</f>
        <v/>
      </c>
      <c r="E103" s="731" t="n">
        <v>9455</v>
      </c>
      <c r="F103" s="731" t="n"/>
      <c r="G103" s="730">
        <f>E103+F103</f>
        <v/>
      </c>
      <c r="H103" s="731" t="n">
        <v>635</v>
      </c>
      <c r="I103" s="731" t="n"/>
      <c r="J103" s="732">
        <f>AM103</f>
        <v/>
      </c>
      <c r="K103" s="738">
        <f>+(D103+G103)-(H103+I103+J103)</f>
        <v/>
      </c>
      <c r="L103" s="253" t="n">
        <v>8820</v>
      </c>
      <c r="M103" s="254" t="inlineStr">
        <is>
          <t>0126N030</t>
        </is>
      </c>
      <c r="N103" s="254" t="inlineStr">
        <is>
          <t>Serum</t>
        </is>
      </c>
      <c r="O103" s="1183" t="n">
        <v>46965</v>
      </c>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73" t="n"/>
      <c r="E104" s="994" t="n"/>
      <c r="F104" s="994" t="n"/>
      <c r="G104" s="973" t="n"/>
      <c r="H104" s="994" t="n"/>
      <c r="I104" s="994" t="n"/>
      <c r="J104" s="973" t="n"/>
      <c r="K104" s="973" t="n"/>
      <c r="L104" s="253" t="n"/>
      <c r="M104" s="254" t="n"/>
      <c r="N104" s="254" t="n"/>
      <c r="O104" s="1183" t="n"/>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73"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73"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73"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75"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496">
        <f>ABRIL!K109</f>
        <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73"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73"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73"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73"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75"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496">
        <f>ABRIL!K115</f>
        <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73"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73"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73"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73"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75"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496">
        <f>ABRIL!K121</f>
        <v/>
      </c>
      <c r="E121" s="731" t="n"/>
      <c r="F121" s="731" t="n"/>
      <c r="G121" s="730">
        <f>E121+F121</f>
        <v/>
      </c>
      <c r="H121" s="731" t="n">
        <v>1530</v>
      </c>
      <c r="I121" s="731" t="n"/>
      <c r="J121" s="732">
        <f>AM121</f>
        <v/>
      </c>
      <c r="K121" s="738">
        <f>+(D121+G121)-(H121+I121+J121)</f>
        <v/>
      </c>
      <c r="L121" s="253" t="n">
        <v>4470</v>
      </c>
      <c r="M121" s="254" t="inlineStr">
        <is>
          <t>Y3D32</t>
        </is>
      </c>
      <c r="N121" s="254" t="inlineStr">
        <is>
          <t>Sanofi Pasteur</t>
        </is>
      </c>
      <c r="O121" s="1183" t="inlineStr">
        <is>
          <t>30/04/2027</t>
        </is>
      </c>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73" t="n"/>
      <c r="E122" s="994" t="n"/>
      <c r="F122" s="994" t="n"/>
      <c r="G122" s="973" t="n"/>
      <c r="H122" s="994" t="n"/>
      <c r="I122" s="994" t="n"/>
      <c r="J122" s="973" t="n"/>
      <c r="K122" s="973" t="n"/>
      <c r="L122" s="253" t="n">
        <v>30000</v>
      </c>
      <c r="M122" s="254" t="inlineStr">
        <is>
          <t>Y3H33</t>
        </is>
      </c>
      <c r="N122" s="254" t="inlineStr">
        <is>
          <t>Sanofi Pasteur</t>
        </is>
      </c>
      <c r="O122" s="1183" t="inlineStr">
        <is>
          <t>31/08/2027</t>
        </is>
      </c>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73" t="n"/>
      <c r="E123" s="994" t="n"/>
      <c r="F123" s="994" t="n"/>
      <c r="G123" s="973" t="n"/>
      <c r="H123" s="994" t="n"/>
      <c r="I123" s="994" t="n"/>
      <c r="J123" s="973" t="n"/>
      <c r="K123" s="973" t="n"/>
      <c r="L123" s="253" t="n"/>
      <c r="M123" s="254" t="n"/>
      <c r="N123" s="254" t="n"/>
      <c r="O123" s="1183" t="n"/>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73"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73"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75"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496">
        <f>ABRIL!K127</f>
        <v/>
      </c>
      <c r="E127" s="731" t="n"/>
      <c r="F127" s="731" t="n"/>
      <c r="G127" s="730">
        <f>E127+F127</f>
        <v/>
      </c>
      <c r="H127" s="731" t="n">
        <v>886</v>
      </c>
      <c r="I127" s="731" t="n"/>
      <c r="J127" s="732">
        <f>AM127</f>
        <v/>
      </c>
      <c r="K127" s="738">
        <f>+(D127+G127)-(H127+I127+J127)</f>
        <v/>
      </c>
      <c r="L127" s="253" t="n">
        <v>54</v>
      </c>
      <c r="M127" s="254" t="inlineStr">
        <is>
          <t>AB202403009</t>
        </is>
      </c>
      <c r="N127" s="254" t="inlineStr">
        <is>
          <t>Sinovac</t>
        </is>
      </c>
      <c r="O127" s="1183" t="inlineStr">
        <is>
          <t>04/09/2027</t>
        </is>
      </c>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73" t="n"/>
      <c r="E128" s="994" t="n"/>
      <c r="F128" s="994" t="n"/>
      <c r="G128" s="973" t="n"/>
      <c r="H128" s="994" t="n"/>
      <c r="I128" s="994" t="n"/>
      <c r="J128" s="973" t="n"/>
      <c r="K128" s="973" t="n"/>
      <c r="L128" s="253" t="n">
        <v>11</v>
      </c>
      <c r="M128" s="254" t="inlineStr">
        <is>
          <t>AB202404013</t>
        </is>
      </c>
      <c r="N128" s="254" t="inlineStr">
        <is>
          <t>Sinovac</t>
        </is>
      </c>
      <c r="O128" s="1183" t="inlineStr">
        <is>
          <t>21/10/2027</t>
        </is>
      </c>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73" t="n"/>
      <c r="E129" s="994" t="n"/>
      <c r="F129" s="994" t="n"/>
      <c r="G129" s="973" t="n"/>
      <c r="H129" s="994" t="n"/>
      <c r="I129" s="994" t="n"/>
      <c r="J129" s="973" t="n"/>
      <c r="K129" s="973" t="n"/>
      <c r="L129" s="253" t="n">
        <v>1300</v>
      </c>
      <c r="M129" s="254" t="inlineStr">
        <is>
          <t>AB202410043</t>
        </is>
      </c>
      <c r="N129" s="254" t="inlineStr">
        <is>
          <t>Sinovac</t>
        </is>
      </c>
      <c r="O129" s="1183" t="inlineStr">
        <is>
          <t>25/04/2028</t>
        </is>
      </c>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73"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73"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75"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496">
        <f>ABRIL!K133</f>
        <v/>
      </c>
      <c r="E133" s="731" t="n"/>
      <c r="F133" s="731" t="n"/>
      <c r="G133" s="730">
        <f>E133+F133</f>
        <v/>
      </c>
      <c r="H133" s="731" t="n">
        <v>1825</v>
      </c>
      <c r="I133" s="731" t="n"/>
      <c r="J133" s="732">
        <f>AM133</f>
        <v/>
      </c>
      <c r="K133" s="738">
        <f>+(D133+G133)-(H133+I133+J133)</f>
        <v/>
      </c>
      <c r="L133" s="253" t="n">
        <v>772</v>
      </c>
      <c r="M133" s="254" t="inlineStr">
        <is>
          <t>BB202506051</t>
        </is>
      </c>
      <c r="N133" s="254" t="inlineStr">
        <is>
          <t>Sinovac</t>
        </is>
      </c>
      <c r="O133" s="1183" t="inlineStr">
        <is>
          <t>12/06/2027</t>
        </is>
      </c>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73" t="n"/>
      <c r="E134" s="994" t="n"/>
      <c r="F134" s="994" t="n"/>
      <c r="G134" s="973" t="n"/>
      <c r="H134" s="994" t="n"/>
      <c r="I134" s="994" t="n"/>
      <c r="J134" s="973" t="n"/>
      <c r="K134" s="973" t="n"/>
      <c r="L134" s="253" t="n">
        <v>820</v>
      </c>
      <c r="M134" s="254" t="inlineStr">
        <is>
          <t>BB202506052</t>
        </is>
      </c>
      <c r="N134" s="254" t="inlineStr">
        <is>
          <t>Sinovac</t>
        </is>
      </c>
      <c r="O134" s="1183" t="inlineStr">
        <is>
          <t>16/06/2027</t>
        </is>
      </c>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73" t="n"/>
      <c r="E135" s="994" t="n"/>
      <c r="F135" s="994" t="n"/>
      <c r="G135" s="973" t="n"/>
      <c r="H135" s="994" t="n"/>
      <c r="I135" s="994" t="n"/>
      <c r="J135" s="973" t="n"/>
      <c r="K135" s="973" t="n"/>
      <c r="L135" s="253" t="n"/>
      <c r="M135" s="254" t="n"/>
      <c r="N135" s="254" t="n"/>
      <c r="O135" s="1183" t="n"/>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73"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73"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75"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496">
        <f>ABRIL!K139</f>
        <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73"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73"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73"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73"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75"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496">
        <f>ABRIL!K145</f>
        <v/>
      </c>
      <c r="E145" s="731" t="n"/>
      <c r="F145" s="731" t="n"/>
      <c r="G145" s="730">
        <f>E145+F145</f>
        <v/>
      </c>
      <c r="H145" s="731" t="n">
        <v>1750</v>
      </c>
      <c r="I145" s="731" t="n"/>
      <c r="J145" s="732">
        <f>AM145</f>
        <v/>
      </c>
      <c r="K145" s="738">
        <f>+(D145+G145)-(H145+I145+J145)</f>
        <v/>
      </c>
      <c r="L145" s="253" t="n">
        <v>80</v>
      </c>
      <c r="M145" s="254" t="inlineStr">
        <is>
          <t>2334L016E</t>
        </is>
      </c>
      <c r="N145" s="254" t="inlineStr">
        <is>
          <t>Serum</t>
        </is>
      </c>
      <c r="O145" s="1183" t="inlineStr">
        <is>
          <t>31/03/2027</t>
        </is>
      </c>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73" t="n"/>
      <c r="E146" s="994" t="n"/>
      <c r="F146" s="994" t="n"/>
      <c r="G146" s="973" t="n"/>
      <c r="H146" s="994" t="n"/>
      <c r="I146" s="994" t="n"/>
      <c r="J146" s="973" t="n"/>
      <c r="K146" s="973" t="n"/>
      <c r="L146" s="253" t="n">
        <v>3000</v>
      </c>
      <c r="M146" s="254" t="inlineStr">
        <is>
          <t>2335L013D</t>
        </is>
      </c>
      <c r="N146" s="254" t="inlineStr">
        <is>
          <t>Serum</t>
        </is>
      </c>
      <c r="O146" s="1183" t="inlineStr">
        <is>
          <t>30/04/2028</t>
        </is>
      </c>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73"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73"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73"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75"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496">
        <f>ABRIL!K151</f>
        <v/>
      </c>
      <c r="E151" s="731" t="n"/>
      <c r="F151" s="731" t="n"/>
      <c r="G151" s="730">
        <f>E151+F151</f>
        <v/>
      </c>
      <c r="H151" s="731" t="n">
        <v>585</v>
      </c>
      <c r="I151" s="731" t="n"/>
      <c r="J151" s="732">
        <f>AM151</f>
        <v/>
      </c>
      <c r="K151" s="738">
        <f>+(D151+G151)-(H151+I151+J151)</f>
        <v/>
      </c>
      <c r="L151" s="253" t="n">
        <v>970</v>
      </c>
      <c r="M151" s="254" t="inlineStr">
        <is>
          <t>5DA79D1</t>
        </is>
      </c>
      <c r="N151" s="254" t="inlineStr">
        <is>
          <t>Sanofi Pasteur</t>
        </is>
      </c>
      <c r="O151" s="1183" t="inlineStr">
        <is>
          <t>30/09/2028</t>
        </is>
      </c>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73" t="n"/>
      <c r="E152" s="994" t="n"/>
      <c r="F152" s="994" t="n"/>
      <c r="G152" s="973" t="n"/>
      <c r="H152" s="994" t="n"/>
      <c r="I152" s="994" t="n"/>
      <c r="J152" s="973" t="n"/>
      <c r="K152" s="973" t="n"/>
      <c r="L152" s="253" t="n"/>
      <c r="M152" s="254" t="n"/>
      <c r="N152" s="254" t="n"/>
      <c r="O152" s="1183" t="n"/>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73"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73"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73"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75"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496">
        <f>ABRIL!K157</f>
        <v/>
      </c>
      <c r="E157" s="731" t="n"/>
      <c r="F157" s="731" t="n"/>
      <c r="G157" s="730">
        <f>E157+F157</f>
        <v/>
      </c>
      <c r="H157" s="731" t="n">
        <v>2280</v>
      </c>
      <c r="I157" s="731" t="n"/>
      <c r="J157" s="732">
        <f>AM157</f>
        <v/>
      </c>
      <c r="K157" s="738">
        <f>+(D157+G157)-(H157+I157+J157)</f>
        <v/>
      </c>
      <c r="L157" s="253" t="n">
        <v>4620</v>
      </c>
      <c r="M157" s="254" t="inlineStr">
        <is>
          <t>2600761/00</t>
        </is>
      </c>
      <c r="N157" s="254" t="inlineStr">
        <is>
          <t>BUTANTAN</t>
        </is>
      </c>
      <c r="O157" s="1183" t="inlineStr">
        <is>
          <t>46426</t>
        </is>
      </c>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73"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73"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73"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73"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75"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496">
        <f>ABRIL!K163</f>
        <v/>
      </c>
      <c r="E163" s="731" t="n"/>
      <c r="F163" s="731" t="n"/>
      <c r="G163" s="730">
        <f>E163+F163</f>
        <v/>
      </c>
      <c r="H163" s="731" t="n">
        <v>7560</v>
      </c>
      <c r="I163" s="731" t="n"/>
      <c r="J163" s="732">
        <f>AM163</f>
        <v/>
      </c>
      <c r="K163" s="738">
        <f>+(D163+G163)-(H163+I163+J163)</f>
        <v/>
      </c>
      <c r="L163" s="253" t="n">
        <v>770</v>
      </c>
      <c r="M163" s="254" t="inlineStr">
        <is>
          <t>2600761-00</t>
        </is>
      </c>
      <c r="N163" s="254" t="inlineStr">
        <is>
          <t>BUTANTAN</t>
        </is>
      </c>
      <c r="O163" s="1183" t="inlineStr">
        <is>
          <t>46426</t>
        </is>
      </c>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73" t="n"/>
      <c r="E164" s="994" t="n"/>
      <c r="F164" s="994" t="n"/>
      <c r="G164" s="973" t="n"/>
      <c r="H164" s="994" t="n"/>
      <c r="I164" s="994" t="n"/>
      <c r="J164" s="973" t="n"/>
      <c r="K164" s="973" t="n"/>
      <c r="L164" s="253" t="n">
        <v>12300</v>
      </c>
      <c r="M164" s="254" t="inlineStr">
        <is>
          <t>V50526002</t>
        </is>
      </c>
      <c r="N164" s="254" t="inlineStr">
        <is>
          <t>GC BIOPHARMA CORP</t>
        </is>
      </c>
      <c r="O164" s="1183" t="inlineStr">
        <is>
          <t>29/01/2027</t>
        </is>
      </c>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73" t="n"/>
      <c r="E165" s="994" t="n"/>
      <c r="F165" s="994" t="n"/>
      <c r="G165" s="973" t="n"/>
      <c r="H165" s="994" t="n"/>
      <c r="I165" s="994" t="n"/>
      <c r="J165" s="973" t="n"/>
      <c r="K165" s="973" t="n"/>
      <c r="L165" s="253" t="n">
        <v>19600</v>
      </c>
      <c r="M165" s="254" t="inlineStr">
        <is>
          <t>V50526006</t>
        </is>
      </c>
      <c r="N165" s="254" t="inlineStr">
        <is>
          <t>GC BIOPHARMA CORP</t>
        </is>
      </c>
      <c r="O165" s="1183" t="inlineStr">
        <is>
          <t>09/02/2026</t>
        </is>
      </c>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73"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73"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75"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496">
        <f>ABRIL!K169</f>
        <v/>
      </c>
      <c r="E169" s="731" t="n">
        <v>1200</v>
      </c>
      <c r="F169" s="731" t="n"/>
      <c r="G169" s="730">
        <f>E169+F169</f>
        <v/>
      </c>
      <c r="H169" s="731" t="n">
        <v>515</v>
      </c>
      <c r="I169" s="731" t="n"/>
      <c r="J169" s="732">
        <f>AM169</f>
        <v/>
      </c>
      <c r="K169" s="738">
        <f>+(D169+G169)-(H169+I169+J169)</f>
        <v/>
      </c>
      <c r="L169" s="253" t="n">
        <v>615</v>
      </c>
      <c r="M169" s="254" t="inlineStr">
        <is>
          <t>NJ0375</t>
        </is>
      </c>
      <c r="N169" s="254" t="inlineStr">
        <is>
          <t>PFIZER</t>
        </is>
      </c>
      <c r="O169" s="1183" t="inlineStr">
        <is>
          <t>31/10/2027</t>
        </is>
      </c>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73" t="n"/>
      <c r="E170" s="994" t="n"/>
      <c r="F170" s="994" t="n"/>
      <c r="G170" s="973" t="n"/>
      <c r="H170" s="994" t="n"/>
      <c r="I170" s="994" t="n"/>
      <c r="J170" s="973" t="n"/>
      <c r="K170" s="973" t="n"/>
      <c r="L170" s="253" t="n">
        <v>1200</v>
      </c>
      <c r="M170" s="254" t="inlineStr">
        <is>
          <t>NJ0379</t>
        </is>
      </c>
      <c r="N170" s="254" t="inlineStr">
        <is>
          <t>PFIZER</t>
        </is>
      </c>
      <c r="O170" s="1183" t="n">
        <v>47177</v>
      </c>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73"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73"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73"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75"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496">
        <f>ABRIL!K175</f>
        <v/>
      </c>
      <c r="E175" s="731" t="n"/>
      <c r="F175" s="731" t="n"/>
      <c r="G175" s="730">
        <f>E175+F175</f>
        <v/>
      </c>
      <c r="H175" s="731" t="n">
        <v>1210</v>
      </c>
      <c r="I175" s="731" t="n"/>
      <c r="J175" s="732">
        <f>AM175</f>
        <v/>
      </c>
      <c r="K175" s="738">
        <f>+(D175+G175)-(H175+I175+J175)</f>
        <v/>
      </c>
      <c r="L175" s="253" t="n">
        <v>213</v>
      </c>
      <c r="M175" s="254" t="inlineStr">
        <is>
          <t>Y014828</t>
        </is>
      </c>
      <c r="N175" s="254" t="inlineStr">
        <is>
          <t>MERCK SHARP DOHME</t>
        </is>
      </c>
      <c r="O175" s="1183" t="inlineStr">
        <is>
          <t>31/05/2027</t>
        </is>
      </c>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73" t="n"/>
      <c r="E176" s="994" t="n"/>
      <c r="F176" s="994" t="n"/>
      <c r="G176" s="973" t="n"/>
      <c r="H176" s="994" t="n"/>
      <c r="I176" s="994" t="n"/>
      <c r="J176" s="973" t="n"/>
      <c r="K176" s="973" t="n"/>
      <c r="L176" s="253" t="n">
        <v>1110</v>
      </c>
      <c r="M176" s="254" t="inlineStr">
        <is>
          <t>Y017576</t>
        </is>
      </c>
      <c r="N176" s="254" t="inlineStr">
        <is>
          <t>MERCK SHARP DOHME</t>
        </is>
      </c>
      <c r="O176" s="1183" t="inlineStr">
        <is>
          <t>05/06/2027</t>
        </is>
      </c>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73" t="n"/>
      <c r="E177" s="994" t="n"/>
      <c r="F177" s="994" t="n"/>
      <c r="G177" s="973" t="n"/>
      <c r="H177" s="994" t="n"/>
      <c r="I177" s="994" t="n"/>
      <c r="J177" s="973" t="n"/>
      <c r="K177" s="973" t="n"/>
      <c r="L177" s="253" t="n"/>
      <c r="M177" s="254" t="n"/>
      <c r="N177" s="254" t="n"/>
      <c r="O177" s="1183" t="n"/>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73"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73"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75"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496">
        <f>ABRIL!K181</f>
        <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73"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73"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73"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73"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75"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496">
        <f>ABRIL!K187</f>
        <v/>
      </c>
      <c r="E187" s="731" t="n"/>
      <c r="F187" s="731" t="n"/>
      <c r="G187" s="730">
        <f>E187+F187</f>
        <v/>
      </c>
      <c r="H187" s="731" t="n">
        <v>250</v>
      </c>
      <c r="I187" s="731" t="n"/>
      <c r="J187" s="732">
        <f>AM187</f>
        <v/>
      </c>
      <c r="K187" s="738">
        <f>+(D187+G187)-(H187+I187+J187)</f>
        <v/>
      </c>
      <c r="L187" s="253" t="n"/>
      <c r="M187" s="254" t="n"/>
      <c r="N187" s="254" t="n"/>
      <c r="O187" s="1183" t="n"/>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73" t="n"/>
      <c r="E188" s="994" t="n"/>
      <c r="F188" s="994" t="n"/>
      <c r="G188" s="973" t="n"/>
      <c r="H188" s="994" t="n"/>
      <c r="I188" s="994" t="n"/>
      <c r="J188" s="973" t="n"/>
      <c r="K188" s="973" t="n"/>
      <c r="L188" s="253" t="n">
        <v>279</v>
      </c>
      <c r="M188" s="254" t="inlineStr">
        <is>
          <t>1485T007</t>
        </is>
      </c>
      <c r="N188" s="254" t="inlineStr">
        <is>
          <t>Serum</t>
        </is>
      </c>
      <c r="O188" s="1183" t="inlineStr">
        <is>
          <t>31/01/2028</t>
        </is>
      </c>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73"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73"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73"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75"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496">
        <f>ABRIL!K193</f>
        <v/>
      </c>
      <c r="E193" s="731" t="n"/>
      <c r="F193" s="731" t="n"/>
      <c r="G193" s="730">
        <f>E193+F193</f>
        <v/>
      </c>
      <c r="H193" s="731" t="n"/>
      <c r="I193" s="731" t="n"/>
      <c r="J193" s="732">
        <f>AM193</f>
        <v/>
      </c>
      <c r="K193" s="738">
        <f>+(D193+G193)-(H193+I193+J193)</f>
        <v/>
      </c>
      <c r="L193" s="253" t="n">
        <v>78</v>
      </c>
      <c r="M193" s="254" t="inlineStr">
        <is>
          <t>P100819448</t>
        </is>
      </c>
      <c r="N193" s="254" t="inlineStr">
        <is>
          <t>CSL BEHRING</t>
        </is>
      </c>
      <c r="O193" s="1183" t="inlineStr">
        <is>
          <t>24/03/2028</t>
        </is>
      </c>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73"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73"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73"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73"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75"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496">
        <f>ABRIL!K199</f>
        <v/>
      </c>
      <c r="E199" s="731" t="n"/>
      <c r="F199" s="731" t="n"/>
      <c r="G199" s="730">
        <f>E199+F199</f>
        <v/>
      </c>
      <c r="H199" s="731" t="n">
        <v>120</v>
      </c>
      <c r="I199" s="731" t="n"/>
      <c r="J199" s="732">
        <f>AM199</f>
        <v/>
      </c>
      <c r="K199" s="738">
        <f>+(D199+G199)-(H199+I199+J199)</f>
        <v/>
      </c>
      <c r="L199" s="253" t="n">
        <v>64</v>
      </c>
      <c r="M199" s="254" t="inlineStr">
        <is>
          <t>08AR25015</t>
        </is>
      </c>
      <c r="N199" s="254" t="inlineStr">
        <is>
          <t>VINS BIOPRODUCTS LIMITED</t>
        </is>
      </c>
      <c r="O199" s="1183" t="inlineStr">
        <is>
          <t>31/05/2027</t>
        </is>
      </c>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73" t="n"/>
      <c r="E200" s="994" t="n"/>
      <c r="F200" s="994" t="n"/>
      <c r="G200" s="973" t="n"/>
      <c r="H200" s="994" t="n"/>
      <c r="I200" s="994" t="n"/>
      <c r="J200" s="973" t="n"/>
      <c r="K200" s="973" t="n"/>
      <c r="L200" s="253" t="n">
        <v>300</v>
      </c>
      <c r="M200" s="254" t="inlineStr">
        <is>
          <t>08AR25031</t>
        </is>
      </c>
      <c r="N200" s="254" t="inlineStr">
        <is>
          <t>VINS BIOPRODUCTS LIMITED</t>
        </is>
      </c>
      <c r="O200" s="1183" t="inlineStr">
        <is>
          <t>30/07/2027</t>
        </is>
      </c>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73"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73"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73"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75"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496">
        <f>ABRIL!K205</f>
        <v/>
      </c>
      <c r="E205" s="731" t="n"/>
      <c r="F205" s="731" t="n"/>
      <c r="G205" s="730">
        <f>E205+F205</f>
        <v/>
      </c>
      <c r="H205" s="731" t="n">
        <v>5</v>
      </c>
      <c r="I205" s="731" t="n"/>
      <c r="J205" s="732">
        <f>AM205</f>
        <v/>
      </c>
      <c r="K205" s="738">
        <f>+(D205+G205)-(H205+I205+J205)</f>
        <v/>
      </c>
      <c r="L205" s="253" t="n"/>
      <c r="M205" s="254" t="n"/>
      <c r="N205" s="254" t="n"/>
      <c r="O205" s="1183" t="n"/>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73"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73"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73"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73"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75"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496">
        <f>ABRIL!K211</f>
        <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73"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73"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73"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73"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75"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496">
        <f>ABRIL!K217</f>
        <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73"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73"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73"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73"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75"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496">
        <f>ABRIL!K223</f>
        <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73"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73"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73"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73"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75"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496">
        <f>ABRIL!K230</f>
        <v/>
      </c>
      <c r="E230" s="731" t="n"/>
      <c r="F230" s="731" t="n"/>
      <c r="G230" s="730">
        <f>E230+F230</f>
        <v/>
      </c>
      <c r="H230" s="731" t="n">
        <v>1980</v>
      </c>
      <c r="I230" s="731" t="n"/>
      <c r="J230" s="732">
        <f>AM230</f>
        <v/>
      </c>
      <c r="K230" s="738">
        <f>+(D230+G230)-(H230+I230+J230)</f>
        <v/>
      </c>
      <c r="L230" s="253" t="n">
        <v>960</v>
      </c>
      <c r="M230" s="254" t="inlineStr">
        <is>
          <t>0704S4011</t>
        </is>
      </c>
      <c r="N230" s="254" t="inlineStr">
        <is>
          <t>Serum</t>
        </is>
      </c>
      <c r="O230" s="1183" t="inlineStr">
        <is>
          <t>30/06/2028</t>
        </is>
      </c>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73" t="n"/>
      <c r="E231" s="994" t="n"/>
      <c r="F231" s="994" t="n"/>
      <c r="G231" s="973" t="n"/>
      <c r="H231" s="994" t="n"/>
      <c r="I231" s="994" t="n"/>
      <c r="J231" s="973" t="n"/>
      <c r="K231" s="973" t="n"/>
      <c r="L231" s="253" t="n">
        <v>5000</v>
      </c>
      <c r="M231" s="254" t="inlineStr">
        <is>
          <t>0704S1005</t>
        </is>
      </c>
      <c r="N231" s="254" t="inlineStr">
        <is>
          <t>Serum</t>
        </is>
      </c>
      <c r="O231" s="1183" t="inlineStr">
        <is>
          <t>31/08/2028</t>
        </is>
      </c>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73" t="n"/>
      <c r="E232" s="994" t="n"/>
      <c r="F232" s="994" t="n"/>
      <c r="G232" s="973" t="n"/>
      <c r="H232" s="994" t="n"/>
      <c r="I232" s="994" t="n"/>
      <c r="J232" s="973" t="n"/>
      <c r="K232" s="973" t="n"/>
      <c r="L232" s="253" t="n"/>
      <c r="M232" s="254" t="n"/>
      <c r="N232" s="254" t="n"/>
      <c r="O232" s="1183" t="n"/>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73"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73"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75" t="n"/>
      <c r="E235" s="998" t="n"/>
      <c r="F235" s="998" t="n"/>
      <c r="G235" s="975" t="n"/>
      <c r="H235" s="998" t="n"/>
      <c r="I235" s="998" t="n"/>
      <c r="J235" s="975" t="n"/>
      <c r="K235" s="1189">
        <f>K230=L235</f>
        <v/>
      </c>
      <c r="L235" s="491">
        <f>SUM(L230:L234)</f>
        <v/>
      </c>
      <c r="M235" s="1190" t="inlineStr">
        <is>
          <t xml:space="preserve">“Verdadero” indica que la cantidad por lote, coincide con el saldo que inicia al mes siguiente. "Falso" no coinicide. </t>
        </is>
      </c>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496">
        <f>ABRIL!K236</f>
        <v/>
      </c>
      <c r="E236" s="731" t="n"/>
      <c r="F236" s="731" t="n"/>
      <c r="G236" s="730">
        <f>E236+F236</f>
        <v/>
      </c>
      <c r="H236" s="731" t="n">
        <v>1842</v>
      </c>
      <c r="I236" s="731" t="n"/>
      <c r="J236" s="732">
        <f>AM236</f>
        <v/>
      </c>
      <c r="K236" s="738">
        <f>+(D236+G236)-(H236+I236+J236)</f>
        <v/>
      </c>
      <c r="L236" s="253" t="n">
        <v>4</v>
      </c>
      <c r="M236" s="254" t="inlineStr">
        <is>
          <t>0643S1010</t>
        </is>
      </c>
      <c r="N236" s="254" t="inlineStr">
        <is>
          <t>Serum</t>
        </is>
      </c>
      <c r="O236" s="1183" t="inlineStr">
        <is>
          <t>30/04/2028</t>
        </is>
      </c>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73" t="n"/>
      <c r="E237" s="994" t="n"/>
      <c r="F237" s="994" t="n"/>
      <c r="G237" s="973" t="n"/>
      <c r="H237" s="994" t="n"/>
      <c r="I237" s="994" t="n"/>
      <c r="J237" s="973" t="n"/>
      <c r="K237" s="973" t="n"/>
      <c r="L237" s="253" t="n">
        <v>9700</v>
      </c>
      <c r="M237" s="254" t="inlineStr">
        <is>
          <t>0644S4011</t>
        </is>
      </c>
      <c r="N237" s="254" t="inlineStr">
        <is>
          <t>Serum</t>
        </is>
      </c>
      <c r="O237" s="1183" t="inlineStr">
        <is>
          <t>30/06/2029</t>
        </is>
      </c>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73" t="n"/>
      <c r="E238" s="994" t="n"/>
      <c r="F238" s="994" t="n"/>
      <c r="G238" s="973" t="n"/>
      <c r="H238" s="994" t="n"/>
      <c r="I238" s="994" t="n"/>
      <c r="J238" s="973" t="n"/>
      <c r="K238" s="973" t="n"/>
      <c r="L238" s="253" t="n">
        <v>3000</v>
      </c>
      <c r="M238" s="254" t="inlineStr">
        <is>
          <t>0644S1004</t>
        </is>
      </c>
      <c r="N238" s="254" t="inlineStr">
        <is>
          <t>Serum</t>
        </is>
      </c>
      <c r="O238" s="1183" t="inlineStr">
        <is>
          <t>31/08/2029</t>
        </is>
      </c>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73"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73"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75" t="n"/>
      <c r="E241" s="998" t="n"/>
      <c r="F241" s="998" t="n"/>
      <c r="G241" s="975" t="n"/>
      <c r="H241" s="998" t="n"/>
      <c r="I241" s="998" t="n"/>
      <c r="J241" s="975" t="n"/>
      <c r="K241" s="1189">
        <f>K236=L241</f>
        <v/>
      </c>
      <c r="L241" s="491">
        <f>SUM(L236:L240)</f>
        <v/>
      </c>
      <c r="M241" s="1190" t="inlineStr">
        <is>
          <t xml:space="preserve">“Verdadero” indica que la cantidad por lote, coincide con el saldo que inicia al mes siguiente. "Falso" no coinicide. </t>
        </is>
      </c>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496">
        <f>ABRIL!K242</f>
        <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73"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73"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73"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73"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75" t="n"/>
      <c r="E247" s="998" t="n"/>
      <c r="F247" s="998" t="n"/>
      <c r="G247" s="975" t="n"/>
      <c r="H247" s="998" t="n"/>
      <c r="I247" s="998" t="n"/>
      <c r="J247" s="975" t="n"/>
      <c r="K247" s="1189">
        <f>K242=L247</f>
        <v/>
      </c>
      <c r="L247" s="491">
        <f>SUM(L242:L246)</f>
        <v/>
      </c>
      <c r="M247" s="1190" t="inlineStr">
        <is>
          <t xml:space="preserve">“Verdadero” indica que la cantidad por lote, coincide con el saldo que inicia al mes siguiente. "Falso" no coinicide. </t>
        </is>
      </c>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496">
        <f>ABRIL!K248</f>
        <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73"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73"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73"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73"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75" t="n"/>
      <c r="E253" s="998" t="n"/>
      <c r="F253" s="998" t="n"/>
      <c r="G253" s="975" t="n"/>
      <c r="H253" s="998" t="n"/>
      <c r="I253" s="998" t="n"/>
      <c r="J253" s="975" t="n"/>
      <c r="K253" s="1189">
        <f>K248=L253</f>
        <v/>
      </c>
      <c r="L253" s="491">
        <f>SUM(L248:L252)</f>
        <v/>
      </c>
      <c r="M253" s="1190" t="inlineStr">
        <is>
          <t xml:space="preserve">“Verdadero” indica que la cantidad por lote, coincide con el saldo que inicia al mes siguiente. "Falso" no coinicide. </t>
        </is>
      </c>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496">
        <f>ABRIL!K254</f>
        <v/>
      </c>
      <c r="E254" s="731">
        <f>8140+1500</f>
        <v/>
      </c>
      <c r="F254" s="731" t="n"/>
      <c r="G254" s="730">
        <f>E254+F254</f>
        <v/>
      </c>
      <c r="H254" s="731">
        <f>635+400</f>
        <v/>
      </c>
      <c r="I254" s="731" t="n"/>
      <c r="J254" s="732">
        <f>AM254</f>
        <v/>
      </c>
      <c r="K254" s="738">
        <f>+(D254+G254)-(H254+I254+J254)</f>
        <v/>
      </c>
      <c r="L254" s="253" t="n">
        <v>4</v>
      </c>
      <c r="M254" s="254" t="inlineStr">
        <is>
          <t>0643S4002</t>
        </is>
      </c>
      <c r="N254" s="254" t="inlineStr">
        <is>
          <t>Serum</t>
        </is>
      </c>
      <c r="O254" s="1183" t="inlineStr">
        <is>
          <t>30/04/2028</t>
        </is>
      </c>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73" t="n"/>
      <c r="E255" s="994" t="n"/>
      <c r="F255" s="994" t="n"/>
      <c r="G255" s="973" t="n"/>
      <c r="H255" s="994" t="n"/>
      <c r="I255" s="994" t="n"/>
      <c r="J255" s="973" t="n"/>
      <c r="K255" s="973" t="n"/>
      <c r="L255" s="253" t="n">
        <v>423</v>
      </c>
      <c r="M255" s="254" t="inlineStr">
        <is>
          <t>0643S4003</t>
        </is>
      </c>
      <c r="N255" s="254" t="inlineStr">
        <is>
          <t>Serum</t>
        </is>
      </c>
      <c r="O255" s="1183" t="inlineStr">
        <is>
          <t>31/08/2028</t>
        </is>
      </c>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73" t="n"/>
      <c r="E256" s="994" t="n"/>
      <c r="F256" s="994" t="n"/>
      <c r="G256" s="973" t="n"/>
      <c r="H256" s="994" t="n"/>
      <c r="I256" s="994" t="n"/>
      <c r="J256" s="973" t="n"/>
      <c r="K256" s="973" t="n"/>
      <c r="L256" s="253" t="n">
        <v>8140</v>
      </c>
      <c r="M256" s="254" t="inlineStr">
        <is>
          <t>0685I140</t>
        </is>
      </c>
      <c r="N256" s="254" t="inlineStr">
        <is>
          <t>Serum</t>
        </is>
      </c>
      <c r="O256" s="1183" t="n">
        <v>47817</v>
      </c>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73" t="n"/>
      <c r="E257" s="994" t="n"/>
      <c r="F257" s="994" t="n"/>
      <c r="G257" s="973" t="n"/>
      <c r="H257" s="994" t="n"/>
      <c r="I257" s="994" t="n"/>
      <c r="J257" s="973" t="n"/>
      <c r="K257" s="973" t="n"/>
      <c r="L257" s="253" t="n">
        <v>900</v>
      </c>
      <c r="M257" s="254" t="inlineStr">
        <is>
          <t>0644S4022</t>
        </is>
      </c>
      <c r="N257" s="254" t="inlineStr">
        <is>
          <t>Serum</t>
        </is>
      </c>
      <c r="O257" s="1183" t="n">
        <v>47391</v>
      </c>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73"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75" t="n"/>
      <c r="E259" s="998" t="n"/>
      <c r="F259" s="998" t="n"/>
      <c r="G259" s="975" t="n"/>
      <c r="H259" s="998" t="n"/>
      <c r="I259" s="998" t="n"/>
      <c r="J259" s="975" t="n"/>
      <c r="K259" s="1189">
        <f>K254=L259</f>
        <v/>
      </c>
      <c r="L259" s="491">
        <f>SUM(L254:L258)</f>
        <v/>
      </c>
      <c r="M259" s="1190" t="inlineStr">
        <is>
          <t xml:space="preserve">“Verdadero” indica que la cantidad por lote, coincide con el saldo que inicia al mes siguiente. "Falso" no coinicide. </t>
        </is>
      </c>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496">
        <f>ABRIL!K260</f>
        <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73"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73"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73"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73"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75" t="n"/>
      <c r="E265" s="998" t="n"/>
      <c r="F265" s="998" t="n"/>
      <c r="G265" s="975" t="n"/>
      <c r="H265" s="998" t="n"/>
      <c r="I265" s="998" t="n"/>
      <c r="J265" s="975" t="n"/>
      <c r="K265" s="1189">
        <f>K260=L265</f>
        <v/>
      </c>
      <c r="L265" s="491">
        <f>SUM(L260:L264)</f>
        <v/>
      </c>
      <c r="M265" s="1190" t="inlineStr">
        <is>
          <t xml:space="preserve">“Verdadero” indica que la cantidad por lote, coincide con el saldo que inicia al mes siguiente. "Falso" no coinicide. </t>
        </is>
      </c>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496">
        <f>ABRIL!K266</f>
        <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73"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73"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73"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73"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75" t="n"/>
      <c r="E271" s="998" t="n"/>
      <c r="F271" s="998" t="n"/>
      <c r="G271" s="975" t="n"/>
      <c r="H271" s="998" t="n"/>
      <c r="I271" s="998" t="n"/>
      <c r="J271" s="975" t="n"/>
      <c r="K271" s="1189">
        <f>K266=L271</f>
        <v/>
      </c>
      <c r="L271" s="491">
        <f>SUM(L266:L270)</f>
        <v/>
      </c>
      <c r="M271" s="1190" t="inlineStr">
        <is>
          <t xml:space="preserve">“Verdadero” indica que la cantidad por lote, coincide con el saldo que inicia al mes siguiente. "Falso" no coinicide. </t>
        </is>
      </c>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496">
        <f>ABRIL!K272</f>
        <v/>
      </c>
      <c r="E272" s="731" t="n"/>
      <c r="F272" s="731" t="n"/>
      <c r="G272" s="730">
        <f>E272+F272</f>
        <v/>
      </c>
      <c r="H272" s="731" t="n">
        <v>1530</v>
      </c>
      <c r="I272" s="731" t="n"/>
      <c r="J272" s="732">
        <f>AM272</f>
        <v/>
      </c>
      <c r="K272" s="738">
        <f>+(D272+G272)-(H272+I272+J272)</f>
        <v/>
      </c>
      <c r="L272" s="253" t="n">
        <v>5070</v>
      </c>
      <c r="M272" s="254" t="inlineStr">
        <is>
          <t>Y4X16</t>
        </is>
      </c>
      <c r="N272" s="254" t="inlineStr">
        <is>
          <t>Sanofi Pasteur</t>
        </is>
      </c>
      <c r="O272" s="1183" t="inlineStr">
        <is>
          <t>30/06/2027</t>
        </is>
      </c>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73" t="n"/>
      <c r="E273" s="994" t="n"/>
      <c r="F273" s="994" t="n"/>
      <c r="G273" s="973" t="n"/>
      <c r="H273" s="994" t="n"/>
      <c r="I273" s="994" t="n"/>
      <c r="J273" s="973" t="n"/>
      <c r="K273" s="973" t="n"/>
      <c r="L273" s="253" t="n">
        <v>30000</v>
      </c>
      <c r="M273" s="254" t="inlineStr">
        <is>
          <t>Y4X19</t>
        </is>
      </c>
      <c r="N273" s="254" t="inlineStr">
        <is>
          <t>Sanofi Pasteur</t>
        </is>
      </c>
      <c r="O273" s="1183" t="inlineStr">
        <is>
          <t>31/08/2027</t>
        </is>
      </c>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73" t="n"/>
      <c r="E274" s="994" t="n"/>
      <c r="F274" s="994" t="n"/>
      <c r="G274" s="973" t="n"/>
      <c r="H274" s="994" t="n"/>
      <c r="I274" s="994" t="n"/>
      <c r="J274" s="973" t="n"/>
      <c r="K274" s="973" t="n"/>
      <c r="L274" s="253" t="n"/>
      <c r="M274" s="254" t="n"/>
      <c r="N274" s="254" t="n"/>
      <c r="O274" s="1183" t="n"/>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73"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73"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75" t="n"/>
      <c r="E277" s="998" t="n"/>
      <c r="F277" s="998" t="n"/>
      <c r="G277" s="975" t="n"/>
      <c r="H277" s="998" t="n"/>
      <c r="I277" s="998" t="n"/>
      <c r="J277" s="975" t="n"/>
      <c r="K277" s="1189">
        <f>K272=L277</f>
        <v/>
      </c>
      <c r="L277" s="491">
        <f>SUM(L272:L276)</f>
        <v/>
      </c>
      <c r="M277" s="1190" t="inlineStr">
        <is>
          <t xml:space="preserve">“Verdadero” indica que la cantidad por lote, coincide con el saldo que inicia al mes siguiente. "Falso" no coinicide. </t>
        </is>
      </c>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496">
        <f>ABRIL!K278</f>
        <v/>
      </c>
      <c r="E278" s="731" t="n"/>
      <c r="F278" s="731" t="n"/>
      <c r="G278" s="730">
        <f>E278+F278</f>
        <v/>
      </c>
      <c r="H278" s="731" t="n">
        <v>1725</v>
      </c>
      <c r="I278" s="731" t="n"/>
      <c r="J278" s="732">
        <f>AM278</f>
        <v/>
      </c>
      <c r="K278" s="738">
        <f>+(D278+G278)-(H278+I278+J278)</f>
        <v/>
      </c>
      <c r="L278" s="253" t="n">
        <v>1888</v>
      </c>
      <c r="M278" s="254" t="inlineStr">
        <is>
          <t>90250603-1</t>
        </is>
      </c>
      <c r="N278" s="254" t="inlineStr">
        <is>
          <t>Sinovac</t>
        </is>
      </c>
      <c r="O278" s="1183" t="inlineStr">
        <is>
          <t>05/06/2029</t>
        </is>
      </c>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73" t="n"/>
      <c r="E279" s="994" t="n"/>
      <c r="F279" s="994" t="n"/>
      <c r="G279" s="973" t="n"/>
      <c r="H279" s="994" t="n"/>
      <c r="I279" s="994" t="n"/>
      <c r="J279" s="973" t="n"/>
      <c r="K279" s="973" t="n"/>
      <c r="L279" s="253" t="n"/>
      <c r="M279" s="254" t="n"/>
      <c r="N279" s="254" t="n"/>
      <c r="O279" s="1183" t="n"/>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73"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73"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73"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75" t="n"/>
      <c r="E283" s="998" t="n"/>
      <c r="F283" s="998" t="n"/>
      <c r="G283" s="975" t="n"/>
      <c r="H283" s="998" t="n"/>
      <c r="I283" s="998" t="n"/>
      <c r="J283" s="975" t="n"/>
      <c r="K283" s="1189">
        <f>K278=L283</f>
        <v/>
      </c>
      <c r="L283" s="491">
        <f>SUM(L278:L282)</f>
        <v/>
      </c>
      <c r="M283" s="1190" t="inlineStr">
        <is>
          <t xml:space="preserve">“Verdadero” indica que la cantidad por lote, coincide con el saldo que inicia al mes siguiente. "Falso" no coinicide. </t>
        </is>
      </c>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496">
        <f>ABRIL!K284</f>
        <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73"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73"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73"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73"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75" t="n"/>
      <c r="E289" s="998" t="n"/>
      <c r="F289" s="998" t="n"/>
      <c r="G289" s="975" t="n"/>
      <c r="H289" s="998" t="n"/>
      <c r="I289" s="998" t="n"/>
      <c r="J289" s="975" t="n"/>
      <c r="K289" s="1189">
        <f>K284=L289</f>
        <v/>
      </c>
      <c r="L289" s="491">
        <f>SUM(L284:L288)</f>
        <v/>
      </c>
      <c r="M289" s="1190" t="inlineStr">
        <is>
          <t xml:space="preserve">“Verdadero” indica que la cantidad por lote, coincide con el saldo que inicia al mes siguiente. "Falso" no coinicide. </t>
        </is>
      </c>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496">
        <f>ABRIL!K290</f>
        <v/>
      </c>
      <c r="E290" s="731" t="n"/>
      <c r="F290" s="731" t="n"/>
      <c r="G290" s="730">
        <f>E290+F290</f>
        <v/>
      </c>
      <c r="H290" s="731" t="n">
        <v>247</v>
      </c>
      <c r="I290" s="731" t="n"/>
      <c r="J290" s="732">
        <f>AM290</f>
        <v/>
      </c>
      <c r="K290" s="738">
        <f>+(D290+G290)-(H290+I290+J290)</f>
        <v/>
      </c>
      <c r="L290" s="253" t="n">
        <v>262</v>
      </c>
      <c r="M290" s="254" t="inlineStr">
        <is>
          <t>0654S4016</t>
        </is>
      </c>
      <c r="N290" s="254" t="inlineStr">
        <is>
          <t>Serum</t>
        </is>
      </c>
      <c r="O290" s="1183" t="inlineStr">
        <is>
          <t>31/07/2029</t>
        </is>
      </c>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73" t="n"/>
      <c r="E291" s="994" t="n"/>
      <c r="F291" s="994" t="n"/>
      <c r="G291" s="973" t="n"/>
      <c r="H291" s="994" t="n"/>
      <c r="I291" s="994" t="n"/>
      <c r="J291" s="973" t="n"/>
      <c r="K291" s="973" t="n"/>
      <c r="L291" s="253" t="n"/>
      <c r="M291" s="254" t="n"/>
      <c r="N291" s="254" t="n"/>
      <c r="O291" s="1183" t="n"/>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73"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73"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73"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75" t="n"/>
      <c r="E295" s="998" t="n"/>
      <c r="F295" s="998" t="n"/>
      <c r="G295" s="975" t="n"/>
      <c r="H295" s="998" t="n"/>
      <c r="I295" s="998" t="n"/>
      <c r="J295" s="975" t="n"/>
      <c r="K295" s="1189">
        <f>K290=L295</f>
        <v/>
      </c>
      <c r="L295" s="491">
        <f>SUM(L290:L294)</f>
        <v/>
      </c>
      <c r="M295" s="1190" t="inlineStr">
        <is>
          <t xml:space="preserve">“Verdadero” indica que la cantidad por lote, coincide con el saldo que inicia al mes siguiente. "Falso" no coinicide. </t>
        </is>
      </c>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496">
        <f>ABRIL!K296</f>
        <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73"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73"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73"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73"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75" t="n"/>
      <c r="E301" s="998" t="n"/>
      <c r="F301" s="998" t="n"/>
      <c r="G301" s="975" t="n"/>
      <c r="H301" s="998" t="n"/>
      <c r="I301" s="998" t="n"/>
      <c r="J301" s="975" t="n"/>
      <c r="K301" s="1189">
        <f>K296=L301</f>
        <v/>
      </c>
      <c r="L301" s="491">
        <f>SUM(L296:L300)</f>
        <v/>
      </c>
      <c r="M301" s="1190" t="inlineStr">
        <is>
          <t xml:space="preserve">“Verdadero” indica que la cantidad por lote, coincide con el saldo que inicia al mes siguiente. "Falso" no coinicide. </t>
        </is>
      </c>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647" t="inlineStr">
        <is>
          <t>JERINGAS</t>
        </is>
      </c>
      <c r="C302" s="967" t="n"/>
      <c r="D302" s="1257"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496">
        <f>ABRIL!K303</f>
        <v/>
      </c>
      <c r="E303" s="731" t="n"/>
      <c r="F303" s="731" t="n"/>
      <c r="G303" s="730">
        <f>E303+F303</f>
        <v/>
      </c>
      <c r="H303" s="731" t="n"/>
      <c r="I303" s="731" t="n"/>
      <c r="J303" s="732">
        <f>+AM303</f>
        <v/>
      </c>
      <c r="K303" s="706">
        <f>+(D303+G303)-(H303+I303+J303)</f>
        <v/>
      </c>
      <c r="L303" s="253" t="n">
        <v>200</v>
      </c>
      <c r="M303" s="254" t="inlineStr">
        <is>
          <t>252216</t>
        </is>
      </c>
      <c r="N303" s="254" t="inlineStr">
        <is>
          <t>MEDICAL</t>
        </is>
      </c>
      <c r="O303" s="1183" t="inlineStr">
        <is>
          <t>30/08/2027</t>
        </is>
      </c>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73"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73" t="n"/>
      <c r="E305" s="994" t="n"/>
      <c r="F305" s="994" t="n"/>
      <c r="G305" s="973" t="n"/>
      <c r="H305" s="994" t="n"/>
      <c r="I305" s="994" t="n"/>
      <c r="J305" s="973" t="n"/>
      <c r="K305" s="973" t="n"/>
      <c r="L305" s="253" t="n"/>
      <c r="M305" s="254" t="n"/>
      <c r="N305" s="254" t="n"/>
      <c r="O305" s="1183" t="n"/>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73"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73"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73"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75" t="n"/>
      <c r="E309" s="998" t="n"/>
      <c r="F309" s="998" t="n"/>
      <c r="G309" s="975" t="n"/>
      <c r="H309" s="998" t="n"/>
      <c r="I309" s="998" t="n"/>
      <c r="J309" s="975" t="n"/>
      <c r="K309" s="1189">
        <f>K303=L309</f>
        <v/>
      </c>
      <c r="L309" s="491">
        <f>SUM(L303:L308)</f>
        <v/>
      </c>
      <c r="M309" s="1190" t="inlineStr">
        <is>
          <t xml:space="preserve">“Verdadero” indica que la cantidad por lote, coincide con el saldo que inicia al mes siguiente. "Falso" no coinicide. </t>
        </is>
      </c>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496">
        <f>ABRIL!K310</f>
        <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73"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73"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73"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73"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73"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75" t="n"/>
      <c r="E316" s="998" t="n"/>
      <c r="F316" s="998" t="n"/>
      <c r="G316" s="975" t="n"/>
      <c r="H316" s="998" t="n"/>
      <c r="I316" s="998" t="n"/>
      <c r="J316" s="975" t="n"/>
      <c r="K316" s="1189">
        <f>K310=L316</f>
        <v/>
      </c>
      <c r="L316" s="491">
        <f>SUM(L310:L315)</f>
        <v/>
      </c>
      <c r="M316" s="1190" t="inlineStr">
        <is>
          <t xml:space="preserve">“Verdadero” indica que la cantidad por lote, coincide con el saldo que inicia al mes siguiente. "Falso" no coinicide. </t>
        </is>
      </c>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496">
        <f>ABRIL!K317</f>
        <v/>
      </c>
      <c r="E317" s="731" t="n"/>
      <c r="F317" s="731" t="n"/>
      <c r="G317" s="730">
        <f>E317+F317</f>
        <v/>
      </c>
      <c r="H317" s="731" t="n">
        <v>2500</v>
      </c>
      <c r="I317" s="731" t="n"/>
      <c r="J317" s="732">
        <f>+AM317</f>
        <v/>
      </c>
      <c r="K317" s="706">
        <f>+(D317+G317)-(H317+I317+J317)</f>
        <v/>
      </c>
      <c r="L317" s="253" t="n">
        <v>67</v>
      </c>
      <c r="M317" s="254" t="inlineStr">
        <is>
          <t>AR13095</t>
        </is>
      </c>
      <c r="N317" s="254" t="inlineStr">
        <is>
          <t>NUBENCO</t>
        </is>
      </c>
      <c r="O317" s="1183" t="inlineStr">
        <is>
          <t>30/09/2026</t>
        </is>
      </c>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73" t="n"/>
      <c r="E318" s="994" t="n"/>
      <c r="F318" s="994" t="n"/>
      <c r="G318" s="973" t="n"/>
      <c r="H318" s="994" t="n"/>
      <c r="I318" s="994" t="n"/>
      <c r="J318" s="973" t="n"/>
      <c r="K318" s="973" t="n"/>
      <c r="L318" s="253" t="n">
        <v>20</v>
      </c>
      <c r="M318" s="254" t="inlineStr">
        <is>
          <t>AR13158</t>
        </is>
      </c>
      <c r="N318" s="254" t="inlineStr">
        <is>
          <t>NUBENCO</t>
        </is>
      </c>
      <c r="O318" s="1183" t="inlineStr">
        <is>
          <t>31/03/2027</t>
        </is>
      </c>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73" t="n"/>
      <c r="E319" s="994" t="n"/>
      <c r="F319" s="994" t="n"/>
      <c r="G319" s="973" t="n"/>
      <c r="H319" s="994" t="n"/>
      <c r="I319" s="994" t="n"/>
      <c r="J319" s="973" t="n"/>
      <c r="K319" s="973" t="n"/>
      <c r="L319" s="253">
        <f>30000-2200</f>
        <v/>
      </c>
      <c r="M319" s="254" t="inlineStr">
        <is>
          <t>2407226</t>
        </is>
      </c>
      <c r="N319" s="521" t="inlineStr">
        <is>
          <t>SANAVITA</t>
        </is>
      </c>
      <c r="O319" s="1269" t="n">
        <v>47328</v>
      </c>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73"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73"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73"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75" t="n"/>
      <c r="E323" s="998" t="n"/>
      <c r="F323" s="998" t="n"/>
      <c r="G323" s="975" t="n"/>
      <c r="H323" s="998" t="n"/>
      <c r="I323" s="998" t="n"/>
      <c r="J323" s="975" t="n"/>
      <c r="K323" s="1189">
        <f>K317=L323</f>
        <v/>
      </c>
      <c r="L323" s="491">
        <f>SUM(L317:L322)</f>
        <v/>
      </c>
      <c r="M323" s="1190" t="inlineStr">
        <is>
          <t xml:space="preserve">“Verdadero” indica que la cantidad por lote, coincide con el saldo que inicia al mes siguiente. "Falso" no coinicide. </t>
        </is>
      </c>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496">
        <f>ABRIL!K324</f>
        <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73"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73"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73"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73"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73"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75"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496">
        <f>ABRIL!K331</f>
        <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73"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73"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73"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73"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73"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75" t="n"/>
      <c r="E337" s="998" t="n"/>
      <c r="F337" s="998" t="n"/>
      <c r="G337" s="975" t="n"/>
      <c r="H337" s="998" t="n"/>
      <c r="I337" s="998" t="n"/>
      <c r="J337" s="975" t="n"/>
      <c r="K337" s="1189">
        <f>K331=L337</f>
        <v/>
      </c>
      <c r="L337" s="491">
        <f>SUM(L331:L336)</f>
        <v/>
      </c>
      <c r="M337" s="1190" t="inlineStr">
        <is>
          <t xml:space="preserve">“Verdadero” indica que la cantidad por lote, coincide con el saldo que inicia al mes siguiente. "Falso" no coinicide. </t>
        </is>
      </c>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496">
        <f>ABRIL!K338</f>
        <v/>
      </c>
      <c r="E338" s="731" t="n"/>
      <c r="F338" s="731" t="n"/>
      <c r="G338" s="730">
        <f>E338+F338</f>
        <v/>
      </c>
      <c r="H338" s="731" t="n">
        <v>17200</v>
      </c>
      <c r="I338" s="731" t="n"/>
      <c r="J338" s="732">
        <f>+AM338</f>
        <v/>
      </c>
      <c r="K338" s="706">
        <f>+(D338+G338)-(H338+I338+J338)</f>
        <v/>
      </c>
      <c r="L338" s="253" t="n">
        <v>21800</v>
      </c>
      <c r="M338" s="254" t="inlineStr">
        <is>
          <t>AR13133-8</t>
        </is>
      </c>
      <c r="N338" s="254" t="inlineStr">
        <is>
          <t>JIANGXI SANXIN MEDTEC</t>
        </is>
      </c>
      <c r="O338" s="1183" t="inlineStr">
        <is>
          <t>31/03/2027</t>
        </is>
      </c>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73" t="n"/>
      <c r="E339" s="994" t="n"/>
      <c r="F339" s="994" t="n"/>
      <c r="G339" s="973" t="n"/>
      <c r="H339" s="994" t="n"/>
      <c r="I339" s="994" t="n"/>
      <c r="J339" s="973" t="n"/>
      <c r="K339" s="973" t="n"/>
      <c r="L339" s="253" t="n"/>
      <c r="M339" s="254" t="n"/>
      <c r="N339" s="254" t="n"/>
      <c r="O339" s="1183" t="n"/>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73" t="n"/>
      <c r="E340" s="994" t="n"/>
      <c r="F340" s="994" t="n"/>
      <c r="G340" s="973" t="n"/>
      <c r="H340" s="994" t="n"/>
      <c r="I340" s="994" t="n"/>
      <c r="J340" s="973" t="n"/>
      <c r="K340" s="973" t="n"/>
      <c r="L340" s="253" t="n"/>
      <c r="M340" s="254" t="n"/>
      <c r="N340" s="254" t="n"/>
      <c r="O340" s="1183" t="n"/>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73"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73"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73"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75" t="n"/>
      <c r="E344" s="998" t="n"/>
      <c r="F344" s="998" t="n"/>
      <c r="G344" s="975" t="n"/>
      <c r="H344" s="998" t="n"/>
      <c r="I344" s="998" t="n"/>
      <c r="J344" s="975" t="n"/>
      <c r="K344" s="1189">
        <f>K338=L344</f>
        <v/>
      </c>
      <c r="L344" s="491">
        <f>SUM(L338:L343)</f>
        <v/>
      </c>
      <c r="M344" s="1190" t="inlineStr">
        <is>
          <t xml:space="preserve">“Verdadero” indica que la cantidad por lote, coincide con el saldo que inicia al mes siguiente. "Falso" no coinicide. </t>
        </is>
      </c>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496">
        <f>ABRIL!K345</f>
        <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73"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73"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73"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73"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73"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75" t="n"/>
      <c r="E351" s="998" t="n"/>
      <c r="F351" s="998" t="n"/>
      <c r="G351" s="975" t="n"/>
      <c r="H351" s="998" t="n"/>
      <c r="I351" s="998" t="n"/>
      <c r="J351" s="975" t="n"/>
      <c r="K351" s="1189">
        <f>K345=L351</f>
        <v/>
      </c>
      <c r="L351" s="491">
        <f>SUM(L345:L350)</f>
        <v/>
      </c>
      <c r="M351" s="1190" t="inlineStr">
        <is>
          <t xml:space="preserve">“Verdadero” indica que la cantidad por lote, coincide con el saldo que inicia al mes siguiente. "Falso" no coinicide. </t>
        </is>
      </c>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496">
        <f>ABRIL!K352</f>
        <v/>
      </c>
      <c r="E352" s="731" t="n"/>
      <c r="F352" s="731" t="n"/>
      <c r="G352" s="730">
        <f>E352+F352</f>
        <v/>
      </c>
      <c r="H352" s="731" t="n">
        <v>2900</v>
      </c>
      <c r="I352" s="731" t="n"/>
      <c r="J352" s="732">
        <f>AM352</f>
        <v/>
      </c>
      <c r="K352" s="706">
        <f>+(D352+G352)-(H352+I352+J352)</f>
        <v/>
      </c>
      <c r="L352" s="253">
        <f>12270-2900</f>
        <v/>
      </c>
      <c r="M352" s="254" t="inlineStr">
        <is>
          <t>20250903</t>
        </is>
      </c>
      <c r="N352" s="254" t="inlineStr">
        <is>
          <t>YIXIN China</t>
        </is>
      </c>
      <c r="O352" s="1183" t="inlineStr">
        <is>
          <t>02/09/2030</t>
        </is>
      </c>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73" t="n"/>
      <c r="E353" s="994" t="n"/>
      <c r="F353" s="994" t="n"/>
      <c r="G353" s="973" t="n"/>
      <c r="H353" s="994" t="n"/>
      <c r="I353" s="994" t="n"/>
      <c r="J353" s="973" t="n"/>
      <c r="K353" s="973" t="n"/>
      <c r="L353" s="253" t="n">
        <v>48</v>
      </c>
      <c r="M353" s="254" t="inlineStr">
        <is>
          <t>23FA1</t>
        </is>
      </c>
      <c r="N353" s="254" t="inlineStr">
        <is>
          <t>HAIOU</t>
        </is>
      </c>
      <c r="O353" s="1183" t="inlineStr">
        <is>
          <t>31/05/2028</t>
        </is>
      </c>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73" t="n"/>
      <c r="E354" s="994" t="n"/>
      <c r="F354" s="994" t="n"/>
      <c r="G354" s="973" t="n"/>
      <c r="H354" s="994" t="n"/>
      <c r="I354" s="994" t="n"/>
      <c r="J354" s="973" t="n"/>
      <c r="K354" s="973" t="n"/>
      <c r="L354" s="253" t="n"/>
      <c r="M354" s="254" t="n"/>
      <c r="N354" s="254" t="n"/>
      <c r="O354" s="1183" t="n"/>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73"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73"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73"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75" t="n"/>
      <c r="E358" s="998" t="n"/>
      <c r="F358" s="998" t="n"/>
      <c r="G358" s="975" t="n"/>
      <c r="H358" s="998" t="n"/>
      <c r="I358" s="998" t="n"/>
      <c r="J358" s="975" t="n"/>
      <c r="K358" s="1189">
        <f>K352=L358</f>
        <v/>
      </c>
      <c r="L358" s="491">
        <f>SUM(L352:L357)</f>
        <v/>
      </c>
      <c r="M358" s="1190" t="inlineStr">
        <is>
          <t xml:space="preserve">“Verdadero” indica que la cantidad por lote, coincide con el saldo que inicia al mes siguiente. "Falso" no coinicide. </t>
        </is>
      </c>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496">
        <f>ABRIL!K359</f>
        <v/>
      </c>
      <c r="E359" s="731" t="n"/>
      <c r="F359" s="731" t="n"/>
      <c r="G359" s="730">
        <f>E359+F359</f>
        <v/>
      </c>
      <c r="H359" s="731" t="n">
        <v>700</v>
      </c>
      <c r="I359" s="731" t="n"/>
      <c r="J359" s="732">
        <f>AM359</f>
        <v/>
      </c>
      <c r="K359" s="706">
        <f>+(D359+G359)-(H359+I359+J359)</f>
        <v/>
      </c>
      <c r="L359" s="253" t="n">
        <v>4490</v>
      </c>
      <c r="M359" s="254" t="inlineStr">
        <is>
          <t>622204</t>
        </is>
      </c>
      <c r="N359" s="254" t="inlineStr">
        <is>
          <t>MEDECO</t>
        </is>
      </c>
      <c r="O359" s="1183" t="inlineStr">
        <is>
          <t>28/02/2027</t>
        </is>
      </c>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73" t="n"/>
      <c r="E360" s="994" t="n"/>
      <c r="F360" s="994" t="n"/>
      <c r="G360" s="973" t="n"/>
      <c r="H360" s="994" t="n"/>
      <c r="I360" s="994" t="n"/>
      <c r="J360" s="973" t="n"/>
      <c r="K360" s="973" t="n"/>
      <c r="L360" s="253">
        <f>5500-700</f>
        <v/>
      </c>
      <c r="M360" s="254" t="inlineStr">
        <is>
          <t>662202</t>
        </is>
      </c>
      <c r="N360" s="254" t="inlineStr">
        <is>
          <t>MEDICAL</t>
        </is>
      </c>
      <c r="O360" s="1183" t="inlineStr">
        <is>
          <t>30/09/2027</t>
        </is>
      </c>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73" t="n"/>
      <c r="E361" s="994" t="n"/>
      <c r="F361" s="994" t="n"/>
      <c r="G361" s="973" t="n"/>
      <c r="H361" s="994" t="n"/>
      <c r="I361" s="994" t="n"/>
      <c r="J361" s="973" t="n"/>
      <c r="K361" s="973" t="n"/>
      <c r="L361" s="253" t="n">
        <v>870</v>
      </c>
      <c r="M361" s="254" t="inlineStr">
        <is>
          <t>662203</t>
        </is>
      </c>
      <c r="N361" s="254" t="inlineStr">
        <is>
          <t>MEDECO</t>
        </is>
      </c>
      <c r="O361" s="1183" t="inlineStr">
        <is>
          <t>30/09/2027</t>
        </is>
      </c>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73" t="n"/>
      <c r="E362" s="994" t="n"/>
      <c r="F362" s="994" t="n"/>
      <c r="G362" s="973" t="n"/>
      <c r="H362" s="994" t="n"/>
      <c r="I362" s="994" t="n"/>
      <c r="J362" s="973" t="n"/>
      <c r="K362" s="973" t="n"/>
      <c r="L362" s="253" t="n">
        <v>3000</v>
      </c>
      <c r="M362" s="254" t="inlineStr">
        <is>
          <t>712401</t>
        </is>
      </c>
      <c r="N362" s="254" t="inlineStr">
        <is>
          <t>MEDECO</t>
        </is>
      </c>
      <c r="O362" s="1183" t="inlineStr">
        <is>
          <t>30/03/2029</t>
        </is>
      </c>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73"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73"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75" t="n"/>
      <c r="E365" s="998" t="n"/>
      <c r="F365" s="998" t="n"/>
      <c r="G365" s="975" t="n"/>
      <c r="H365" s="998" t="n"/>
      <c r="I365" s="998" t="n"/>
      <c r="J365" s="975" t="n"/>
      <c r="K365" s="1189">
        <f>K359=L365</f>
        <v/>
      </c>
      <c r="L365" s="491">
        <f>SUM(L359:L364)</f>
        <v/>
      </c>
      <c r="M365" s="1190" t="inlineStr">
        <is>
          <t xml:space="preserve">“Verdadero” indica que la cantidad por lote, coincide con el saldo que inicia al mes siguiente. "Falso" no coinicide. </t>
        </is>
      </c>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496">
        <f>ABRIL!K366</f>
        <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73"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73"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73"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73"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73"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75"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496">
        <f>ABRIL!K373</f>
        <v/>
      </c>
      <c r="E373" s="731" t="n"/>
      <c r="F373" s="731" t="n"/>
      <c r="G373" s="730">
        <f>E373+F373</f>
        <v/>
      </c>
      <c r="H373" s="731" t="n">
        <v>1230</v>
      </c>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496">
        <f>ABRIL!K374</f>
        <v/>
      </c>
      <c r="E374" s="731" t="n"/>
      <c r="F374" s="731" t="n"/>
      <c r="G374" s="730">
        <f>E374+F374</f>
        <v/>
      </c>
      <c r="H374" s="731" t="n">
        <v>4950</v>
      </c>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496">
        <f>ABRIL!K375</f>
        <v/>
      </c>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496">
        <f>ABRIL!K376</f>
        <v/>
      </c>
      <c r="E376" s="731" t="n"/>
      <c r="F376" s="731" t="n"/>
      <c r="G376" s="730">
        <f>E376+F376</f>
        <v/>
      </c>
      <c r="H376" s="731" t="n">
        <v>645</v>
      </c>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496">
        <f>ABRIL!K377</f>
        <v/>
      </c>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496">
        <f>ABRIL!K378</f>
        <v/>
      </c>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496">
        <f>ABRIL!K379</f>
        <v/>
      </c>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623" t="inlineStr">
        <is>
          <t>ÍTEM</t>
        </is>
      </c>
      <c r="B381" s="719" t="inlineStr">
        <is>
          <t>VACUNA COVID-19</t>
        </is>
      </c>
      <c r="C381" s="965" t="n"/>
      <c r="D381" s="716" t="inlineStr">
        <is>
          <t>SALDO MES ANTERIOR</t>
        </is>
      </c>
      <c r="E381" s="1179" t="inlineStr">
        <is>
          <t>ENTRADA</t>
        </is>
      </c>
      <c r="F381" s="1180" t="n"/>
      <c r="G381" s="965" t="n"/>
      <c r="H381" s="715" t="inlineStr">
        <is>
          <t>SALIDAS</t>
        </is>
      </c>
      <c r="I381" s="968" t="n"/>
      <c r="J381" s="967" t="n"/>
      <c r="K381" s="623" t="inlineStr">
        <is>
          <t>SALDO QUE INICIA EL MES SIGUIENTE</t>
        </is>
      </c>
      <c r="L381" s="623" t="inlineStr">
        <is>
          <t>DOSIS POR LOTES</t>
        </is>
      </c>
      <c r="M381" s="623" t="inlineStr">
        <is>
          <t xml:space="preserve">No. LOTE </t>
        </is>
      </c>
      <c r="N381" s="623" t="inlineStr">
        <is>
          <t>LABORATORIO</t>
        </is>
      </c>
      <c r="O381" s="623" t="inlineStr">
        <is>
          <t>FECHA DE VENCIMIENTO</t>
        </is>
      </c>
      <c r="P381" s="623" t="inlineStr">
        <is>
          <t>SEMAFORIZACION VIDA  ÚTIL DEL BIOLÓGICO</t>
        </is>
      </c>
      <c r="Q381" s="623" t="inlineStr">
        <is>
          <t>CONDICIÓN FINAL DEL BIOLÓGICO, DILUYENTE Y CARNET</t>
        </is>
      </c>
      <c r="R381" s="613" t="inlineStr">
        <is>
          <t>DOSIS EN CUARENTENA</t>
        </is>
      </c>
      <c r="S381" s="613" t="inlineStr">
        <is>
          <t>LABORATORIO</t>
        </is>
      </c>
      <c r="T381" s="613" t="inlineStr">
        <is>
          <t>No. LOTE</t>
        </is>
      </c>
      <c r="U381" s="613" t="inlineStr">
        <is>
          <t>FECHA DE VENCIMEINTO</t>
        </is>
      </c>
      <c r="V381" s="613" t="inlineStr">
        <is>
          <t>FECHA DE INICIO CUARENTENA</t>
        </is>
      </c>
      <c r="W381" s="613" t="inlineStr">
        <is>
          <t>OBSERVACIONES</t>
        </is>
      </c>
      <c r="X381" s="250" t="n"/>
      <c r="Z381" s="1221" t="inlineStr">
        <is>
          <t>MOTIVOS DE NO USO DE VACUNAS CONTRA LA COVID-19
RESOLUCIÓN 0118 DEL 27 DE ENERO DE 2026
DISPONIBLE EN EL SIGUIENTE LINK: https://www.minsalud.gov.co/Normatividad_Nuevo/Resolucion%20No%20118%20de%202026.pdf</t>
        </is>
      </c>
      <c r="AA381" s="968" t="n"/>
      <c r="AB381" s="968" t="n"/>
      <c r="AC381" s="968" t="n"/>
      <c r="AD381" s="968" t="n"/>
      <c r="AE381" s="968" t="n"/>
      <c r="AF381" s="968" t="n"/>
      <c r="AG381" s="968" t="n"/>
      <c r="AH381" s="968" t="n"/>
      <c r="AI381" s="968" t="n"/>
      <c r="AJ381" s="968" t="n"/>
      <c r="AK381" s="968" t="n"/>
      <c r="AL381" s="967" t="n"/>
      <c r="AM381" s="532" t="inlineStr">
        <is>
          <t xml:space="preserve">TOTAL DOSIS PERDIDAS        </t>
        </is>
      </c>
      <c r="AN381" s="478" t="n"/>
      <c r="AO381" s="368" t="n"/>
      <c r="AU381" s="251" t="n"/>
      <c r="AV381" s="251" t="n"/>
    </row>
    <row r="382" ht="28.5" customHeight="1">
      <c r="A382" s="973" t="n"/>
      <c r="B382" s="971" t="n"/>
      <c r="C382" s="972" t="n"/>
      <c r="D382" s="973" t="n"/>
      <c r="E382" s="623" t="inlineStr">
        <is>
          <t>DOSIS RECIBIDAS DEL ALMACÉN CENTRAL DEL MSPS</t>
        </is>
      </c>
      <c r="F382" s="623" t="inlineStr">
        <is>
          <t>DOSIS RECIBIDAS X TRASLADO DEL CA DEPARTAMENTAL O DISTRITAL</t>
        </is>
      </c>
      <c r="G382" s="623" t="inlineStr">
        <is>
          <t>TOTAL ENTRADAS</t>
        </is>
      </c>
      <c r="H382" s="711" t="inlineStr">
        <is>
          <t>DOSIS DESPACHADAS A LOS MUNICIPIOS / DISTRITOS A IPS</t>
        </is>
      </c>
      <c r="I382" s="711" t="inlineStr">
        <is>
          <t>DOSIS TRASLADADAS A OTROS DEPARTAMENTOS O DISTRITOS</t>
        </is>
      </c>
      <c r="J382" s="716" t="inlineStr">
        <is>
          <t>DOSIS PERDIDAS</t>
        </is>
      </c>
      <c r="K382" s="973" t="n"/>
      <c r="L382" s="973" t="n"/>
      <c r="M382" s="973" t="n"/>
      <c r="N382" s="973" t="n"/>
      <c r="O382" s="973" t="n"/>
      <c r="P382" s="973" t="n"/>
      <c r="Q382" s="973" t="n"/>
      <c r="R382" s="973" t="n"/>
      <c r="S382" s="973" t="n"/>
      <c r="T382" s="973" t="n"/>
      <c r="U382" s="973" t="n"/>
      <c r="V382" s="973" t="n"/>
      <c r="W382" s="973" t="n"/>
      <c r="X382" s="250" t="n"/>
      <c r="Y382" s="252" t="n"/>
      <c r="Z382" s="533" t="n">
        <v>1</v>
      </c>
      <c r="AA382" s="967" t="n"/>
      <c r="AB382" s="533" t="n">
        <v>2</v>
      </c>
      <c r="AC382" s="533" t="n">
        <v>3</v>
      </c>
      <c r="AD382" s="533" t="n">
        <v>4</v>
      </c>
      <c r="AE382" s="533" t="n">
        <v>5</v>
      </c>
      <c r="AF382" s="533" t="n">
        <v>6</v>
      </c>
      <c r="AG382" s="533" t="n">
        <v>7</v>
      </c>
      <c r="AH382" s="533" t="n">
        <v>8</v>
      </c>
      <c r="AI382" s="533" t="n">
        <v>9</v>
      </c>
      <c r="AJ382" s="533" t="n">
        <v>10</v>
      </c>
      <c r="AK382" s="533" t="n">
        <v>11</v>
      </c>
      <c r="AL382" s="533" t="n">
        <v>12</v>
      </c>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inlineStr">
        <is>
          <t>POLÍTICA DE FRASCOS ABIERTO</t>
        </is>
      </c>
      <c r="AA383" s="967" t="n"/>
      <c r="AB383" s="1222" t="inlineStr">
        <is>
          <t>INTERRUPCIÓN DE LA CADENA DE FRÍO</t>
        </is>
      </c>
      <c r="AC383" s="537" t="inlineStr">
        <is>
          <t>CONTAMINACIÓN DEL BIOLÓGICO</t>
        </is>
      </c>
      <c r="AD383" s="1222" t="inlineStr">
        <is>
          <t>ERROR EN LA MANIPULACIÓN</t>
        </is>
      </c>
      <c r="AE383" s="537" t="inlineStr">
        <is>
          <t>ERROR EN LA RECONSTITUCIÓN/DILUCIÓN</t>
        </is>
      </c>
      <c r="AF383" s="1222" t="inlineStr">
        <is>
          <t>ERROR EN LA DOSIFICACIÓN</t>
        </is>
      </c>
      <c r="AG383" s="537" t="inlineStr">
        <is>
          <t>VACUNA QUE EXCEDE EL TIEMPO DE ALMACENAMIENTO EN REFRIGERACIÓN</t>
        </is>
      </c>
      <c r="AH383" s="1222" t="inlineStr">
        <is>
          <t>VENCIMIENTO DEL BIOLÓGICO</t>
        </is>
      </c>
      <c r="AI383" s="537" t="inlineStr">
        <is>
          <t>FRASCO VIAL ROTO</t>
        </is>
      </c>
      <c r="AJ383" s="1222" t="inlineStr">
        <is>
          <t>FALLAS DE FABRICACIÓN/CALIDAD</t>
        </is>
      </c>
      <c r="AK383" s="537" t="inlineStr">
        <is>
          <t>SINIESTRO / ACCIDENTE</t>
        </is>
      </c>
      <c r="AL383" s="1222" t="inlineStr">
        <is>
          <t>ROBO/HURTO BIOLÓGICO</t>
        </is>
      </c>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496">
        <f>ABRIL!K385</f>
        <v/>
      </c>
      <c r="E385" s="731" t="n">
        <v>1100</v>
      </c>
      <c r="F385" s="731" t="n"/>
      <c r="G385" s="730">
        <f>E385+F385</f>
        <v/>
      </c>
      <c r="H385" s="731" t="n">
        <v>110</v>
      </c>
      <c r="I385" s="731" t="n"/>
      <c r="J385" s="732">
        <f>AM385</f>
        <v/>
      </c>
      <c r="K385" s="706">
        <f>+(D385+G385)-(H385+I385+J385)</f>
        <v/>
      </c>
      <c r="L385" s="486" t="n">
        <v>990</v>
      </c>
      <c r="M385" s="487" t="inlineStr">
        <is>
          <t>3058112</t>
        </is>
      </c>
      <c r="N385" s="487" t="inlineStr">
        <is>
          <t>Moderna Biotech</t>
        </is>
      </c>
      <c r="O385" s="1223" t="n">
        <v>46326</v>
      </c>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73"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73"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73"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75" t="n"/>
      <c r="E389" s="998" t="n"/>
      <c r="F389" s="998" t="n"/>
      <c r="G389" s="975" t="n"/>
      <c r="H389" s="998" t="n"/>
      <c r="I389" s="998" t="n"/>
      <c r="J389" s="975" t="n"/>
      <c r="K389" s="1189">
        <f>K385=L389</f>
        <v/>
      </c>
      <c r="L389" s="491">
        <f>SUM(L385:L388)</f>
        <v/>
      </c>
      <c r="M389" s="1190" t="inlineStr">
        <is>
          <t xml:space="preserve">“Verdadero” indica que la cantidad por lote, coincide con el saldo que inicia al mes siguiente. "Falso" no coinicide. </t>
        </is>
      </c>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496">
        <f>ABRIL!K390</f>
        <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73"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73"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73"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75" t="n"/>
      <c r="E394" s="998" t="n"/>
      <c r="F394" s="998" t="n"/>
      <c r="G394" s="975" t="n"/>
      <c r="H394" s="998" t="n"/>
      <c r="I394" s="998" t="n"/>
      <c r="J394" s="975" t="n"/>
      <c r="K394" s="1189">
        <f>K390=L394</f>
        <v/>
      </c>
      <c r="L394" s="491">
        <f>SUM(L390:L393)</f>
        <v/>
      </c>
      <c r="M394" s="1190" t="inlineStr">
        <is>
          <t xml:space="preserve">“Verdadero” indica que la cantidad por lote, coincide con el saldo que inicia al mes siguiente. "Falso" no coinicide. </t>
        </is>
      </c>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496">
        <f>ABRIL!K395</f>
        <v/>
      </c>
      <c r="E395" s="731" t="n"/>
      <c r="F395" s="731" t="n"/>
      <c r="G395" s="730">
        <f>E395+F395</f>
        <v/>
      </c>
      <c r="H395" s="731" t="n">
        <v>96</v>
      </c>
      <c r="I395" s="731" t="n"/>
      <c r="J395" s="732">
        <f>AM395</f>
        <v/>
      </c>
      <c r="K395" s="706">
        <f>+(D395+G395)-(H395+I395+J395)</f>
        <v/>
      </c>
      <c r="L395" s="486" t="n">
        <v>1104</v>
      </c>
      <c r="M395" s="487" t="inlineStr">
        <is>
          <t>MT6633</t>
        </is>
      </c>
      <c r="N395" s="487" t="inlineStr">
        <is>
          <t>PFIZER</t>
        </is>
      </c>
      <c r="O395" s="1223" t="n">
        <v>46387</v>
      </c>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73"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73"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73"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75" t="n"/>
      <c r="E399" s="998" t="n"/>
      <c r="F399" s="998" t="n"/>
      <c r="G399" s="975" t="n"/>
      <c r="H399" s="998" t="n"/>
      <c r="I399" s="998" t="n"/>
      <c r="J399" s="975" t="n"/>
      <c r="K399" s="1189">
        <f>K395=L399</f>
        <v/>
      </c>
      <c r="L399" s="491">
        <f>SUM(L395:L398)</f>
        <v/>
      </c>
      <c r="M399" s="1190" t="inlineStr">
        <is>
          <t xml:space="preserve">“Verdadero” indica que la cantidad por lote, coincide con el saldo que inicia al mes siguiente. "Falso" no coinicide. </t>
        </is>
      </c>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496">
        <f>ABRIL!K400</f>
        <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73"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73"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73"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75" t="n"/>
      <c r="E404" s="998" t="n"/>
      <c r="F404" s="998" t="n"/>
      <c r="G404" s="975" t="n"/>
      <c r="H404" s="998" t="n"/>
      <c r="I404" s="998" t="n"/>
      <c r="J404" s="975" t="n"/>
      <c r="K404" s="1189">
        <f>K400=L404</f>
        <v/>
      </c>
      <c r="L404" s="491">
        <f>SUM(L400:L403)</f>
        <v/>
      </c>
      <c r="M404" s="1190" t="inlineStr">
        <is>
          <t xml:space="preserve">“Verdadero” indica que la cantidad por lote, coincide con el saldo que inicia al mes siguiente. "Falso" no coinicide. </t>
        </is>
      </c>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496">
        <f>ABRIL!K405</f>
        <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73"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73"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73"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75" t="n"/>
      <c r="E409" s="998" t="n"/>
      <c r="F409" s="998" t="n"/>
      <c r="G409" s="975" t="n"/>
      <c r="H409" s="998" t="n"/>
      <c r="I409" s="998" t="n"/>
      <c r="J409" s="975" t="n"/>
      <c r="K409" s="1189">
        <f>K405=L409</f>
        <v/>
      </c>
      <c r="L409" s="491">
        <f>SUM(L405:L408)</f>
        <v/>
      </c>
      <c r="M409" s="1190" t="inlineStr">
        <is>
          <t xml:space="preserve">“Verdadero” indica que la cantidad por lote, coincide con el saldo que inicia al mes siguiente. "Falso" no coinicide. </t>
        </is>
      </c>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1268" t="inlineStr">
        <is>
          <t>ÍTEM</t>
        </is>
      </c>
      <c r="B413" s="1268" t="inlineStr">
        <is>
          <t>INSUMOS</t>
        </is>
      </c>
      <c r="C413" s="965" t="n"/>
      <c r="D413" s="1231" t="inlineStr">
        <is>
          <t>SALDO MES ANTERIOR</t>
        </is>
      </c>
      <c r="E413" s="961" t="inlineStr">
        <is>
          <t>BIOLÓGICO RECIBIDO DEL CENTRO DE ACOPIO DEPARTAMENTAL / DISTRITAL</t>
        </is>
      </c>
      <c r="F413" s="1231" t="inlineStr">
        <is>
          <t>DOSIS APLICADAS</t>
        </is>
      </c>
      <c r="G413" s="967" t="n"/>
      <c r="H413" s="1232" t="inlineStr">
        <is>
          <t>TOTAL DOSIS APLICADAS</t>
        </is>
      </c>
      <c r="I413" s="961" t="inlineStr">
        <is>
          <t>DOSIS PERDIDAS</t>
        </is>
      </c>
      <c r="J413" s="1231" t="inlineStr">
        <is>
          <t>TOTAL DOSIS ÚTILIZADAS EN EL MES</t>
        </is>
      </c>
      <c r="K413" s="623" t="inlineStr">
        <is>
          <t>SALDO QUE INICIA EL MES SIGUIENTE (SOLO MUNICIPIOS)</t>
        </is>
      </c>
      <c r="L413" s="623" t="inlineStr">
        <is>
          <t>DOSIS POR LOTES</t>
        </is>
      </c>
      <c r="M413" s="623" t="inlineStr">
        <is>
          <t xml:space="preserve">No. LOTE </t>
        </is>
      </c>
      <c r="N413" s="1233" t="inlineStr">
        <is>
          <t>LABORATORIO</t>
        </is>
      </c>
      <c r="O413" s="623" t="inlineStr">
        <is>
          <t>FECHA DE VENCIMIENTO</t>
        </is>
      </c>
      <c r="P413" s="623" t="inlineStr">
        <is>
          <t>SEMAFORIZACION VIDA  ÚTIL DEL BIOLÓGICO</t>
        </is>
      </c>
      <c r="Q413" s="623" t="inlineStr">
        <is>
          <t>CONDICIÓN FINAL DEL BIOLÓGICO, DILUYENTE Y CARNET</t>
        </is>
      </c>
      <c r="R413" s="613" t="inlineStr">
        <is>
          <t>DOSIS EN CUARENTENA</t>
        </is>
      </c>
      <c r="S413" s="613" t="inlineStr">
        <is>
          <t>LABORATORIO</t>
        </is>
      </c>
      <c r="T413" s="613" t="inlineStr">
        <is>
          <t>No. LOTE</t>
        </is>
      </c>
      <c r="U413" s="613" t="inlineStr">
        <is>
          <t>FECHA DE VENCIMEINTO</t>
        </is>
      </c>
      <c r="V413" s="613" t="inlineStr">
        <is>
          <t>FECHA DE INICIO CUARENTENA</t>
        </is>
      </c>
      <c r="W413" s="961" t="inlineStr">
        <is>
          <t>PORCENTAJE DE PERDIDA DEL MES</t>
        </is>
      </c>
      <c r="X413" s="961" t="inlineStr">
        <is>
          <t>OBSERVACIONES</t>
        </is>
      </c>
      <c r="Y413" s="232" t="n"/>
      <c r="Z413" s="400" t="inlineStr">
        <is>
          <t>CAUSAS PERDIDA DE BIOLÓGICOS (Remítase a la primera hoja donde se especifica la clasificación de las perdidas)</t>
        </is>
      </c>
      <c r="AA413" s="400" t="n"/>
      <c r="AB413" s="400" t="n"/>
      <c r="AC413" s="400" t="n"/>
      <c r="AD413" s="400" t="n"/>
      <c r="AE413" s="400" t="n"/>
      <c r="AF413" s="400" t="n"/>
      <c r="AG413" s="400" t="n"/>
      <c r="AH413" s="400" t="n"/>
      <c r="AI413" s="400" t="n"/>
      <c r="AJ413" s="400" t="n"/>
      <c r="AK413" s="400" t="n"/>
      <c r="AL413" s="400" t="n"/>
      <c r="AM413" s="1181" t="inlineStr">
        <is>
          <t xml:space="preserve">TOTAL DOSIS PERDIDAS        </t>
        </is>
      </c>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inlineStr">
        <is>
          <t>POLÍTICA DE FRASCOS ABIERTO</t>
        </is>
      </c>
      <c r="AA415" s="968" t="n"/>
      <c r="AB415" s="967" t="n"/>
      <c r="AC415" s="330" t="inlineStr">
        <is>
          <t>INTERRUPCIÓN DE CADENA DE FRÍO</t>
        </is>
      </c>
      <c r="AD415" s="566" t="inlineStr">
        <is>
          <t>CONTAMINACION DEL BIOLÓGICO/DISPOSITIVO MÉDICO</t>
        </is>
      </c>
      <c r="AE415" s="533" t="inlineStr">
        <is>
          <t>VIAL ROTO</t>
        </is>
      </c>
      <c r="AF415" s="566" t="inlineStr">
        <is>
          <t>ERRORES EN LA MANIPULACIÓN</t>
        </is>
      </c>
      <c r="AG415" s="533" t="inlineStr">
        <is>
          <t>VENCIMIENTO DEL BIOLÓGICO O JERINGA</t>
        </is>
      </c>
      <c r="AH415" s="566" t="inlineStr">
        <is>
          <t>FARMACOVIGILANCIA / TECNOVIGILANCIA</t>
        </is>
      </c>
      <c r="AI415" s="533" t="inlineStr">
        <is>
          <t>VOMITO FRANCO</t>
        </is>
      </c>
      <c r="AJ415" s="533" t="inlineStr">
        <is>
          <t>APLICACIÓN FUERA DE LA EDAD</t>
        </is>
      </c>
      <c r="AK415" s="533" t="inlineStr">
        <is>
          <t>POR DECISIÓN FINAL DEL PACIENTE DE NO VACUNACIÓN</t>
        </is>
      </c>
      <c r="AL415" s="566" t="inlineStr">
        <is>
          <t>SINIESTRO O ROBO</t>
        </is>
      </c>
      <c r="AM415" s="973" t="n"/>
      <c r="AN415" s="333" t="n"/>
      <c r="AQ415" s="332" t="n"/>
      <c r="AR415" s="332" t="n"/>
      <c r="AS415" s="332" t="n"/>
      <c r="AT415" s="332" t="n"/>
      <c r="AU415" s="332" t="n"/>
      <c r="AV415" s="566" t="inlineStr">
        <is>
          <t>Dosis reportadas Plantilla Cero</t>
        </is>
      </c>
      <c r="AW415" s="566" t="inlineStr">
        <is>
          <t>Diferencia dosis aplicadas vs dosis reportadas plantilla cero</t>
        </is>
      </c>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inlineStr">
        <is>
          <t>INSTITUCIONAL</t>
        </is>
      </c>
      <c r="AA416" s="533" t="inlineStr">
        <is>
          <t>EXTRAMURAL</t>
        </is>
      </c>
      <c r="AB416" s="533" t="inlineStr">
        <is>
          <t>TOTAL</t>
        </is>
      </c>
      <c r="AC416" s="975" t="n"/>
      <c r="AD416" s="975" t="n"/>
      <c r="AE416" s="975" t="n"/>
      <c r="AF416" s="975" t="n"/>
      <c r="AG416" s="975" t="n"/>
      <c r="AH416" s="975" t="n"/>
      <c r="AI416" s="975" t="n"/>
      <c r="AJ416" s="975" t="n"/>
      <c r="AK416" s="975" t="n"/>
      <c r="AL416" s="975" t="n"/>
      <c r="AM416" s="975" t="n"/>
      <c r="AN416" s="333" t="n"/>
      <c r="AQ416" s="546" t="inlineStr">
        <is>
          <t>PORCENTAJE DE PERDIDA DEL MES
%</t>
        </is>
      </c>
      <c r="AR416" s="546" t="inlineStr">
        <is>
          <t>FACTOR DE PERDIDA DEL MES</t>
        </is>
      </c>
      <c r="AS416" s="420" t="inlineStr">
        <is>
          <t>% DE PERDIDA DEL MSPS</t>
        </is>
      </c>
      <c r="AT416" s="420" t="inlineStr">
        <is>
          <t>DOSIS POR VIAL</t>
        </is>
      </c>
      <c r="AU416" s="332" t="n"/>
      <c r="AV416" s="975" t="n"/>
      <c r="AW416" s="975" t="n"/>
    </row>
    <row r="417" ht="17.25" customHeight="1">
      <c r="A417" s="585" t="n">
        <v>1</v>
      </c>
      <c r="B417" s="640" t="inlineStr">
        <is>
          <t>Vacuna de BCG (Bacilo de Calmette y Guérin) Liofilizada</t>
        </is>
      </c>
      <c r="C417" s="965" t="n"/>
      <c r="D417" s="413">
        <f>ABRIL!K417</f>
        <v/>
      </c>
      <c r="E417" s="339">
        <f>H13</f>
        <v/>
      </c>
      <c r="F417" s="338" t="n">
        <v>662</v>
      </c>
      <c r="G417" s="338" t="n">
        <v>24</v>
      </c>
      <c r="H417" s="1235">
        <f>+F417+G417</f>
        <v/>
      </c>
      <c r="I417" s="340">
        <f>+AM417</f>
        <v/>
      </c>
      <c r="J417" s="341">
        <f>+H417+I417</f>
        <v/>
      </c>
      <c r="K417" s="583">
        <f>+(D417+E417)-(J417)</f>
        <v/>
      </c>
      <c r="L417" s="253" t="n">
        <v>1515</v>
      </c>
      <c r="M417" s="254" t="inlineStr">
        <is>
          <t>0374MA072</t>
        </is>
      </c>
      <c r="N417" s="254" t="inlineStr">
        <is>
          <t>Serum</t>
        </is>
      </c>
      <c r="O417" s="1183" t="inlineStr">
        <is>
          <t>31/12/2026</t>
        </is>
      </c>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v>818</v>
      </c>
      <c r="AA417" s="648" t="n">
        <v>386</v>
      </c>
      <c r="AB417" s="649">
        <f>+Z417+AA417</f>
        <v/>
      </c>
      <c r="AC417" s="648" t="n">
        <v>0</v>
      </c>
      <c r="AD417" s="648" t="n">
        <v>0</v>
      </c>
      <c r="AE417" s="648" t="n">
        <v>0</v>
      </c>
      <c r="AF417" s="648" t="n">
        <v>0</v>
      </c>
      <c r="AG417" s="648" t="n">
        <v>0</v>
      </c>
      <c r="AH417" s="648" t="n">
        <v>0</v>
      </c>
      <c r="AI417" s="648" t="n">
        <v>0</v>
      </c>
      <c r="AJ417" s="648" t="n">
        <v>0</v>
      </c>
      <c r="AK417" s="648" t="n">
        <v>0</v>
      </c>
      <c r="AL417" s="648" t="n">
        <v>0</v>
      </c>
      <c r="AM417" s="421">
        <f>SUM(AB417:AL421)</f>
        <v/>
      </c>
      <c r="AN417" s="726" t="n"/>
      <c r="AQ417" s="1238">
        <f>IFERROR(I417/J417*100,"0")</f>
        <v/>
      </c>
      <c r="AR417" s="343">
        <f>IFERROR(1/(1-(AQ417/100)),"0")</f>
        <v/>
      </c>
      <c r="AS417" s="1239" t="n">
        <v>75</v>
      </c>
      <c r="AT417" s="345" t="n">
        <v>20</v>
      </c>
      <c r="AU417" s="1240" t="n"/>
      <c r="AV417" s="1241" t="n"/>
      <c r="AW417" s="1242">
        <f>+H417-AV417</f>
        <v/>
      </c>
    </row>
    <row r="418" ht="17.25" customHeight="1">
      <c r="A418" s="973" t="n"/>
      <c r="B418" s="971" t="n"/>
      <c r="C418" s="972" t="n"/>
      <c r="D418" s="973" t="n"/>
      <c r="E418" s="973" t="n"/>
      <c r="F418" s="994" t="n"/>
      <c r="G418" s="994" t="n"/>
      <c r="H418" s="973" t="n"/>
      <c r="I418" s="973" t="n"/>
      <c r="J418" s="973" t="n"/>
      <c r="K418" s="973" t="n"/>
      <c r="L418" s="253" t="n">
        <v>890</v>
      </c>
      <c r="M418" s="254" t="inlineStr">
        <is>
          <t>0374MA071</t>
        </is>
      </c>
      <c r="N418" s="254" t="inlineStr">
        <is>
          <t>Serum</t>
        </is>
      </c>
      <c r="O418" s="1183" t="inlineStr">
        <is>
          <t>31/12/2026</t>
        </is>
      </c>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73" t="n"/>
      <c r="E419" s="973" t="n"/>
      <c r="F419" s="994" t="n"/>
      <c r="G419" s="994" t="n"/>
      <c r="H419" s="973" t="n"/>
      <c r="I419" s="973" t="n"/>
      <c r="J419" s="973" t="n"/>
      <c r="K419" s="973" t="n"/>
      <c r="L419" s="253" t="n">
        <v>10</v>
      </c>
      <c r="M419" s="254" t="inlineStr">
        <is>
          <t>0373MA117</t>
        </is>
      </c>
      <c r="N419" s="254" t="inlineStr">
        <is>
          <t>Serum</t>
        </is>
      </c>
      <c r="O419" s="1183" t="inlineStr">
        <is>
          <t>30/06/2026</t>
        </is>
      </c>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73" t="n"/>
      <c r="E420" s="973" t="n"/>
      <c r="F420" s="994" t="n"/>
      <c r="G420" s="994" t="n"/>
      <c r="H420" s="973" t="n"/>
      <c r="I420" s="973" t="n"/>
      <c r="J420" s="973" t="n"/>
      <c r="K420" s="973" t="n"/>
      <c r="L420" s="253" t="n"/>
      <c r="M420" s="254" t="n"/>
      <c r="N420" s="254" t="n"/>
      <c r="O420" s="1183" t="n"/>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73"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75" t="n"/>
      <c r="E422" s="975" t="n"/>
      <c r="F422" s="998" t="n"/>
      <c r="G422" s="998" t="n"/>
      <c r="H422" s="975" t="n"/>
      <c r="I422" s="975" t="n"/>
      <c r="J422" s="975" t="n"/>
      <c r="K422" s="1189">
        <f>K417=L422</f>
        <v/>
      </c>
      <c r="L422" s="491">
        <f>SUM(L417:L421)</f>
        <v/>
      </c>
      <c r="M422" s="1190" t="inlineStr">
        <is>
          <t xml:space="preserve">“Verdadero” indica que la cantidad por lote, coincide con el saldo que inicia al mes siguiente. "Falso" no coinicide. </t>
        </is>
      </c>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413">
        <f>ABRIL!K423</f>
        <v/>
      </c>
      <c r="E423" s="339">
        <f>H19</f>
        <v/>
      </c>
      <c r="F423" s="338" t="n">
        <v>687</v>
      </c>
      <c r="G423" s="338" t="n">
        <v>25</v>
      </c>
      <c r="H423" s="1235">
        <f>+F423+G423</f>
        <v/>
      </c>
      <c r="I423" s="340">
        <f>+AM423</f>
        <v/>
      </c>
      <c r="J423" s="341">
        <f>+H423+I423</f>
        <v/>
      </c>
      <c r="K423" s="583">
        <f>+(D423+E423)-(J423)</f>
        <v/>
      </c>
      <c r="L423" s="253" t="n">
        <v>525</v>
      </c>
      <c r="M423" s="254" t="inlineStr">
        <is>
          <t>0325Q010B</t>
        </is>
      </c>
      <c r="N423" s="254" t="inlineStr">
        <is>
          <t>Serum</t>
        </is>
      </c>
      <c r="O423" s="1183" t="inlineStr">
        <is>
          <t>31/03/2028</t>
        </is>
      </c>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v>0</v>
      </c>
      <c r="AA423" s="648" t="n">
        <v>0</v>
      </c>
      <c r="AB423" s="649">
        <f>+Z423+AA423</f>
        <v/>
      </c>
      <c r="AC423" s="648" t="n">
        <v>0</v>
      </c>
      <c r="AD423" s="648" t="n">
        <v>0</v>
      </c>
      <c r="AE423" s="648" t="n">
        <v>0</v>
      </c>
      <c r="AF423" s="648" t="n">
        <v>0</v>
      </c>
      <c r="AG423" s="648" t="n">
        <v>13</v>
      </c>
      <c r="AH423" s="648" t="n">
        <v>0</v>
      </c>
      <c r="AI423" s="648" t="n">
        <v>0</v>
      </c>
      <c r="AJ423" s="648" t="n">
        <v>0</v>
      </c>
      <c r="AK423" s="648" t="n">
        <v>0</v>
      </c>
      <c r="AL423" s="648" t="n">
        <v>0</v>
      </c>
      <c r="AM423" s="421">
        <f>SUM(AB423:AL427)</f>
        <v/>
      </c>
      <c r="AN423" s="726" t="n"/>
      <c r="AQ423" s="1238">
        <f>IFERROR(I423/J423*100,"0")</f>
        <v/>
      </c>
      <c r="AR423" s="343">
        <f>IFERROR(1/(1-(AQ423/100)),"0")</f>
        <v/>
      </c>
      <c r="AS423" s="1239" t="n">
        <v>0</v>
      </c>
      <c r="AT423" s="345" t="n">
        <v>1</v>
      </c>
      <c r="AU423" s="1240" t="n"/>
      <c r="AV423" s="1241" t="n"/>
      <c r="AW423" s="1242">
        <f>+H423-AV423</f>
        <v/>
      </c>
    </row>
    <row r="424" ht="17.25" customHeight="1">
      <c r="A424" s="973" t="n"/>
      <c r="B424" s="971" t="n"/>
      <c r="C424" s="972" t="n"/>
      <c r="D424" s="973" t="n"/>
      <c r="E424" s="973" t="n"/>
      <c r="F424" s="994" t="n"/>
      <c r="G424" s="994" t="n"/>
      <c r="H424" s="973" t="n"/>
      <c r="I424" s="973" t="n"/>
      <c r="J424" s="973" t="n"/>
      <c r="K424" s="973" t="n"/>
      <c r="L424" s="253" t="n">
        <v>281</v>
      </c>
      <c r="M424" s="254" t="inlineStr">
        <is>
          <t>0324L013B</t>
        </is>
      </c>
      <c r="N424" s="254" t="inlineStr">
        <is>
          <t>Serum</t>
        </is>
      </c>
      <c r="O424" s="1183" t="inlineStr">
        <is>
          <t>30/11/2027</t>
        </is>
      </c>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73" t="n"/>
      <c r="E425" s="973" t="n"/>
      <c r="F425" s="994" t="n"/>
      <c r="G425" s="994" t="n"/>
      <c r="H425" s="973" t="n"/>
      <c r="I425" s="973" t="n"/>
      <c r="J425" s="973" t="n"/>
      <c r="K425" s="973" t="n"/>
      <c r="L425" s="253" t="n">
        <v>117</v>
      </c>
      <c r="M425" s="254" t="inlineStr">
        <is>
          <t>0324L013A</t>
        </is>
      </c>
      <c r="N425" s="254" t="inlineStr">
        <is>
          <t>Serum</t>
        </is>
      </c>
      <c r="O425" s="1183" t="inlineStr">
        <is>
          <t>30/11/2027</t>
        </is>
      </c>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73" t="n"/>
      <c r="E426" s="973" t="n"/>
      <c r="F426" s="994" t="n"/>
      <c r="G426" s="994" t="n"/>
      <c r="H426" s="973" t="n"/>
      <c r="I426" s="973" t="n"/>
      <c r="J426" s="973" t="n"/>
      <c r="K426" s="973" t="n"/>
      <c r="L426" s="253" t="n">
        <v>5</v>
      </c>
      <c r="M426" s="254" t="inlineStr">
        <is>
          <t>0324Q002D</t>
        </is>
      </c>
      <c r="N426" s="254" t="inlineStr">
        <is>
          <t>Serum</t>
        </is>
      </c>
      <c r="O426" s="1183" t="inlineStr">
        <is>
          <t>31/05/2027</t>
        </is>
      </c>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73" t="n"/>
      <c r="E427" s="973" t="n"/>
      <c r="F427" s="994" t="n"/>
      <c r="G427" s="994" t="n"/>
      <c r="H427" s="973" t="n"/>
      <c r="I427" s="973" t="n"/>
      <c r="J427" s="973" t="n"/>
      <c r="K427" s="975" t="n"/>
      <c r="L427" s="253" t="n"/>
      <c r="M427" s="254" t="n"/>
      <c r="N427" s="254" t="n"/>
      <c r="O427" s="1183" t="n"/>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75" t="n"/>
      <c r="E428" s="975" t="n"/>
      <c r="F428" s="998" t="n"/>
      <c r="G428" s="998" t="n"/>
      <c r="H428" s="975" t="n"/>
      <c r="I428" s="975" t="n"/>
      <c r="J428" s="975" t="n"/>
      <c r="K428" s="1189">
        <f>K423=L428</f>
        <v/>
      </c>
      <c r="L428" s="491">
        <f>SUM(L423:L427)</f>
        <v/>
      </c>
      <c r="M428" s="1190" t="inlineStr">
        <is>
          <t xml:space="preserve">“Verdadero” indica que la cantidad por lote, coincide con el saldo que inicia al mes siguiente. "Falso" no coinicide. </t>
        </is>
      </c>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413">
        <f>ABRIL!K429</f>
        <v/>
      </c>
      <c r="E429" s="339">
        <f>H25</f>
        <v/>
      </c>
      <c r="F429" s="338" t="n">
        <v>78</v>
      </c>
      <c r="G429" s="338" t="n">
        <v>0</v>
      </c>
      <c r="H429" s="1235">
        <f>+F429+G429</f>
        <v/>
      </c>
      <c r="I429" s="340">
        <f>+AM429</f>
        <v/>
      </c>
      <c r="J429" s="341">
        <f>+H429+I429</f>
        <v/>
      </c>
      <c r="K429" s="583">
        <f>+(D429+E429)-(J429)</f>
        <v/>
      </c>
      <c r="L429" s="253" t="n">
        <v>147</v>
      </c>
      <c r="M429" s="254" t="inlineStr">
        <is>
          <t>0344X002C</t>
        </is>
      </c>
      <c r="N429" s="254" t="inlineStr">
        <is>
          <t>Serum</t>
        </is>
      </c>
      <c r="O429" s="1183" t="inlineStr">
        <is>
          <t>30/06/2027</t>
        </is>
      </c>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v>0</v>
      </c>
      <c r="AA429" s="648" t="n">
        <v>0</v>
      </c>
      <c r="AB429" s="649">
        <f>+Z429+AA429</f>
        <v/>
      </c>
      <c r="AC429" s="648" t="n">
        <v>0</v>
      </c>
      <c r="AD429" s="648" t="n">
        <v>0</v>
      </c>
      <c r="AE429" s="648" t="n">
        <v>0</v>
      </c>
      <c r="AF429" s="648" t="n">
        <v>0</v>
      </c>
      <c r="AG429" s="648" t="n">
        <v>1</v>
      </c>
      <c r="AH429" s="648" t="n">
        <v>0</v>
      </c>
      <c r="AI429" s="648" t="n">
        <v>0</v>
      </c>
      <c r="AJ429" s="648" t="n">
        <v>0</v>
      </c>
      <c r="AK429" s="648" t="n">
        <v>0</v>
      </c>
      <c r="AL429" s="648" t="n">
        <v>0</v>
      </c>
      <c r="AM429" s="421">
        <f>SUM(AB429:AL433)</f>
        <v/>
      </c>
      <c r="AN429" s="726" t="n"/>
      <c r="AQ429" s="1238">
        <f>IFERROR(I429/J429*100,"0")</f>
        <v/>
      </c>
      <c r="AR429" s="343">
        <f>IFERROR(1/(1-(AQ429/100)),"0")</f>
        <v/>
      </c>
      <c r="AS429" s="1239" t="n">
        <v>0</v>
      </c>
      <c r="AT429" s="345" t="n">
        <v>1</v>
      </c>
      <c r="AU429" s="1240" t="n"/>
      <c r="AV429" s="1241" t="n"/>
      <c r="AW429" s="1242">
        <f>+H429-AV429</f>
        <v/>
      </c>
    </row>
    <row r="430" ht="17.25" customHeight="1">
      <c r="A430" s="973" t="n"/>
      <c r="B430" s="971" t="n"/>
      <c r="C430" s="972" t="n"/>
      <c r="D430" s="973" t="n"/>
      <c r="E430" s="973" t="n"/>
      <c r="F430" s="994" t="n"/>
      <c r="G430" s="994" t="n"/>
      <c r="H430" s="973" t="n"/>
      <c r="I430" s="973" t="n"/>
      <c r="J430" s="973" t="n"/>
      <c r="K430" s="973" t="n"/>
      <c r="L430" s="253" t="n">
        <v>24</v>
      </c>
      <c r="M430" s="254" t="inlineStr">
        <is>
          <t>0343Q010C</t>
        </is>
      </c>
      <c r="N430" s="254" t="inlineStr">
        <is>
          <t>Serum</t>
        </is>
      </c>
      <c r="O430" s="1183" t="inlineStr">
        <is>
          <t>31/07/2026</t>
        </is>
      </c>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73" t="n"/>
      <c r="E431" s="973" t="n"/>
      <c r="F431" s="994" t="n"/>
      <c r="G431" s="994" t="n"/>
      <c r="H431" s="973" t="n"/>
      <c r="I431" s="973" t="n"/>
      <c r="J431" s="973" t="n"/>
      <c r="K431" s="973" t="n"/>
      <c r="L431" s="253" t="n"/>
      <c r="M431" s="254" t="n"/>
      <c r="N431" s="254" t="n"/>
      <c r="O431" s="1183" t="n"/>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73" t="n"/>
      <c r="E432" s="973" t="n"/>
      <c r="F432" s="994" t="n"/>
      <c r="G432" s="994" t="n"/>
      <c r="H432" s="973" t="n"/>
      <c r="I432" s="973" t="n"/>
      <c r="J432" s="973" t="n"/>
      <c r="K432" s="973" t="n"/>
      <c r="L432" s="253" t="n"/>
      <c r="M432" s="254" t="n"/>
      <c r="N432" s="254" t="n"/>
      <c r="O432" s="1183" t="n"/>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73"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75" t="n"/>
      <c r="E434" s="975" t="n"/>
      <c r="F434" s="998" t="n"/>
      <c r="G434" s="998" t="n"/>
      <c r="H434" s="975" t="n"/>
      <c r="I434" s="975" t="n"/>
      <c r="J434" s="975" t="n"/>
      <c r="K434" s="1189">
        <f>K429=L434</f>
        <v/>
      </c>
      <c r="L434" s="491">
        <f>SUM(L429:L433)</f>
        <v/>
      </c>
      <c r="M434" s="1190" t="inlineStr">
        <is>
          <t xml:space="preserve">“Verdadero” indica que la cantidad por lote, coincide con el saldo que inicia al mes siguiente. "Falso" no coinicide. </t>
        </is>
      </c>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413">
        <f>ABRIL!K435</f>
        <v/>
      </c>
      <c r="E435" s="339">
        <f>H31</f>
        <v/>
      </c>
      <c r="F435" s="338" t="n">
        <v>2818</v>
      </c>
      <c r="G435" s="338" t="n">
        <v>39</v>
      </c>
      <c r="H435" s="1235">
        <f>+F435+G435</f>
        <v/>
      </c>
      <c r="I435" s="340">
        <f>+AM435</f>
        <v/>
      </c>
      <c r="J435" s="341">
        <f>+H435+I435</f>
        <v/>
      </c>
      <c r="K435" s="583">
        <f>+(D435+E435)-(J435)</f>
        <v/>
      </c>
      <c r="L435" s="253" t="n">
        <v>1506</v>
      </c>
      <c r="M435" s="254" t="inlineStr">
        <is>
          <t>2522006A</t>
        </is>
      </c>
      <c r="N435" s="254" t="inlineStr">
        <is>
          <t>Bilthoven Biologicals BV</t>
        </is>
      </c>
      <c r="O435" s="1183" t="inlineStr">
        <is>
          <t>25/02/2028</t>
        </is>
      </c>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v>8</v>
      </c>
      <c r="AA435" s="648" t="n">
        <v>83</v>
      </c>
      <c r="AB435" s="649">
        <f>+Z435+AA435</f>
        <v/>
      </c>
      <c r="AC435" s="648" t="n">
        <v>0</v>
      </c>
      <c r="AD435" s="648" t="n">
        <v>0</v>
      </c>
      <c r="AE435" s="648" t="n">
        <v>0</v>
      </c>
      <c r="AF435" s="648" t="n">
        <v>0</v>
      </c>
      <c r="AG435" s="648" t="n">
        <v>0</v>
      </c>
      <c r="AH435" s="648" t="n">
        <v>0</v>
      </c>
      <c r="AI435" s="648" t="n">
        <v>0</v>
      </c>
      <c r="AJ435" s="648" t="n">
        <v>0</v>
      </c>
      <c r="AK435" s="648" t="n">
        <v>0</v>
      </c>
      <c r="AL435" s="648" t="n">
        <v>0</v>
      </c>
      <c r="AM435" s="421">
        <f>SUM(AB435:AL439)</f>
        <v/>
      </c>
      <c r="AN435" s="726" t="n"/>
      <c r="AQ435" s="1238">
        <f>IFERROR(I435/J435*100,"0")</f>
        <v/>
      </c>
      <c r="AR435" s="343">
        <f>IFERROR(1/(1-(AQ435/100)),"0")</f>
        <v/>
      </c>
      <c r="AS435" s="1239" t="n">
        <v>15</v>
      </c>
      <c r="AT435" s="345" t="n">
        <v>5</v>
      </c>
      <c r="AU435" s="1240" t="n"/>
      <c r="AV435" s="1241" t="n"/>
      <c r="AW435" s="1242">
        <f>+H435-AV435</f>
        <v/>
      </c>
    </row>
    <row r="436" ht="17.25" customHeight="1">
      <c r="A436" s="973" t="n"/>
      <c r="B436" s="971" t="n"/>
      <c r="C436" s="972" t="n"/>
      <c r="D436" s="973" t="n"/>
      <c r="E436" s="973" t="n"/>
      <c r="F436" s="994" t="n"/>
      <c r="G436" s="994" t="n"/>
      <c r="H436" s="973" t="n"/>
      <c r="I436" s="973" t="n"/>
      <c r="J436" s="973" t="n"/>
      <c r="K436" s="973" t="n"/>
      <c r="L436" s="253" t="n">
        <v>580</v>
      </c>
      <c r="M436" s="254" t="inlineStr">
        <is>
          <t>2526003A</t>
        </is>
      </c>
      <c r="N436" s="254" t="inlineStr">
        <is>
          <t>Bilthoven Biologicals BV</t>
        </is>
      </c>
      <c r="O436" s="1183" t="inlineStr">
        <is>
          <t>12/06/2028</t>
        </is>
      </c>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73" t="n"/>
      <c r="E437" s="973" t="n"/>
      <c r="F437" s="994" t="n"/>
      <c r="G437" s="994" t="n"/>
      <c r="H437" s="973" t="n"/>
      <c r="I437" s="973" t="n"/>
      <c r="J437" s="973" t="n"/>
      <c r="K437" s="973" t="n"/>
      <c r="L437" s="253" t="n">
        <v>62</v>
      </c>
      <c r="M437" s="254" t="inlineStr">
        <is>
          <t>2435007A</t>
        </is>
      </c>
      <c r="N437" s="254" t="inlineStr">
        <is>
          <t>Bilthoven Biologicals BV</t>
        </is>
      </c>
      <c r="O437" s="1183" t="inlineStr">
        <is>
          <t>14/05/2027</t>
        </is>
      </c>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73" t="n"/>
      <c r="E438" s="973" t="n"/>
      <c r="F438" s="994" t="n"/>
      <c r="G438" s="994" t="n"/>
      <c r="H438" s="973" t="n"/>
      <c r="I438" s="973" t="n"/>
      <c r="J438" s="973" t="n"/>
      <c r="K438" s="973" t="n"/>
      <c r="L438" s="253" t="n">
        <v>29</v>
      </c>
      <c r="M438" s="254" t="inlineStr">
        <is>
          <t>2413007A</t>
        </is>
      </c>
      <c r="N438" s="254" t="inlineStr">
        <is>
          <t>Bilthoven Biologicals BV</t>
        </is>
      </c>
      <c r="O438" s="1183" t="inlineStr">
        <is>
          <t>30/01/2027</t>
        </is>
      </c>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73" t="n"/>
      <c r="E439" s="973" t="n"/>
      <c r="F439" s="994" t="n"/>
      <c r="G439" s="994" t="n"/>
      <c r="H439" s="973" t="n"/>
      <c r="I439" s="973" t="n"/>
      <c r="J439" s="973" t="n"/>
      <c r="K439" s="975" t="n"/>
      <c r="L439" s="253" t="n"/>
      <c r="M439" s="254" t="n"/>
      <c r="N439" s="254" t="n"/>
      <c r="O439" s="1183" t="n"/>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75" t="n"/>
      <c r="E440" s="975" t="n"/>
      <c r="F440" s="998" t="n"/>
      <c r="G440" s="998" t="n"/>
      <c r="H440" s="975" t="n"/>
      <c r="I440" s="975" t="n"/>
      <c r="J440" s="975" t="n"/>
      <c r="K440" s="1189">
        <f>K435=L440</f>
        <v/>
      </c>
      <c r="L440" s="491">
        <f>SUM(L435:L439)</f>
        <v/>
      </c>
      <c r="M440" s="1190" t="inlineStr">
        <is>
          <t xml:space="preserve">“Verdadero” indica que la cantidad por lote, coincide con el saldo que inicia al mes siguiente. "Falso" no coinicide. </t>
        </is>
      </c>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413">
        <f>ABRIL!K441</f>
        <v/>
      </c>
      <c r="E441" s="339">
        <f>H37</f>
        <v/>
      </c>
      <c r="F441" s="338" t="n">
        <v>2051</v>
      </c>
      <c r="G441" s="338" t="n">
        <v>16</v>
      </c>
      <c r="H441" s="1235">
        <f>+F441+G441</f>
        <v/>
      </c>
      <c r="I441" s="340">
        <f>+AM441</f>
        <v/>
      </c>
      <c r="J441" s="341">
        <f>+H441+I441</f>
        <v/>
      </c>
      <c r="K441" s="583">
        <f>+(D441+E441)-(J441)</f>
        <v/>
      </c>
      <c r="L441" s="253" t="n">
        <v>1929</v>
      </c>
      <c r="M441" s="254" t="inlineStr">
        <is>
          <t>2855X002C</t>
        </is>
      </c>
      <c r="N441" s="254" t="inlineStr">
        <is>
          <t>Serum</t>
        </is>
      </c>
      <c r="O441" s="1183" t="inlineStr">
        <is>
          <t>30/06/2027</t>
        </is>
      </c>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v>0</v>
      </c>
      <c r="AA441" s="648" t="n">
        <v>0</v>
      </c>
      <c r="AB441" s="649">
        <f>+Z441+AA441</f>
        <v/>
      </c>
      <c r="AC441" s="648" t="n">
        <v>0</v>
      </c>
      <c r="AD441" s="648" t="n">
        <v>0</v>
      </c>
      <c r="AE441" s="648" t="n">
        <v>0</v>
      </c>
      <c r="AF441" s="648" t="n">
        <v>0</v>
      </c>
      <c r="AG441" s="648" t="n">
        <v>0</v>
      </c>
      <c r="AH441" s="648" t="n">
        <v>0</v>
      </c>
      <c r="AI441" s="648" t="n">
        <v>0</v>
      </c>
      <c r="AJ441" s="648" t="n">
        <v>0</v>
      </c>
      <c r="AK441" s="648" t="n">
        <v>0</v>
      </c>
      <c r="AL441" s="648" t="n">
        <v>0</v>
      </c>
      <c r="AM441" s="421">
        <f>SUM(AB441:AL445)</f>
        <v/>
      </c>
      <c r="AN441" s="726" t="n"/>
      <c r="AQ441" s="1238">
        <f>IFERROR(I441/J441*100,"0")</f>
        <v/>
      </c>
      <c r="AR441" s="343">
        <f>IFERROR(1/(1-(AQ441/100)),"0")</f>
        <v/>
      </c>
      <c r="AS441" s="1239" t="n">
        <v>0</v>
      </c>
      <c r="AT441" s="345" t="n">
        <v>1</v>
      </c>
      <c r="AU441" s="1240" t="n"/>
      <c r="AV441" s="1241" t="n"/>
      <c r="AW441" s="1242">
        <f>+H441-AV441</f>
        <v/>
      </c>
    </row>
    <row r="442" ht="17.25" customHeight="1">
      <c r="A442" s="973" t="n"/>
      <c r="B442" s="971" t="n"/>
      <c r="C442" s="972" t="n"/>
      <c r="D442" s="973" t="n"/>
      <c r="E442" s="973" t="n"/>
      <c r="F442" s="994" t="n"/>
      <c r="G442" s="994" t="n"/>
      <c r="H442" s="973" t="n"/>
      <c r="I442" s="973" t="n"/>
      <c r="J442" s="973" t="n"/>
      <c r="K442" s="973" t="n"/>
      <c r="L442" s="253" t="n">
        <v>252</v>
      </c>
      <c r="M442" s="254" t="inlineStr">
        <is>
          <t>2855X001A</t>
        </is>
      </c>
      <c r="N442" s="254" t="inlineStr">
        <is>
          <t>Serum</t>
        </is>
      </c>
      <c r="O442" s="1183" t="inlineStr">
        <is>
          <t>30/06/2027</t>
        </is>
      </c>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73" t="n"/>
      <c r="E443" s="973" t="n"/>
      <c r="F443" s="994" t="n"/>
      <c r="G443" s="994" t="n"/>
      <c r="H443" s="973" t="n"/>
      <c r="I443" s="973" t="n"/>
      <c r="J443" s="973" t="n"/>
      <c r="K443" s="973" t="n"/>
      <c r="L443" s="253" t="n">
        <v>79</v>
      </c>
      <c r="M443" s="254" t="n"/>
      <c r="N443" s="254" t="n"/>
      <c r="O443" s="1183" t="n"/>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73" t="n"/>
      <c r="E444" s="973" t="n"/>
      <c r="F444" s="994" t="n"/>
      <c r="G444" s="994" t="n"/>
      <c r="H444" s="973" t="n"/>
      <c r="I444" s="973" t="n"/>
      <c r="J444" s="973" t="n"/>
      <c r="K444" s="973" t="n"/>
      <c r="L444" s="253" t="n"/>
      <c r="M444" s="254" t="n"/>
      <c r="N444" s="254" t="n"/>
      <c r="O444" s="1183" t="n"/>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73"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75" t="n"/>
      <c r="E446" s="975" t="n"/>
      <c r="F446" s="998" t="n"/>
      <c r="G446" s="998" t="n"/>
      <c r="H446" s="975" t="n"/>
      <c r="I446" s="975" t="n"/>
      <c r="J446" s="975" t="n"/>
      <c r="K446" s="1189">
        <f>K441=L446</f>
        <v/>
      </c>
      <c r="L446" s="491">
        <f>SUM(L441:L445)</f>
        <v/>
      </c>
      <c r="M446" s="1190" t="inlineStr">
        <is>
          <t xml:space="preserve">“Verdadero” indica que la cantidad por lote, coincide con el saldo que inicia al mes siguiente. "Falso" no coinicide. </t>
        </is>
      </c>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413">
        <f>ABRIL!K447</f>
        <v/>
      </c>
      <c r="E447" s="339">
        <f>H43</f>
        <v/>
      </c>
      <c r="F447" s="338" t="n">
        <v>25</v>
      </c>
      <c r="G447" s="338" t="n">
        <v>4</v>
      </c>
      <c r="H447" s="1235">
        <f>+F447+G447</f>
        <v/>
      </c>
      <c r="I447" s="340">
        <f>+AM447</f>
        <v/>
      </c>
      <c r="J447" s="341">
        <f>+H447+I447</f>
        <v/>
      </c>
      <c r="K447" s="583">
        <f>+(D447+E447)-(J447)</f>
        <v/>
      </c>
      <c r="L447" s="253" t="n"/>
      <c r="M447" s="254" t="n"/>
      <c r="N447" s="254" t="n"/>
      <c r="O447" s="1183" t="n"/>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v>0</v>
      </c>
      <c r="AA447" s="648" t="n">
        <v>0</v>
      </c>
      <c r="AB447" s="649">
        <f>+Z447+AA447</f>
        <v/>
      </c>
      <c r="AC447" s="648" t="n">
        <v>0</v>
      </c>
      <c r="AD447" s="648" t="n">
        <v>0</v>
      </c>
      <c r="AE447" s="648" t="n">
        <v>0</v>
      </c>
      <c r="AF447" s="648" t="n">
        <v>0</v>
      </c>
      <c r="AG447" s="648" t="n">
        <v>0</v>
      </c>
      <c r="AH447" s="648" t="n">
        <v>0</v>
      </c>
      <c r="AI447" s="648" t="n">
        <v>0</v>
      </c>
      <c r="AJ447" s="648" t="n">
        <v>0</v>
      </c>
      <c r="AK447" s="648" t="n">
        <v>0</v>
      </c>
      <c r="AL447" s="648" t="n">
        <v>0</v>
      </c>
      <c r="AM447" s="421">
        <f>SUM(AB447:AL451)</f>
        <v/>
      </c>
      <c r="AN447" s="726" t="n"/>
      <c r="AQ447" s="1238">
        <f>IFERROR(I447/J447*100,"0")</f>
        <v/>
      </c>
      <c r="AR447" s="343">
        <f>IFERROR(1/(1-(AQ447/100)),"0")</f>
        <v/>
      </c>
      <c r="AS447" s="1239" t="n">
        <v>0</v>
      </c>
      <c r="AT447" s="345" t="n">
        <v>1</v>
      </c>
      <c r="AU447" s="1240" t="n"/>
      <c r="AV447" s="1241" t="n"/>
      <c r="AW447" s="1242">
        <f>+H447-AV447</f>
        <v/>
      </c>
    </row>
    <row r="448" ht="17.25" customHeight="1">
      <c r="A448" s="973" t="n"/>
      <c r="B448" s="971" t="n"/>
      <c r="C448" s="972" t="n"/>
      <c r="D448" s="973" t="n"/>
      <c r="E448" s="973" t="n"/>
      <c r="F448" s="994" t="n"/>
      <c r="G448" s="994" t="n"/>
      <c r="H448" s="973" t="n"/>
      <c r="I448" s="973" t="n"/>
      <c r="J448" s="973" t="n"/>
      <c r="K448" s="973" t="n"/>
      <c r="L448" s="253" t="n">
        <v>32</v>
      </c>
      <c r="M448" s="254" t="inlineStr">
        <is>
          <t>Y3C49</t>
        </is>
      </c>
      <c r="N448" s="254" t="inlineStr">
        <is>
          <t>Sanofi Pasteur</t>
        </is>
      </c>
      <c r="O448" s="1183" t="inlineStr">
        <is>
          <t>29/02/2028</t>
        </is>
      </c>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73" t="n"/>
      <c r="E449" s="973" t="n"/>
      <c r="F449" s="994" t="n"/>
      <c r="G449" s="994" t="n"/>
      <c r="H449" s="973" t="n"/>
      <c r="I449" s="973" t="n"/>
      <c r="J449" s="973" t="n"/>
      <c r="K449" s="973" t="n"/>
      <c r="L449" s="253" t="n"/>
      <c r="M449" s="254" t="n"/>
      <c r="N449" s="254" t="n"/>
      <c r="O449" s="1183" t="n"/>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73" t="n"/>
      <c r="E450" s="973" t="n"/>
      <c r="F450" s="994" t="n"/>
      <c r="G450" s="994" t="n"/>
      <c r="H450" s="973" t="n"/>
      <c r="I450" s="973" t="n"/>
      <c r="J450" s="973" t="n"/>
      <c r="K450" s="973" t="n"/>
      <c r="L450" s="253" t="n"/>
      <c r="M450" s="254" t="n"/>
      <c r="N450" s="254" t="n"/>
      <c r="O450" s="1183" t="n"/>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73" t="n"/>
      <c r="E451" s="973" t="n"/>
      <c r="F451" s="994" t="n"/>
      <c r="G451" s="994" t="n"/>
      <c r="H451" s="973" t="n"/>
      <c r="I451" s="973" t="n"/>
      <c r="J451" s="973" t="n"/>
      <c r="K451" s="975" t="n"/>
      <c r="L451" s="253" t="n"/>
      <c r="M451" s="254" t="n"/>
      <c r="N451" s="254" t="n"/>
      <c r="O451" s="1183" t="n"/>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75" t="n"/>
      <c r="E452" s="975" t="n"/>
      <c r="F452" s="998" t="n"/>
      <c r="G452" s="998" t="n"/>
      <c r="H452" s="975" t="n"/>
      <c r="I452" s="975" t="n"/>
      <c r="J452" s="975" t="n"/>
      <c r="K452" s="1189">
        <f>K447=L452</f>
        <v/>
      </c>
      <c r="L452" s="491">
        <f>SUM(L447:L451)</f>
        <v/>
      </c>
      <c r="M452" s="1190" t="inlineStr">
        <is>
          <t xml:space="preserve">“Verdadero” indica que la cantidad por lote, coincide con el saldo que inicia al mes siguiente. "Falso" no coinicide. </t>
        </is>
      </c>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413">
        <f>ABRIL!K453</f>
        <v/>
      </c>
      <c r="E453" s="339">
        <f>H49</f>
        <v/>
      </c>
      <c r="F453" s="338" t="n">
        <v>0</v>
      </c>
      <c r="G453" s="338" t="n">
        <v>0</v>
      </c>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v>0</v>
      </c>
      <c r="AA453" s="648" t="n">
        <v>0</v>
      </c>
      <c r="AB453" s="649">
        <f>+Z453+AA453</f>
        <v/>
      </c>
      <c r="AC453" s="648" t="n">
        <v>0</v>
      </c>
      <c r="AD453" s="648" t="n">
        <v>0</v>
      </c>
      <c r="AE453" s="648" t="n">
        <v>0</v>
      </c>
      <c r="AF453" s="648" t="n">
        <v>0</v>
      </c>
      <c r="AG453" s="648" t="n">
        <v>0</v>
      </c>
      <c r="AH453" s="648" t="n">
        <v>0</v>
      </c>
      <c r="AI453" s="648" t="n">
        <v>0</v>
      </c>
      <c r="AJ453" s="648" t="n">
        <v>0</v>
      </c>
      <c r="AK453" s="648" t="n">
        <v>0</v>
      </c>
      <c r="AL453" s="648" t="n">
        <v>0</v>
      </c>
      <c r="AM453" s="421">
        <f>SUM(AB453:AL457)</f>
        <v/>
      </c>
      <c r="AN453" s="726" t="n"/>
      <c r="AQ453" s="1238">
        <f>IFERROR(I453/J453*100,"0")</f>
        <v/>
      </c>
      <c r="AR453" s="343">
        <f>IFERROR(1/(1-(AQ453/100)),"0")</f>
        <v/>
      </c>
      <c r="AS453" s="1239" t="n">
        <v>0</v>
      </c>
      <c r="AT453" s="345" t="n">
        <v>1</v>
      </c>
      <c r="AU453" s="1240" t="n"/>
      <c r="AV453" s="1241" t="n"/>
      <c r="AW453" s="1242">
        <f>+H453-AV453</f>
        <v/>
      </c>
    </row>
    <row r="454" ht="17.25" customHeight="1">
      <c r="A454" s="973" t="n"/>
      <c r="B454" s="971" t="n"/>
      <c r="C454" s="972" t="n"/>
      <c r="D454" s="973"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73"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73"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73"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75" t="n"/>
      <c r="E458" s="975" t="n"/>
      <c r="F458" s="998" t="n"/>
      <c r="G458" s="998" t="n"/>
      <c r="H458" s="975" t="n"/>
      <c r="I458" s="975" t="n"/>
      <c r="J458" s="975" t="n"/>
      <c r="K458" s="1189">
        <f>K453=L458</f>
        <v/>
      </c>
      <c r="L458" s="491">
        <f>SUM(L453:L457)</f>
        <v/>
      </c>
      <c r="M458" s="1190" t="inlineStr">
        <is>
          <t xml:space="preserve">“Verdadero” indica que la cantidad por lote, coincide con el saldo que inicia al mes siguiente. "Falso" no coinicide. </t>
        </is>
      </c>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413">
        <f>ABRIL!K459</f>
        <v/>
      </c>
      <c r="E459" s="339">
        <f>H55</f>
        <v/>
      </c>
      <c r="F459" s="338" t="n">
        <v>730</v>
      </c>
      <c r="G459" s="338" t="n">
        <v>18</v>
      </c>
      <c r="H459" s="1235">
        <f>+F459+G459</f>
        <v/>
      </c>
      <c r="I459" s="340">
        <f>+AM459</f>
        <v/>
      </c>
      <c r="J459" s="341">
        <f>+H459+I459</f>
        <v/>
      </c>
      <c r="K459" s="583">
        <f>+(D459+E459)-(J459)</f>
        <v/>
      </c>
      <c r="L459" s="253" t="n">
        <v>1218</v>
      </c>
      <c r="M459" s="254" t="inlineStr">
        <is>
          <t>2825Q005A</t>
        </is>
      </c>
      <c r="N459" s="254" t="inlineStr">
        <is>
          <t>Serum</t>
        </is>
      </c>
      <c r="O459" s="1183" t="inlineStr">
        <is>
          <t>28/02/2027</t>
        </is>
      </c>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v>62</v>
      </c>
      <c r="AA459" s="648" t="n">
        <v>174</v>
      </c>
      <c r="AB459" s="649">
        <f>+Z459+AA459</f>
        <v/>
      </c>
      <c r="AC459" s="648" t="n">
        <v>0</v>
      </c>
      <c r="AD459" s="648" t="n">
        <v>0</v>
      </c>
      <c r="AE459" s="648" t="n">
        <v>0</v>
      </c>
      <c r="AF459" s="648" t="n">
        <v>0</v>
      </c>
      <c r="AG459" s="648" t="n">
        <v>0</v>
      </c>
      <c r="AH459" s="648" t="n">
        <v>0</v>
      </c>
      <c r="AI459" s="648" t="n">
        <v>0</v>
      </c>
      <c r="AJ459" s="648" t="n">
        <v>0</v>
      </c>
      <c r="AK459" s="648" t="n">
        <v>0</v>
      </c>
      <c r="AL459" s="648" t="n">
        <v>0</v>
      </c>
      <c r="AM459" s="421">
        <f>SUM(AB459:AL463)</f>
        <v/>
      </c>
      <c r="AN459" s="726" t="n"/>
      <c r="AQ459" s="1238">
        <f>IFERROR(I459/J459*100,"0")</f>
        <v/>
      </c>
      <c r="AR459" s="343">
        <f>IFERROR(1/(1-(AQ459/100)),"0")</f>
        <v/>
      </c>
      <c r="AS459" s="1239" t="n">
        <v>30</v>
      </c>
      <c r="AT459" s="345" t="n">
        <v>10</v>
      </c>
      <c r="AU459" s="1240" t="n"/>
      <c r="AV459" s="1241" t="n"/>
      <c r="AW459" s="1242">
        <f>+H459-AV459</f>
        <v/>
      </c>
    </row>
    <row r="460" ht="17.25" customHeight="1">
      <c r="A460" s="973" t="n"/>
      <c r="B460" s="971" t="n"/>
      <c r="C460" s="972" t="n"/>
      <c r="D460" s="973" t="n"/>
      <c r="E460" s="973" t="n"/>
      <c r="F460" s="994" t="n"/>
      <c r="G460" s="994" t="n"/>
      <c r="H460" s="973" t="n"/>
      <c r="I460" s="973" t="n"/>
      <c r="J460" s="973" t="n"/>
      <c r="K460" s="973" t="n"/>
      <c r="L460" s="253" t="n">
        <v>950</v>
      </c>
      <c r="M460" s="254" t="inlineStr">
        <is>
          <t>221100624A</t>
        </is>
      </c>
      <c r="N460" s="254" t="inlineStr">
        <is>
          <t>BIOLÓGICAL E. LÍMITED</t>
        </is>
      </c>
      <c r="O460" s="1183" t="inlineStr">
        <is>
          <t>30/11/2026</t>
        </is>
      </c>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73"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73"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73"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75" t="n"/>
      <c r="E464" s="975" t="n"/>
      <c r="F464" s="998" t="n"/>
      <c r="G464" s="998" t="n"/>
      <c r="H464" s="975" t="n"/>
      <c r="I464" s="975" t="n"/>
      <c r="J464" s="975" t="n"/>
      <c r="K464" s="1189">
        <f>K459=L464</f>
        <v/>
      </c>
      <c r="L464" s="491">
        <f>SUM(L459:L463)</f>
        <v/>
      </c>
      <c r="M464" s="1190" t="inlineStr">
        <is>
          <t xml:space="preserve">“Verdadero” indica que la cantidad por lote, coincide con el saldo que inicia al mes siguiente. "Falso" no coinicide. </t>
        </is>
      </c>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413">
        <f>ABRIL!K465</f>
        <v/>
      </c>
      <c r="E465" s="339">
        <f>H61</f>
        <v/>
      </c>
      <c r="F465" s="338" t="n">
        <v>9</v>
      </c>
      <c r="G465" s="338" t="n">
        <v>1</v>
      </c>
      <c r="H465" s="1235">
        <f>+F465+G465</f>
        <v/>
      </c>
      <c r="I465" s="340">
        <f>+AM465</f>
        <v/>
      </c>
      <c r="J465" s="341">
        <f>+H465+I465</f>
        <v/>
      </c>
      <c r="K465" s="583">
        <f>+(D465+E465)-(J465)</f>
        <v/>
      </c>
      <c r="L465" s="253" t="n">
        <v>37</v>
      </c>
      <c r="M465" s="254" t="inlineStr">
        <is>
          <t>4CA03C1</t>
        </is>
      </c>
      <c r="N465" s="254" t="inlineStr">
        <is>
          <t>Sanofi Pasteur</t>
        </is>
      </c>
      <c r="O465" s="1183" t="inlineStr">
        <is>
          <t>31/10/2026</t>
        </is>
      </c>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v>0</v>
      </c>
      <c r="AA465" s="648" t="n">
        <v>0</v>
      </c>
      <c r="AB465" s="649">
        <f>+Z465+AA465</f>
        <v/>
      </c>
      <c r="AC465" s="648" t="n">
        <v>0</v>
      </c>
      <c r="AD465" s="648" t="n">
        <v>0</v>
      </c>
      <c r="AE465" s="648" t="n">
        <v>0</v>
      </c>
      <c r="AF465" s="648" t="n">
        <v>0</v>
      </c>
      <c r="AG465" s="648" t="n">
        <v>0</v>
      </c>
      <c r="AH465" s="648" t="n">
        <v>0</v>
      </c>
      <c r="AI465" s="648" t="n">
        <v>0</v>
      </c>
      <c r="AJ465" s="648" t="n">
        <v>0</v>
      </c>
      <c r="AK465" s="648" t="n">
        <v>0</v>
      </c>
      <c r="AL465" s="648" t="n">
        <v>0</v>
      </c>
      <c r="AM465" s="421">
        <f>SUM(AB465:AL469)</f>
        <v/>
      </c>
      <c r="AN465" s="726" t="n"/>
      <c r="AQ465" s="1238">
        <f>IFERROR(I465/J465*100,"0")</f>
        <v/>
      </c>
      <c r="AR465" s="343">
        <f>IFERROR(1/(1-(AQ465/100)),"0")</f>
        <v/>
      </c>
      <c r="AS465" s="1239" t="n">
        <v>0</v>
      </c>
      <c r="AT465" s="345" t="n">
        <v>1</v>
      </c>
      <c r="AU465" s="1240" t="n"/>
      <c r="AV465" s="1241" t="n"/>
      <c r="AW465" s="1242">
        <f>+H465-AV465</f>
        <v/>
      </c>
    </row>
    <row r="466" ht="17.25" customHeight="1">
      <c r="A466" s="973" t="n"/>
      <c r="B466" s="971" t="n"/>
      <c r="C466" s="972" t="n"/>
      <c r="D466" s="973" t="n"/>
      <c r="E466" s="973" t="n"/>
      <c r="F466" s="994" t="n"/>
      <c r="G466" s="994" t="n"/>
      <c r="H466" s="973" t="n"/>
      <c r="I466" s="973" t="n"/>
      <c r="J466" s="973" t="n"/>
      <c r="K466" s="973" t="n"/>
      <c r="L466" s="253" t="n">
        <v>10</v>
      </c>
      <c r="M466" s="254" t="inlineStr">
        <is>
          <t>4CA34C1</t>
        </is>
      </c>
      <c r="N466" s="254" t="inlineStr">
        <is>
          <t>Sanofi Pasteur</t>
        </is>
      </c>
      <c r="O466" s="1183" t="inlineStr">
        <is>
          <t>31/05/2027</t>
        </is>
      </c>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73" t="n"/>
      <c r="E467" s="973" t="n"/>
      <c r="F467" s="994" t="n"/>
      <c r="G467" s="994" t="n"/>
      <c r="H467" s="973" t="n"/>
      <c r="I467" s="973" t="n"/>
      <c r="J467" s="973" t="n"/>
      <c r="K467" s="973" t="n"/>
      <c r="L467" s="253" t="n">
        <v>8</v>
      </c>
      <c r="M467" s="254" t="inlineStr">
        <is>
          <t>221100624A</t>
        </is>
      </c>
      <c r="N467" s="254" t="inlineStr">
        <is>
          <t>BIOLÓGICAL E. LÍMITED</t>
        </is>
      </c>
      <c r="O467" s="1183" t="inlineStr">
        <is>
          <t>30/11/2026</t>
        </is>
      </c>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73" t="n"/>
      <c r="E468" s="973" t="n"/>
      <c r="F468" s="994" t="n"/>
      <c r="G468" s="994" t="n"/>
      <c r="H468" s="973" t="n"/>
      <c r="I468" s="973" t="n"/>
      <c r="J468" s="973" t="n"/>
      <c r="K468" s="973" t="n"/>
      <c r="L468" s="253" t="n"/>
      <c r="M468" s="254" t="n"/>
      <c r="N468" s="254" t="n"/>
      <c r="O468" s="1183" t="n"/>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73"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75" t="n"/>
      <c r="E470" s="975" t="n"/>
      <c r="F470" s="998" t="n"/>
      <c r="G470" s="998" t="n"/>
      <c r="H470" s="975" t="n"/>
      <c r="I470" s="975" t="n"/>
      <c r="J470" s="975" t="n"/>
      <c r="K470" s="1189">
        <f>K465=L470</f>
        <v/>
      </c>
      <c r="L470" s="491">
        <f>SUM(L465:L469)</f>
        <v/>
      </c>
      <c r="M470" s="1190" t="inlineStr">
        <is>
          <t xml:space="preserve">“Verdadero” indica que la cantidad por lote, coincide con el saldo que inicia al mes siguiente. "Falso" no coinicide. </t>
        </is>
      </c>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413">
        <f>ABRIL!K471</f>
        <v/>
      </c>
      <c r="E471" s="339">
        <f>H67</f>
        <v/>
      </c>
      <c r="F471" s="338" t="n">
        <v>1115</v>
      </c>
      <c r="G471" s="338" t="n">
        <v>4</v>
      </c>
      <c r="H471" s="1235">
        <f>+F471+G471</f>
        <v/>
      </c>
      <c r="I471" s="340">
        <f>+AM471</f>
        <v/>
      </c>
      <c r="J471" s="341">
        <f>+H471+I471</f>
        <v/>
      </c>
      <c r="K471" s="583">
        <f>+(D471+E471)-(J471)</f>
        <v/>
      </c>
      <c r="L471" s="253" t="n">
        <v>1304</v>
      </c>
      <c r="M471" s="254" t="inlineStr">
        <is>
          <t>AROLE419AA</t>
        </is>
      </c>
      <c r="N471" s="254" t="inlineStr">
        <is>
          <t>Glaxo SmithKline</t>
        </is>
      </c>
      <c r="O471" s="1183" t="inlineStr">
        <is>
          <t>30/09/2027</t>
        </is>
      </c>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v>0</v>
      </c>
      <c r="AA471" s="648" t="n">
        <v>0</v>
      </c>
      <c r="AB471" s="649">
        <f>+Z471+AA471</f>
        <v/>
      </c>
      <c r="AC471" s="648" t="n">
        <v>0</v>
      </c>
      <c r="AD471" s="648" t="n">
        <v>0</v>
      </c>
      <c r="AE471" s="648" t="n">
        <v>0</v>
      </c>
      <c r="AF471" s="648" t="n">
        <v>0</v>
      </c>
      <c r="AG471" s="648" t="n">
        <v>0</v>
      </c>
      <c r="AH471" s="648" t="n">
        <v>0</v>
      </c>
      <c r="AI471" s="648" t="n">
        <v>4</v>
      </c>
      <c r="AJ471" s="648" t="n">
        <v>0</v>
      </c>
      <c r="AK471" s="648" t="n">
        <v>0</v>
      </c>
      <c r="AL471" s="648" t="n">
        <v>0</v>
      </c>
      <c r="AM471" s="421">
        <f>SUM(AB471:AL475)</f>
        <v/>
      </c>
      <c r="AN471" s="726" t="n"/>
      <c r="AQ471" s="1238">
        <f>IFERROR(I471/J471*100,"0")</f>
        <v/>
      </c>
      <c r="AR471" s="343">
        <f>IFERROR(1/(1-(AQ471/100)),"0")</f>
        <v/>
      </c>
      <c r="AS471" s="1239" t="n">
        <v>0</v>
      </c>
      <c r="AT471" s="345" t="n">
        <v>1</v>
      </c>
      <c r="AU471" s="1240" t="n"/>
      <c r="AV471" s="1241" t="n"/>
      <c r="AW471" s="1242">
        <f>+H471-AV471</f>
        <v/>
      </c>
    </row>
    <row r="472" ht="17.25" customHeight="1">
      <c r="A472" s="973" t="n"/>
      <c r="B472" s="971" t="n"/>
      <c r="C472" s="972" t="n"/>
      <c r="D472" s="973" t="n"/>
      <c r="E472" s="973" t="n"/>
      <c r="F472" s="994" t="n"/>
      <c r="G472" s="994" t="n"/>
      <c r="H472" s="973" t="n"/>
      <c r="I472" s="973" t="n"/>
      <c r="J472" s="973" t="n"/>
      <c r="K472" s="973" t="n"/>
      <c r="L472" s="253" t="n">
        <v>279</v>
      </c>
      <c r="M472" s="254" t="inlineStr">
        <is>
          <t>AROLE203AC</t>
        </is>
      </c>
      <c r="N472" s="254" t="inlineStr">
        <is>
          <t>Glaxo SmithKline</t>
        </is>
      </c>
      <c r="O472" s="1183" t="inlineStr">
        <is>
          <t>31/03/2027</t>
        </is>
      </c>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73" t="n"/>
      <c r="E473" s="973" t="n"/>
      <c r="F473" s="994" t="n"/>
      <c r="G473" s="994" t="n"/>
      <c r="H473" s="973" t="n"/>
      <c r="I473" s="973" t="n"/>
      <c r="J473" s="973" t="n"/>
      <c r="K473" s="973" t="n"/>
      <c r="L473" s="253" t="n">
        <v>57</v>
      </c>
      <c r="M473" s="254" t="inlineStr">
        <is>
          <t>AROLE197AB</t>
        </is>
      </c>
      <c r="N473" s="254" t="inlineStr">
        <is>
          <t>Glaxo SmithKline</t>
        </is>
      </c>
      <c r="O473" s="1183" t="inlineStr">
        <is>
          <t>28/02/2027</t>
        </is>
      </c>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73" t="n"/>
      <c r="E474" s="973" t="n"/>
      <c r="F474" s="994" t="n"/>
      <c r="G474" s="994" t="n"/>
      <c r="H474" s="973" t="n"/>
      <c r="I474" s="973" t="n"/>
      <c r="J474" s="973" t="n"/>
      <c r="K474" s="973" t="n"/>
      <c r="L474" s="253" t="n">
        <v>11</v>
      </c>
      <c r="M474" s="254" t="inlineStr">
        <is>
          <t>AROLE075AA</t>
        </is>
      </c>
      <c r="N474" s="254" t="inlineStr">
        <is>
          <t>Glaxo SmithKline</t>
        </is>
      </c>
      <c r="O474" s="1183" t="inlineStr">
        <is>
          <t>31/10/2026</t>
        </is>
      </c>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73" t="n"/>
      <c r="E475" s="973" t="n"/>
      <c r="F475" s="994" t="n"/>
      <c r="G475" s="994" t="n"/>
      <c r="H475" s="973" t="n"/>
      <c r="I475" s="973" t="n"/>
      <c r="J475" s="973" t="n"/>
      <c r="K475" s="975" t="n"/>
      <c r="L475" s="253" t="n"/>
      <c r="M475" s="254" t="n"/>
      <c r="N475" s="254" t="n"/>
      <c r="O475" s="1183" t="n"/>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75" t="n"/>
      <c r="E476" s="975" t="n"/>
      <c r="F476" s="998" t="n"/>
      <c r="G476" s="998" t="n"/>
      <c r="H476" s="975" t="n"/>
      <c r="I476" s="975" t="n"/>
      <c r="J476" s="975" t="n"/>
      <c r="K476" s="1189">
        <f>K471=L476</f>
        <v/>
      </c>
      <c r="L476" s="491">
        <f>SUM(L471:L475)</f>
        <v/>
      </c>
      <c r="M476" s="1190" t="inlineStr">
        <is>
          <t xml:space="preserve">“Verdadero” indica que la cantidad por lote, coincide con el saldo que inicia al mes siguiente. "Falso" no coinicide. </t>
        </is>
      </c>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413">
        <f>ABRIL!K477</f>
        <v/>
      </c>
      <c r="E477" s="339">
        <f>H73</f>
        <v/>
      </c>
      <c r="F477" s="338" t="n">
        <v>1645</v>
      </c>
      <c r="G477" s="338" t="n">
        <v>22</v>
      </c>
      <c r="H477" s="1235">
        <f>+F477+G477</f>
        <v/>
      </c>
      <c r="I477" s="340">
        <f>+AM477</f>
        <v/>
      </c>
      <c r="J477" s="341">
        <f>+H477+I477</f>
        <v/>
      </c>
      <c r="K477" s="583">
        <f>+(D477+E477)-(J477)</f>
        <v/>
      </c>
      <c r="L477" s="253" t="n">
        <v>1597</v>
      </c>
      <c r="M477" s="254" t="inlineStr">
        <is>
          <t>LR6371</t>
        </is>
      </c>
      <c r="N477" s="254" t="inlineStr">
        <is>
          <t>PFIZER</t>
        </is>
      </c>
      <c r="O477" s="1183" t="inlineStr">
        <is>
          <t>30/09/2027</t>
        </is>
      </c>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v>0</v>
      </c>
      <c r="AA477" s="648" t="n">
        <v>0</v>
      </c>
      <c r="AB477" s="649">
        <f>+Z477+AA477</f>
        <v/>
      </c>
      <c r="AC477" s="648" t="n">
        <v>0</v>
      </c>
      <c r="AD477" s="648" t="n">
        <v>0</v>
      </c>
      <c r="AE477" s="648" t="n">
        <v>0</v>
      </c>
      <c r="AF477" s="648" t="n">
        <v>0</v>
      </c>
      <c r="AG477" s="648" t="n">
        <v>0</v>
      </c>
      <c r="AH477" s="648" t="n">
        <v>0</v>
      </c>
      <c r="AI477" s="648" t="n">
        <v>0</v>
      </c>
      <c r="AJ477" s="648" t="n">
        <v>0</v>
      </c>
      <c r="AK477" s="648" t="n">
        <v>0</v>
      </c>
      <c r="AL477" s="648" t="n">
        <v>0</v>
      </c>
      <c r="AM477" s="421">
        <f>SUM(AB477:AL481)</f>
        <v/>
      </c>
      <c r="AN477" s="726" t="n"/>
      <c r="AQ477" s="1238">
        <f>IFERROR(I477/J477*100,"0")</f>
        <v/>
      </c>
      <c r="AR477" s="343">
        <f>IFERROR(1/(1-(AQ477/100)),"0")</f>
        <v/>
      </c>
      <c r="AS477" s="1239" t="n">
        <v>0</v>
      </c>
      <c r="AT477" s="345" t="n">
        <v>1</v>
      </c>
      <c r="AU477" s="1240" t="n"/>
      <c r="AV477" s="1241" t="n"/>
      <c r="AW477" s="1242">
        <f>+H477-AV477</f>
        <v/>
      </c>
    </row>
    <row r="478" ht="17.25" customHeight="1">
      <c r="A478" s="973" t="n"/>
      <c r="B478" s="971" t="n"/>
      <c r="C478" s="972" t="n"/>
      <c r="D478" s="973" t="n"/>
      <c r="E478" s="973" t="n"/>
      <c r="F478" s="994" t="n"/>
      <c r="G478" s="994" t="n"/>
      <c r="H478" s="973" t="n"/>
      <c r="I478" s="973" t="n"/>
      <c r="J478" s="973" t="n"/>
      <c r="K478" s="973" t="n"/>
      <c r="L478" s="253" t="n">
        <v>617</v>
      </c>
      <c r="M478" s="254" t="inlineStr">
        <is>
          <t>LK3156</t>
        </is>
      </c>
      <c r="N478" s="254" t="inlineStr">
        <is>
          <t>PFIZER</t>
        </is>
      </c>
      <c r="O478" s="1183" t="inlineStr">
        <is>
          <t>31/05/2027</t>
        </is>
      </c>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73" t="n"/>
      <c r="E479" s="973" t="n"/>
      <c r="F479" s="994" t="n"/>
      <c r="G479" s="994" t="n"/>
      <c r="H479" s="973" t="n"/>
      <c r="I479" s="973" t="n"/>
      <c r="J479" s="973" t="n"/>
      <c r="K479" s="973" t="n"/>
      <c r="L479" s="253" t="n"/>
      <c r="M479" s="254" t="n"/>
      <c r="N479" s="254" t="n"/>
      <c r="O479" s="1183" t="n"/>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73" t="n"/>
      <c r="E480" s="973" t="n"/>
      <c r="F480" s="994" t="n"/>
      <c r="G480" s="994" t="n"/>
      <c r="H480" s="973" t="n"/>
      <c r="I480" s="973" t="n"/>
      <c r="J480" s="973" t="n"/>
      <c r="K480" s="973" t="n"/>
      <c r="L480" s="253" t="n"/>
      <c r="M480" s="254" t="n"/>
      <c r="N480" s="254" t="n"/>
      <c r="O480" s="1183" t="n"/>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73"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75" t="n"/>
      <c r="E482" s="975" t="n"/>
      <c r="F482" s="998" t="n"/>
      <c r="G482" s="998" t="n"/>
      <c r="H482" s="975" t="n"/>
      <c r="I482" s="975" t="n"/>
      <c r="J482" s="975" t="n"/>
      <c r="K482" s="1189">
        <f>K477=L482</f>
        <v/>
      </c>
      <c r="L482" s="491">
        <f>SUM(L477:L481)</f>
        <v/>
      </c>
      <c r="M482" s="1190" t="inlineStr">
        <is>
          <t xml:space="preserve">“Verdadero” indica que la cantidad por lote, coincide con el saldo que inicia al mes siguiente. "Falso" no coinicide. </t>
        </is>
      </c>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413">
        <f>ABRIL!K483</f>
        <v/>
      </c>
      <c r="E483" s="339">
        <f>H79</f>
        <v/>
      </c>
      <c r="F483" s="338" t="n">
        <v>0</v>
      </c>
      <c r="G483" s="338" t="n">
        <v>0</v>
      </c>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v>0</v>
      </c>
      <c r="AA483" s="648" t="n">
        <v>0</v>
      </c>
      <c r="AB483" s="649">
        <f>+Z483+AA483</f>
        <v/>
      </c>
      <c r="AC483" s="648" t="n">
        <v>0</v>
      </c>
      <c r="AD483" s="648" t="n">
        <v>0</v>
      </c>
      <c r="AE483" s="648" t="n">
        <v>0</v>
      </c>
      <c r="AF483" s="648" t="n">
        <v>0</v>
      </c>
      <c r="AG483" s="648" t="n">
        <v>0</v>
      </c>
      <c r="AH483" s="648" t="n">
        <v>0</v>
      </c>
      <c r="AI483" s="648" t="n">
        <v>0</v>
      </c>
      <c r="AJ483" s="648" t="n">
        <v>0</v>
      </c>
      <c r="AK483" s="648" t="n">
        <v>0</v>
      </c>
      <c r="AL483" s="648" t="n">
        <v>0</v>
      </c>
      <c r="AM483" s="421">
        <f>SUM(AB483:AL487)</f>
        <v/>
      </c>
      <c r="AN483" s="726" t="n"/>
      <c r="AQ483" s="1238">
        <f>IFERROR(I483/J483*100,"0")</f>
        <v/>
      </c>
      <c r="AR483" s="343">
        <f>IFERROR(1/(1-(AQ483/100)),"0")</f>
        <v/>
      </c>
      <c r="AS483" s="1239" t="n">
        <v>0</v>
      </c>
      <c r="AT483" s="345" t="n">
        <v>1</v>
      </c>
      <c r="AU483" s="1240" t="n"/>
      <c r="AV483" s="1241" t="n"/>
      <c r="AW483" s="1242">
        <f>+H483-AV483</f>
        <v/>
      </c>
    </row>
    <row r="484" ht="17.25" customHeight="1">
      <c r="A484" s="973" t="n"/>
      <c r="B484" s="971" t="n"/>
      <c r="C484" s="972" t="n"/>
      <c r="D484" s="973"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73"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73"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73"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75" t="n"/>
      <c r="E488" s="975" t="n"/>
      <c r="F488" s="998" t="n"/>
      <c r="G488" s="998" t="n"/>
      <c r="H488" s="975" t="n"/>
      <c r="I488" s="975" t="n"/>
      <c r="J488" s="975" t="n"/>
      <c r="K488" s="1189">
        <f>K483=L488</f>
        <v/>
      </c>
      <c r="L488" s="491">
        <f>SUM(L483:L487)</f>
        <v/>
      </c>
      <c r="M488" s="1190" t="inlineStr">
        <is>
          <t xml:space="preserve">“Verdadero” indica que la cantidad por lote, coincide con el saldo que inicia al mes siguiente. "Falso" no coinicide. </t>
        </is>
      </c>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413">
        <f>ABRIL!K489</f>
        <v/>
      </c>
      <c r="E489" s="339">
        <f>H85</f>
        <v/>
      </c>
      <c r="F489" s="338" t="n">
        <v>1314</v>
      </c>
      <c r="G489" s="338" t="n">
        <v>32</v>
      </c>
      <c r="H489" s="1235">
        <f>+F489+G489</f>
        <v/>
      </c>
      <c r="I489" s="340">
        <f>+AM489</f>
        <v/>
      </c>
      <c r="J489" s="341">
        <f>+H489+I489</f>
        <v/>
      </c>
      <c r="K489" s="583">
        <f>+(D489+E489)-(J489)</f>
        <v/>
      </c>
      <c r="L489" s="253" t="n">
        <v>1417</v>
      </c>
      <c r="M489" s="254" t="inlineStr">
        <is>
          <t>0134N096A</t>
        </is>
      </c>
      <c r="N489" s="254" t="inlineStr">
        <is>
          <t>Serum</t>
        </is>
      </c>
      <c r="O489" s="1183" t="inlineStr">
        <is>
          <t>30/04/2027</t>
        </is>
      </c>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v>0</v>
      </c>
      <c r="AA489" s="648" t="n">
        <v>0</v>
      </c>
      <c r="AB489" s="649">
        <f>+Z489+AA489</f>
        <v/>
      </c>
      <c r="AC489" s="648" t="n">
        <v>0</v>
      </c>
      <c r="AD489" s="648" t="n">
        <v>0</v>
      </c>
      <c r="AE489" s="648" t="n">
        <v>1</v>
      </c>
      <c r="AF489" s="648" t="n">
        <v>0</v>
      </c>
      <c r="AG489" s="648" t="n">
        <v>0</v>
      </c>
      <c r="AH489" s="648" t="n">
        <v>0</v>
      </c>
      <c r="AI489" s="648" t="n">
        <v>0</v>
      </c>
      <c r="AJ489" s="648" t="n">
        <v>0</v>
      </c>
      <c r="AK489" s="648" t="n">
        <v>0</v>
      </c>
      <c r="AL489" s="648" t="n">
        <v>0</v>
      </c>
      <c r="AM489" s="421">
        <f>SUM(AB489:AL493)</f>
        <v/>
      </c>
      <c r="AN489" s="726" t="n"/>
      <c r="AQ489" s="1238">
        <f>IFERROR(I489/J489*100,"0")</f>
        <v/>
      </c>
      <c r="AR489" s="343">
        <f>IFERROR(1/(1-(AQ489/100)),"0")</f>
        <v/>
      </c>
      <c r="AS489" s="1239" t="n">
        <v>0</v>
      </c>
      <c r="AT489" s="345" t="n">
        <v>1</v>
      </c>
      <c r="AU489" s="1240" t="n"/>
      <c r="AV489" s="1241" t="n"/>
      <c r="AW489" s="1242">
        <f>+H489-AV489</f>
        <v/>
      </c>
    </row>
    <row r="490" ht="17.25" customHeight="1">
      <c r="A490" s="973" t="n"/>
      <c r="B490" s="971" t="n"/>
      <c r="C490" s="972" t="n"/>
      <c r="D490" s="973" t="n"/>
      <c r="E490" s="973" t="n"/>
      <c r="F490" s="994" t="n"/>
      <c r="G490" s="994" t="n"/>
      <c r="H490" s="973" t="n"/>
      <c r="I490" s="973" t="n"/>
      <c r="J490" s="973" t="n"/>
      <c r="K490" s="973" t="n"/>
      <c r="L490" s="253" t="n">
        <v>640</v>
      </c>
      <c r="M490" s="254" t="inlineStr">
        <is>
          <t>0133N146B</t>
        </is>
      </c>
      <c r="N490" s="254" t="inlineStr">
        <is>
          <t>Serum</t>
        </is>
      </c>
      <c r="O490" s="1183" t="inlineStr">
        <is>
          <t>30/09/2026</t>
        </is>
      </c>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73" t="n"/>
      <c r="E491" s="973" t="n"/>
      <c r="F491" s="994" t="n"/>
      <c r="G491" s="994" t="n"/>
      <c r="H491" s="973" t="n"/>
      <c r="I491" s="973" t="n"/>
      <c r="J491" s="973" t="n"/>
      <c r="K491" s="973" t="n"/>
      <c r="L491" s="253" t="n">
        <v>467</v>
      </c>
      <c r="M491" s="254" t="inlineStr">
        <is>
          <t>0134N093A</t>
        </is>
      </c>
      <c r="N491" s="254" t="inlineStr">
        <is>
          <t>Serum</t>
        </is>
      </c>
      <c r="O491" s="1183" t="inlineStr">
        <is>
          <t>30/04/2027</t>
        </is>
      </c>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73" t="n"/>
      <c r="E492" s="973" t="n"/>
      <c r="F492" s="994" t="n"/>
      <c r="G492" s="994" t="n"/>
      <c r="H492" s="973" t="n"/>
      <c r="I492" s="973" t="n"/>
      <c r="J492" s="973" t="n"/>
      <c r="K492" s="973" t="n"/>
      <c r="L492" s="253" t="n"/>
      <c r="M492" s="254" t="n"/>
      <c r="N492" s="254" t="n"/>
      <c r="O492" s="1183" t="n"/>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73"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75" t="n"/>
      <c r="E494" s="975" t="n"/>
      <c r="F494" s="998" t="n"/>
      <c r="G494" s="998" t="n"/>
      <c r="H494" s="975" t="n"/>
      <c r="I494" s="975" t="n"/>
      <c r="J494" s="975" t="n"/>
      <c r="K494" s="1189">
        <f>K489=L494</f>
        <v/>
      </c>
      <c r="L494" s="491">
        <f>SUM(L489:L493)</f>
        <v/>
      </c>
      <c r="M494" s="1190" t="inlineStr">
        <is>
          <t xml:space="preserve">“Verdadero” indica que la cantidad por lote, coincide con el saldo que inicia al mes siguiente. "Falso" no coinicide. </t>
        </is>
      </c>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413">
        <f>ABRIL!K495</f>
        <v/>
      </c>
      <c r="E495" s="339">
        <f>H91</f>
        <v/>
      </c>
      <c r="F495" s="338" t="n">
        <v>0</v>
      </c>
      <c r="G495" s="338" t="n">
        <v>0</v>
      </c>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v>0</v>
      </c>
      <c r="AA495" s="648" t="n">
        <v>0</v>
      </c>
      <c r="AB495" s="649">
        <f>+Z495+AA495</f>
        <v/>
      </c>
      <c r="AC495" s="648" t="n">
        <v>0</v>
      </c>
      <c r="AD495" s="648" t="n">
        <v>0</v>
      </c>
      <c r="AE495" s="648" t="n">
        <v>0</v>
      </c>
      <c r="AF495" s="648" t="n">
        <v>0</v>
      </c>
      <c r="AG495" s="648" t="n">
        <v>0</v>
      </c>
      <c r="AH495" s="648" t="n">
        <v>0</v>
      </c>
      <c r="AI495" s="648" t="n">
        <v>0</v>
      </c>
      <c r="AJ495" s="648" t="n">
        <v>0</v>
      </c>
      <c r="AK495" s="648" t="n">
        <v>0</v>
      </c>
      <c r="AL495" s="648" t="n">
        <v>0</v>
      </c>
      <c r="AM495" s="421">
        <f>SUM(AB495:AL499)</f>
        <v/>
      </c>
      <c r="AN495" s="726" t="n"/>
      <c r="AQ495" s="1238">
        <f>IFERROR(I495/J495*100,"0")</f>
        <v/>
      </c>
      <c r="AR495" s="343">
        <f>IFERROR(1/(1-(AQ495/100)),"0")</f>
        <v/>
      </c>
      <c r="AS495" s="1239" t="n">
        <v>25</v>
      </c>
      <c r="AT495" s="345" t="n">
        <v>5</v>
      </c>
      <c r="AU495" s="1240" t="n"/>
      <c r="AV495" s="1241" t="n"/>
      <c r="AW495" s="1242">
        <f>+H495-AV495</f>
        <v/>
      </c>
    </row>
    <row r="496" ht="17.25" customHeight="1">
      <c r="A496" s="973" t="n"/>
      <c r="B496" s="971" t="n"/>
      <c r="C496" s="972" t="n"/>
      <c r="D496" s="973"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73"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73"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73"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75" t="n"/>
      <c r="E500" s="975" t="n"/>
      <c r="F500" s="998" t="n"/>
      <c r="G500" s="998" t="n"/>
      <c r="H500" s="975" t="n"/>
      <c r="I500" s="975" t="n"/>
      <c r="J500" s="975" t="n"/>
      <c r="K500" s="1189">
        <f>K495=L500</f>
        <v/>
      </c>
      <c r="L500" s="491">
        <f>SUM(L495:L499)</f>
        <v/>
      </c>
      <c r="M500" s="1190" t="inlineStr">
        <is>
          <t xml:space="preserve">“Verdadero” indica que la cantidad por lote, coincide con el saldo que inicia al mes siguiente. "Falso" no coinicide. </t>
        </is>
      </c>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413">
        <f>ABRIL!K501</f>
        <v/>
      </c>
      <c r="E501" s="339">
        <f>H97</f>
        <v/>
      </c>
      <c r="F501" s="338" t="n">
        <v>0</v>
      </c>
      <c r="G501" s="338" t="n">
        <v>0</v>
      </c>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v>0</v>
      </c>
      <c r="AA501" s="648" t="n">
        <v>0</v>
      </c>
      <c r="AB501" s="649">
        <f>+Z501+AA501</f>
        <v/>
      </c>
      <c r="AC501" s="648" t="n">
        <v>0</v>
      </c>
      <c r="AD501" s="648" t="n">
        <v>0</v>
      </c>
      <c r="AE501" s="648" t="n">
        <v>0</v>
      </c>
      <c r="AF501" s="648" t="n">
        <v>0</v>
      </c>
      <c r="AG501" s="648" t="n">
        <v>0</v>
      </c>
      <c r="AH501" s="648" t="n">
        <v>0</v>
      </c>
      <c r="AI501" s="648" t="n">
        <v>0</v>
      </c>
      <c r="AJ501" s="648" t="n">
        <v>0</v>
      </c>
      <c r="AK501" s="648" t="n">
        <v>0</v>
      </c>
      <c r="AL501" s="648" t="n">
        <v>0</v>
      </c>
      <c r="AM501" s="421">
        <f>SUM(AB501:AL505)</f>
        <v/>
      </c>
      <c r="AN501" s="726" t="n"/>
      <c r="AQ501" s="1238">
        <f>IFERROR(I501/J501*100,"0")</f>
        <v/>
      </c>
      <c r="AR501" s="343">
        <f>IFERROR(1/(1-(AQ501/100)),"0")</f>
        <v/>
      </c>
      <c r="AS501" s="1239" t="n">
        <v>30</v>
      </c>
      <c r="AT501" s="345" t="n">
        <v>10</v>
      </c>
      <c r="AU501" s="1240" t="n"/>
      <c r="AV501" s="1241" t="n"/>
      <c r="AW501" s="1242">
        <f>+H501-AV501</f>
        <v/>
      </c>
    </row>
    <row r="502" ht="17.25" customHeight="1">
      <c r="A502" s="973" t="n"/>
      <c r="B502" s="971" t="n"/>
      <c r="C502" s="972" t="n"/>
      <c r="D502" s="973"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73"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73"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73"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75" t="n"/>
      <c r="E506" s="975" t="n"/>
      <c r="F506" s="998" t="n"/>
      <c r="G506" s="998" t="n"/>
      <c r="H506" s="975" t="n"/>
      <c r="I506" s="975" t="n"/>
      <c r="J506" s="975" t="n"/>
      <c r="K506" s="1189">
        <f>K501=L506</f>
        <v/>
      </c>
      <c r="L506" s="491">
        <f>SUM(L501:L505)</f>
        <v/>
      </c>
      <c r="M506" s="1190" t="inlineStr">
        <is>
          <t xml:space="preserve">“Verdadero” indica que la cantidad por lote, coincide con el saldo que inicia al mes siguiente. "Falso" no coinicide. </t>
        </is>
      </c>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413">
        <f>ABRIL!K507</f>
        <v/>
      </c>
      <c r="E507" s="339">
        <f>H103</f>
        <v/>
      </c>
      <c r="F507" s="338" t="n">
        <v>788</v>
      </c>
      <c r="G507" s="338" t="n">
        <v>15</v>
      </c>
      <c r="H507" s="1235">
        <f>+F507+G507</f>
        <v/>
      </c>
      <c r="I507" s="340">
        <f>+AM507</f>
        <v/>
      </c>
      <c r="J507" s="341">
        <f>+H507+I507</f>
        <v/>
      </c>
      <c r="K507" s="583">
        <f>+(D507+E507)-(J507)</f>
        <v/>
      </c>
      <c r="L507" s="253" t="n">
        <v>427</v>
      </c>
      <c r="M507" s="254" t="inlineStr">
        <is>
          <t>0094W003</t>
        </is>
      </c>
      <c r="N507" s="254" t="inlineStr">
        <is>
          <t>Serum</t>
        </is>
      </c>
      <c r="O507" s="1183" t="inlineStr">
        <is>
          <t>31/01/2027</t>
        </is>
      </c>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v>0</v>
      </c>
      <c r="AA507" s="648" t="n">
        <v>0</v>
      </c>
      <c r="AB507" s="649">
        <f>+Z507+AA507</f>
        <v/>
      </c>
      <c r="AC507" s="648" t="n">
        <v>0</v>
      </c>
      <c r="AD507" s="648" t="n">
        <v>0</v>
      </c>
      <c r="AE507" s="648" t="n">
        <v>0</v>
      </c>
      <c r="AF507" s="648" t="n">
        <v>0</v>
      </c>
      <c r="AG507" s="648" t="n">
        <v>0</v>
      </c>
      <c r="AH507" s="648" t="n">
        <v>0</v>
      </c>
      <c r="AI507" s="648" t="n">
        <v>0</v>
      </c>
      <c r="AJ507" s="648" t="n">
        <v>0</v>
      </c>
      <c r="AK507" s="648" t="n">
        <v>0</v>
      </c>
      <c r="AL507" s="648" t="n">
        <v>0</v>
      </c>
      <c r="AM507" s="421">
        <f>SUM(AB507:AL511)</f>
        <v/>
      </c>
      <c r="AN507" s="726" t="n"/>
      <c r="AQ507" s="1238">
        <f>IFERROR(I507/J507*100,"0")</f>
        <v/>
      </c>
      <c r="AR507" s="343">
        <f>IFERROR(1/(1-(AQ507/100)),"0")</f>
        <v/>
      </c>
      <c r="AS507" s="1239" t="n">
        <v>0</v>
      </c>
      <c r="AT507" s="345" t="n">
        <v>1</v>
      </c>
      <c r="AU507" s="1240" t="n"/>
      <c r="AV507" s="1241" t="n"/>
      <c r="AW507" s="1242">
        <f>+H507-AV507</f>
        <v/>
      </c>
    </row>
    <row r="508" ht="17.25" customHeight="1">
      <c r="A508" s="973" t="n"/>
      <c r="B508" s="971" t="n"/>
      <c r="C508" s="972" t="n"/>
      <c r="D508" s="973" t="n"/>
      <c r="E508" s="973" t="n"/>
      <c r="F508" s="994" t="n"/>
      <c r="G508" s="994" t="n"/>
      <c r="H508" s="973" t="n"/>
      <c r="I508" s="973" t="n"/>
      <c r="J508" s="973" t="n"/>
      <c r="K508" s="973" t="n"/>
      <c r="L508" s="253" t="n">
        <v>361</v>
      </c>
      <c r="M508" s="254" t="inlineStr">
        <is>
          <t>0096M003</t>
        </is>
      </c>
      <c r="N508" s="254" t="inlineStr">
        <is>
          <t>Serum</t>
        </is>
      </c>
      <c r="O508" s="1183" t="inlineStr">
        <is>
          <t>31/07/2028</t>
        </is>
      </c>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73" t="n"/>
      <c r="E509" s="973" t="n"/>
      <c r="F509" s="994" t="n"/>
      <c r="G509" s="994" t="n"/>
      <c r="H509" s="973" t="n"/>
      <c r="I509" s="973" t="n"/>
      <c r="J509" s="973" t="n"/>
      <c r="K509" s="973" t="n"/>
      <c r="L509" s="253" t="n">
        <v>296</v>
      </c>
      <c r="M509" s="254" t="inlineStr">
        <is>
          <t>0094W002</t>
        </is>
      </c>
      <c r="N509" s="254" t="inlineStr">
        <is>
          <t>Serum</t>
        </is>
      </c>
      <c r="O509" s="1183" t="inlineStr">
        <is>
          <t>30/11/2026</t>
        </is>
      </c>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73" t="n"/>
      <c r="E510" s="973" t="n"/>
      <c r="F510" s="994" t="n"/>
      <c r="G510" s="994" t="n"/>
      <c r="H510" s="973" t="n"/>
      <c r="I510" s="973" t="n"/>
      <c r="J510" s="973" t="n"/>
      <c r="K510" s="973" t="n"/>
      <c r="L510" s="253" t="n"/>
      <c r="M510" s="254" t="n"/>
      <c r="N510" s="254" t="n"/>
      <c r="O510" s="1183" t="n"/>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73" t="n"/>
      <c r="E511" s="973" t="n"/>
      <c r="F511" s="994" t="n"/>
      <c r="G511" s="994" t="n"/>
      <c r="H511" s="973" t="n"/>
      <c r="I511" s="973" t="n"/>
      <c r="J511" s="973" t="n"/>
      <c r="K511" s="975" t="n"/>
      <c r="L511" s="253" t="n">
        <v>111</v>
      </c>
      <c r="M511" s="254" t="inlineStr">
        <is>
          <t>0095M002</t>
        </is>
      </c>
      <c r="N511" s="254" t="inlineStr">
        <is>
          <t>Serum</t>
        </is>
      </c>
      <c r="O511" s="1183" t="inlineStr">
        <is>
          <t>30/11/2027</t>
        </is>
      </c>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75" t="n"/>
      <c r="E512" s="975" t="n"/>
      <c r="F512" s="998" t="n"/>
      <c r="G512" s="998" t="n"/>
      <c r="H512" s="975" t="n"/>
      <c r="I512" s="975" t="n"/>
      <c r="J512" s="975" t="n"/>
      <c r="K512" s="1189">
        <f>K507=L512</f>
        <v/>
      </c>
      <c r="L512" s="491">
        <f>SUM(L507:L511)</f>
        <v/>
      </c>
      <c r="M512" s="1190" t="inlineStr">
        <is>
          <t xml:space="preserve">“Verdadero” indica que la cantidad por lote, coincide con el saldo que inicia al mes siguiente. "Falso" no coinicide. </t>
        </is>
      </c>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413">
        <f>ABRIL!K513</f>
        <v/>
      </c>
      <c r="E513" s="339">
        <f>H109</f>
        <v/>
      </c>
      <c r="F513" s="338" t="n">
        <v>0</v>
      </c>
      <c r="G513" s="338" t="n">
        <v>0</v>
      </c>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v>0</v>
      </c>
      <c r="AA513" s="648" t="n">
        <v>0</v>
      </c>
      <c r="AB513" s="649">
        <f>+Z513+AA513</f>
        <v/>
      </c>
      <c r="AC513" s="648" t="n">
        <v>0</v>
      </c>
      <c r="AD513" s="648" t="n">
        <v>0</v>
      </c>
      <c r="AE513" s="648" t="n">
        <v>0</v>
      </c>
      <c r="AF513" s="648" t="n">
        <v>0</v>
      </c>
      <c r="AG513" s="648" t="n">
        <v>0</v>
      </c>
      <c r="AH513" s="648" t="n">
        <v>0</v>
      </c>
      <c r="AI513" s="648" t="n">
        <v>0</v>
      </c>
      <c r="AJ513" s="648" t="n">
        <v>0</v>
      </c>
      <c r="AK513" s="648" t="n">
        <v>0</v>
      </c>
      <c r="AL513" s="648" t="n">
        <v>0</v>
      </c>
      <c r="AM513" s="421">
        <f>SUM(AB513:AL517)</f>
        <v/>
      </c>
      <c r="AN513" s="726" t="n"/>
      <c r="AQ513" s="1238">
        <f>IFERROR(I513/J513*100,"0")</f>
        <v/>
      </c>
      <c r="AR513" s="343">
        <f>IFERROR(1/(1-(AQ513/100)),"0")</f>
        <v/>
      </c>
      <c r="AS513" s="1239" t="n">
        <v>30</v>
      </c>
      <c r="AT513" s="345" t="n">
        <v>10</v>
      </c>
      <c r="AU513" s="1240" t="n"/>
      <c r="AV513" s="1241" t="n"/>
      <c r="AW513" s="1242">
        <f>+H513-AV513</f>
        <v/>
      </c>
    </row>
    <row r="514" ht="17.25" customHeight="1">
      <c r="A514" s="973" t="n"/>
      <c r="B514" s="971" t="n"/>
      <c r="C514" s="972" t="n"/>
      <c r="D514" s="973"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73"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73"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73"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75" t="n"/>
      <c r="E518" s="975" t="n"/>
      <c r="F518" s="998" t="n"/>
      <c r="G518" s="998" t="n"/>
      <c r="H518" s="975" t="n"/>
      <c r="I518" s="975" t="n"/>
      <c r="J518" s="975" t="n"/>
      <c r="K518" s="1189">
        <f>K513=L518</f>
        <v/>
      </c>
      <c r="L518" s="491">
        <f>SUM(L513:L517)</f>
        <v/>
      </c>
      <c r="M518" s="1190" t="inlineStr">
        <is>
          <t xml:space="preserve">“Verdadero” indica que la cantidad por lote, coincide con el saldo que inicia al mes siguiente. "Falso" no coinicide. </t>
        </is>
      </c>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413">
        <f>ABRIL!K519</f>
        <v/>
      </c>
      <c r="E519" s="339">
        <f>H115</f>
        <v/>
      </c>
      <c r="F519" s="338" t="n">
        <v>0</v>
      </c>
      <c r="G519" s="338" t="n">
        <v>0</v>
      </c>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v>0</v>
      </c>
      <c r="AA519" s="648" t="n">
        <v>0</v>
      </c>
      <c r="AB519" s="649">
        <f>+Z519+AA519</f>
        <v/>
      </c>
      <c r="AC519" s="648" t="n">
        <v>0</v>
      </c>
      <c r="AD519" s="648" t="n">
        <v>0</v>
      </c>
      <c r="AE519" s="648" t="n">
        <v>0</v>
      </c>
      <c r="AF519" s="648" t="n">
        <v>0</v>
      </c>
      <c r="AG519" s="648" t="n">
        <v>0</v>
      </c>
      <c r="AH519" s="648" t="n">
        <v>0</v>
      </c>
      <c r="AI519" s="648" t="n">
        <v>0</v>
      </c>
      <c r="AJ519" s="648" t="n">
        <v>0</v>
      </c>
      <c r="AK519" s="648" t="n">
        <v>0</v>
      </c>
      <c r="AL519" s="648" t="n">
        <v>0</v>
      </c>
      <c r="AM519" s="421">
        <f>SUM(AB519:AL523)</f>
        <v/>
      </c>
      <c r="AN519" s="726" t="n"/>
      <c r="AQ519" s="1238">
        <f>IFERROR(I519/J519*100,"0")</f>
        <v/>
      </c>
      <c r="AR519" s="343">
        <f>IFERROR(1/(1-(AQ519/100)),"0")</f>
        <v/>
      </c>
      <c r="AS519" s="1239" t="n">
        <v>0</v>
      </c>
      <c r="AT519" s="345" t="n">
        <v>1</v>
      </c>
      <c r="AU519" s="1240" t="n"/>
      <c r="AV519" s="1241" t="n"/>
      <c r="AW519" s="1242">
        <f>+H519-AV519</f>
        <v/>
      </c>
    </row>
    <row r="520" ht="17.25" customHeight="1">
      <c r="A520" s="973" t="n"/>
      <c r="B520" s="971" t="n"/>
      <c r="C520" s="972" t="n"/>
      <c r="D520" s="973"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73"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73"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73"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75" t="n"/>
      <c r="E524" s="975" t="n"/>
      <c r="F524" s="998" t="n"/>
      <c r="G524" s="998" t="n"/>
      <c r="H524" s="975" t="n"/>
      <c r="I524" s="975" t="n"/>
      <c r="J524" s="975" t="n"/>
      <c r="K524" s="1189">
        <f>K519=L524</f>
        <v/>
      </c>
      <c r="L524" s="491">
        <f>SUM(L519:L523)</f>
        <v/>
      </c>
      <c r="M524" s="1190" t="inlineStr">
        <is>
          <t xml:space="preserve">“Verdadero” indica que la cantidad por lote, coincide con el saldo que inicia al mes siguiente. "Falso" no coinicide. </t>
        </is>
      </c>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413">
        <f>ABRIL!K525</f>
        <v/>
      </c>
      <c r="E525" s="339">
        <f>H121</f>
        <v/>
      </c>
      <c r="F525" s="338" t="n">
        <v>2526</v>
      </c>
      <c r="G525" s="338" t="n">
        <v>41</v>
      </c>
      <c r="H525" s="1235">
        <f>+F525+G525</f>
        <v/>
      </c>
      <c r="I525" s="340">
        <f>+AM525</f>
        <v/>
      </c>
      <c r="J525" s="341">
        <f>+H525+I525</f>
        <v/>
      </c>
      <c r="K525" s="583">
        <f>+(D525+E525)-(J525)</f>
        <v/>
      </c>
      <c r="L525" s="253" t="n">
        <v>7550</v>
      </c>
      <c r="M525" s="254" t="inlineStr">
        <is>
          <t>Y3D32</t>
        </is>
      </c>
      <c r="N525" s="254" t="inlineStr">
        <is>
          <t>Sanofi Pasteur</t>
        </is>
      </c>
      <c r="O525" s="1183" t="inlineStr">
        <is>
          <t>30/04/2027</t>
        </is>
      </c>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v>2992</v>
      </c>
      <c r="AA525" s="648" t="n">
        <v>1255</v>
      </c>
      <c r="AB525" s="649">
        <f>+Z525+AA525</f>
        <v/>
      </c>
      <c r="AC525" s="648" t="n">
        <v>0</v>
      </c>
      <c r="AD525" s="648" t="n">
        <v>0</v>
      </c>
      <c r="AE525" s="648" t="n">
        <v>0</v>
      </c>
      <c r="AF525" s="648" t="n">
        <v>0</v>
      </c>
      <c r="AG525" s="648" t="n">
        <v>0</v>
      </c>
      <c r="AH525" s="648" t="n">
        <v>0</v>
      </c>
      <c r="AI525" s="648" t="n">
        <v>0</v>
      </c>
      <c r="AJ525" s="648" t="n">
        <v>0</v>
      </c>
      <c r="AK525" s="648" t="n">
        <v>0</v>
      </c>
      <c r="AL525" s="648" t="n">
        <v>0</v>
      </c>
      <c r="AM525" s="421">
        <f>SUM(AB525:AL529)</f>
        <v/>
      </c>
      <c r="AN525" s="726" t="n"/>
      <c r="AQ525" s="1238">
        <f>IFERROR(I525/J525*100,"0")</f>
        <v/>
      </c>
      <c r="AR525" s="343">
        <f>IFERROR(1/(1-(AQ525/100)),"0")</f>
        <v/>
      </c>
      <c r="AS525" s="1239" t="n">
        <v>70</v>
      </c>
      <c r="AT525" s="345" t="n">
        <v>10</v>
      </c>
      <c r="AU525" s="1240" t="n"/>
      <c r="AV525" s="1241" t="n"/>
      <c r="AW525" s="1242">
        <f>+H525-AV525</f>
        <v/>
      </c>
    </row>
    <row r="526" ht="17.25" customHeight="1">
      <c r="A526" s="973" t="n"/>
      <c r="B526" s="971" t="n"/>
      <c r="C526" s="972" t="n"/>
      <c r="D526" s="973" t="n"/>
      <c r="E526" s="973" t="n"/>
      <c r="F526" s="994" t="n"/>
      <c r="G526" s="994" t="n"/>
      <c r="H526" s="973" t="n"/>
      <c r="I526" s="973" t="n"/>
      <c r="J526" s="973" t="n"/>
      <c r="K526" s="973" t="n"/>
      <c r="L526" s="253" t="n">
        <v>180</v>
      </c>
      <c r="M526" s="254" t="inlineStr">
        <is>
          <t>W3D501V</t>
        </is>
      </c>
      <c r="N526" s="254" t="inlineStr">
        <is>
          <t>Sanofi Pasteur</t>
        </is>
      </c>
      <c r="O526" s="1183" t="inlineStr">
        <is>
          <t>31/05/2025</t>
        </is>
      </c>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73" t="n"/>
      <c r="E527" s="973" t="n"/>
      <c r="F527" s="994" t="n"/>
      <c r="G527" s="994" t="n"/>
      <c r="H527" s="973" t="n"/>
      <c r="I527" s="973" t="n"/>
      <c r="J527" s="973" t="n"/>
      <c r="K527" s="973" t="n"/>
      <c r="L527" s="253" t="n">
        <v>30</v>
      </c>
      <c r="M527" s="254" t="inlineStr">
        <is>
          <t>318</t>
        </is>
      </c>
      <c r="N527" s="254" t="inlineStr">
        <is>
          <t>CHUMAKOV</t>
        </is>
      </c>
      <c r="O527" s="1183" t="inlineStr">
        <is>
          <t>31/05/2027</t>
        </is>
      </c>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73" t="n"/>
      <c r="E528" s="973" t="n"/>
      <c r="F528" s="994" t="n"/>
      <c r="G528" s="994" t="n"/>
      <c r="H528" s="973" t="n"/>
      <c r="I528" s="973" t="n"/>
      <c r="J528" s="973" t="n"/>
      <c r="K528" s="973" t="n"/>
      <c r="L528" s="253" t="n">
        <v>8</v>
      </c>
      <c r="M528" s="254" t="inlineStr">
        <is>
          <t>Y3D18</t>
        </is>
      </c>
      <c r="N528" s="254" t="inlineStr">
        <is>
          <t>Sanofi Pasteur</t>
        </is>
      </c>
      <c r="O528" s="1183" t="inlineStr">
        <is>
          <t>30/04/2027</t>
        </is>
      </c>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73" t="n"/>
      <c r="E529" s="973" t="n"/>
      <c r="F529" s="994" t="n"/>
      <c r="G529" s="994" t="n"/>
      <c r="H529" s="973" t="n"/>
      <c r="I529" s="973" t="n"/>
      <c r="J529" s="973" t="n"/>
      <c r="K529" s="975" t="n"/>
      <c r="L529" s="253" t="n"/>
      <c r="M529" s="254" t="n"/>
      <c r="N529" s="254" t="n"/>
      <c r="O529" s="1183" t="n"/>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75" t="n"/>
      <c r="E530" s="975" t="n"/>
      <c r="F530" s="998" t="n"/>
      <c r="G530" s="998" t="n"/>
      <c r="H530" s="975" t="n"/>
      <c r="I530" s="975" t="n"/>
      <c r="J530" s="975" t="n"/>
      <c r="K530" s="1189">
        <f>K525=L530</f>
        <v/>
      </c>
      <c r="L530" s="491">
        <f>SUM(L525:L529)</f>
        <v/>
      </c>
      <c r="M530" s="1190" t="inlineStr">
        <is>
          <t xml:space="preserve">“Verdadero” indica que la cantidad por lote, coincide con el saldo que inicia al mes siguiente. "Falso" no coinicide. </t>
        </is>
      </c>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413">
        <f>ABRIL!K531</f>
        <v/>
      </c>
      <c r="E531" s="339">
        <f>H127</f>
        <v/>
      </c>
      <c r="F531" s="338" t="n">
        <v>522</v>
      </c>
      <c r="G531" s="338" t="n">
        <v>19</v>
      </c>
      <c r="H531" s="1235">
        <f>+F531+G531</f>
        <v/>
      </c>
      <c r="I531" s="340">
        <f>+AM531</f>
        <v/>
      </c>
      <c r="J531" s="341">
        <f>+H531+I531</f>
        <v/>
      </c>
      <c r="K531" s="583">
        <f>+(D531+E531)-(J531)</f>
        <v/>
      </c>
      <c r="L531" s="253" t="n">
        <v>2073</v>
      </c>
      <c r="M531" s="254" t="inlineStr">
        <is>
          <t>AB202404013</t>
        </is>
      </c>
      <c r="N531" s="254" t="inlineStr">
        <is>
          <t>Sinovac</t>
        </is>
      </c>
      <c r="O531" s="1183" t="inlineStr">
        <is>
          <t>21/10/2027</t>
        </is>
      </c>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v>0</v>
      </c>
      <c r="AA531" s="648" t="n">
        <v>0</v>
      </c>
      <c r="AB531" s="649">
        <f>+Z531+AA531</f>
        <v/>
      </c>
      <c r="AC531" s="648" t="n">
        <v>0</v>
      </c>
      <c r="AD531" s="648" t="n">
        <v>0</v>
      </c>
      <c r="AE531" s="648" t="n">
        <v>0</v>
      </c>
      <c r="AF531" s="648" t="n">
        <v>0</v>
      </c>
      <c r="AG531" s="648" t="n">
        <v>0</v>
      </c>
      <c r="AH531" s="648" t="n">
        <v>0</v>
      </c>
      <c r="AI531" s="648" t="n">
        <v>0</v>
      </c>
      <c r="AJ531" s="648" t="n">
        <v>0</v>
      </c>
      <c r="AK531" s="648" t="n">
        <v>0</v>
      </c>
      <c r="AL531" s="648" t="n">
        <v>0</v>
      </c>
      <c r="AM531" s="421">
        <f>SUM(AB531:AL535)</f>
        <v/>
      </c>
      <c r="AN531" s="726" t="n"/>
      <c r="AQ531" s="1238">
        <f>IFERROR(I531/J531*100,"0")</f>
        <v/>
      </c>
      <c r="AR531" s="343">
        <f>IFERROR(1/(1-(AQ531/100)),"0")</f>
        <v/>
      </c>
      <c r="AS531" s="1239" t="n">
        <v>0</v>
      </c>
      <c r="AT531" s="345" t="n">
        <v>1</v>
      </c>
      <c r="AU531" s="1240" t="n"/>
      <c r="AV531" s="1241" t="n"/>
      <c r="AW531" s="1242">
        <f>+H531-AV531</f>
        <v/>
      </c>
    </row>
    <row r="532" ht="17.25" customHeight="1">
      <c r="A532" s="973" t="n"/>
      <c r="B532" s="971" t="n"/>
      <c r="C532" s="972" t="n"/>
      <c r="D532" s="973" t="n"/>
      <c r="E532" s="973" t="n"/>
      <c r="F532" s="994" t="n"/>
      <c r="G532" s="994" t="n"/>
      <c r="H532" s="973" t="n"/>
      <c r="I532" s="973" t="n"/>
      <c r="J532" s="973" t="n"/>
      <c r="K532" s="973" t="n"/>
      <c r="L532" s="253" t="n">
        <v>252</v>
      </c>
      <c r="M532" s="254" t="inlineStr">
        <is>
          <t>AB202403009</t>
        </is>
      </c>
      <c r="N532" s="254" t="inlineStr">
        <is>
          <t>Sinovac</t>
        </is>
      </c>
      <c r="O532" s="1183" t="inlineStr">
        <is>
          <t>04/09/2027</t>
        </is>
      </c>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73" t="n"/>
      <c r="E533" s="973" t="n"/>
      <c r="F533" s="994" t="n"/>
      <c r="G533" s="994" t="n"/>
      <c r="H533" s="973" t="n"/>
      <c r="I533" s="973" t="n"/>
      <c r="J533" s="973" t="n"/>
      <c r="K533" s="973" t="n"/>
      <c r="L533" s="253" t="n">
        <v>43</v>
      </c>
      <c r="M533" s="254" t="inlineStr">
        <is>
          <t>AB202403008</t>
        </is>
      </c>
      <c r="N533" s="254" t="inlineStr">
        <is>
          <t>Sinovac</t>
        </is>
      </c>
      <c r="O533" s="1183" t="inlineStr">
        <is>
          <t>04/09/2027</t>
        </is>
      </c>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73" t="n"/>
      <c r="E534" s="973" t="n"/>
      <c r="F534" s="994" t="n"/>
      <c r="G534" s="994" t="n"/>
      <c r="H534" s="973" t="n"/>
      <c r="I534" s="973" t="n"/>
      <c r="J534" s="973" t="n"/>
      <c r="K534" s="973" t="n"/>
      <c r="L534" s="253" t="n"/>
      <c r="M534" s="254" t="n"/>
      <c r="N534" s="254" t="n"/>
      <c r="O534" s="1183" t="n"/>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73" t="n"/>
      <c r="E535" s="973" t="n"/>
      <c r="F535" s="994" t="n"/>
      <c r="G535" s="994" t="n"/>
      <c r="H535" s="973" t="n"/>
      <c r="I535" s="973" t="n"/>
      <c r="J535" s="973" t="n"/>
      <c r="K535" s="975" t="n"/>
      <c r="L535" s="253" t="n"/>
      <c r="M535" s="254" t="n"/>
      <c r="N535" s="254" t="n"/>
      <c r="O535" s="1183" t="n"/>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75" t="n"/>
      <c r="E536" s="975" t="n"/>
      <c r="F536" s="998" t="n"/>
      <c r="G536" s="998" t="n"/>
      <c r="H536" s="975" t="n"/>
      <c r="I536" s="975" t="n"/>
      <c r="J536" s="975" t="n"/>
      <c r="K536" s="1189">
        <f>K531=L536</f>
        <v/>
      </c>
      <c r="L536" s="491">
        <f>SUM(L531:L535)</f>
        <v/>
      </c>
      <c r="M536" s="1190" t="inlineStr">
        <is>
          <t xml:space="preserve">“Verdadero” indica que la cantidad por lote, coincide con el saldo que inicia al mes siguiente. "Falso" no coinicide. </t>
        </is>
      </c>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413">
        <f>ABRIL!K537</f>
        <v/>
      </c>
      <c r="E537" s="339">
        <f>H133</f>
        <v/>
      </c>
      <c r="F537" s="338" t="n">
        <v>1263</v>
      </c>
      <c r="G537" s="338" t="n">
        <v>30</v>
      </c>
      <c r="H537" s="1235">
        <f>+F537+G537</f>
        <v/>
      </c>
      <c r="I537" s="340">
        <f>+AM537</f>
        <v/>
      </c>
      <c r="J537" s="341">
        <f>+H537+I537</f>
        <v/>
      </c>
      <c r="K537" s="583">
        <f>+(D537+E537)-(J537)</f>
        <v/>
      </c>
      <c r="L537" s="253" t="n">
        <v>1333</v>
      </c>
      <c r="M537" s="254" t="inlineStr">
        <is>
          <t>BB202506051</t>
        </is>
      </c>
      <c r="N537" s="254" t="inlineStr">
        <is>
          <t>Sinovac</t>
        </is>
      </c>
      <c r="O537" s="1183" t="inlineStr">
        <is>
          <t>12/06/2027</t>
        </is>
      </c>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v>1</v>
      </c>
      <c r="AA537" s="648" t="n">
        <v>0</v>
      </c>
      <c r="AB537" s="649">
        <f>+Z537+AA537</f>
        <v/>
      </c>
      <c r="AC537" s="648" t="n">
        <v>0</v>
      </c>
      <c r="AD537" s="648" t="n">
        <v>0</v>
      </c>
      <c r="AE537" s="648" t="n">
        <v>0</v>
      </c>
      <c r="AF537" s="648" t="n">
        <v>0</v>
      </c>
      <c r="AG537" s="648" t="n">
        <v>0</v>
      </c>
      <c r="AH537" s="648" t="n">
        <v>0</v>
      </c>
      <c r="AI537" s="648" t="n">
        <v>0</v>
      </c>
      <c r="AJ537" s="648" t="n">
        <v>0</v>
      </c>
      <c r="AK537" s="648" t="n">
        <v>0</v>
      </c>
      <c r="AL537" s="648" t="n">
        <v>0</v>
      </c>
      <c r="AM537" s="421">
        <f>SUM(AB537:AL541)</f>
        <v/>
      </c>
      <c r="AN537" s="726" t="n"/>
      <c r="AQ537" s="1238">
        <f>IFERROR(I537/J537*100,"0")</f>
        <v/>
      </c>
      <c r="AR537" s="343">
        <f>IFERROR(1/(1-(AQ537/100)),"0")</f>
        <v/>
      </c>
      <c r="AS537" s="1239" t="n">
        <v>0</v>
      </c>
      <c r="AT537" s="345" t="n">
        <v>1</v>
      </c>
      <c r="AU537" s="1240" t="n"/>
      <c r="AV537" s="1241" t="n"/>
      <c r="AW537" s="1242">
        <f>+H537-AV537</f>
        <v/>
      </c>
    </row>
    <row r="538" ht="17.25" customHeight="1">
      <c r="A538" s="973" t="n"/>
      <c r="B538" s="971" t="n"/>
      <c r="C538" s="972" t="n"/>
      <c r="D538" s="973" t="n"/>
      <c r="E538" s="973" t="n"/>
      <c r="F538" s="994" t="n"/>
      <c r="G538" s="994" t="n"/>
      <c r="H538" s="973" t="n"/>
      <c r="I538" s="973" t="n"/>
      <c r="J538" s="973" t="n"/>
      <c r="K538" s="973" t="n"/>
      <c r="L538" s="253" t="n">
        <v>753</v>
      </c>
      <c r="M538" s="254" t="inlineStr">
        <is>
          <t>BB202506052</t>
        </is>
      </c>
      <c r="N538" s="254" t="inlineStr">
        <is>
          <t>Sinovac</t>
        </is>
      </c>
      <c r="O538" s="1183" t="inlineStr">
        <is>
          <t>16/06/2027</t>
        </is>
      </c>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73" t="n"/>
      <c r="E539" s="973" t="n"/>
      <c r="F539" s="994" t="n"/>
      <c r="G539" s="994" t="n"/>
      <c r="H539" s="973" t="n"/>
      <c r="I539" s="973" t="n"/>
      <c r="J539" s="973" t="n"/>
      <c r="K539" s="973" t="n"/>
      <c r="L539" s="253" t="n"/>
      <c r="M539" s="254" t="n"/>
      <c r="N539" s="254" t="n"/>
      <c r="O539" s="1183" t="n"/>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73" t="n"/>
      <c r="E540" s="973" t="n"/>
      <c r="F540" s="994" t="n"/>
      <c r="G540" s="994" t="n"/>
      <c r="H540" s="973" t="n"/>
      <c r="I540" s="973" t="n"/>
      <c r="J540" s="973" t="n"/>
      <c r="K540" s="973" t="n"/>
      <c r="L540" s="253" t="n">
        <v>17</v>
      </c>
      <c r="M540" s="254" t="inlineStr">
        <is>
          <t>Y018866</t>
        </is>
      </c>
      <c r="N540" s="254" t="inlineStr">
        <is>
          <t>MSD</t>
        </is>
      </c>
      <c r="O540" s="1183" t="inlineStr">
        <is>
          <t>13/11/2026</t>
        </is>
      </c>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73" t="n"/>
      <c r="E541" s="973" t="n"/>
      <c r="F541" s="994" t="n"/>
      <c r="G541" s="994" t="n"/>
      <c r="H541" s="973" t="n"/>
      <c r="I541" s="973" t="n"/>
      <c r="J541" s="973" t="n"/>
      <c r="K541" s="975" t="n"/>
      <c r="L541" s="253" t="n"/>
      <c r="M541" s="254" t="n"/>
      <c r="N541" s="254" t="n"/>
      <c r="O541" s="1183" t="n"/>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75" t="n"/>
      <c r="E542" s="975" t="n"/>
      <c r="F542" s="998" t="n"/>
      <c r="G542" s="998" t="n"/>
      <c r="H542" s="975" t="n"/>
      <c r="I542" s="975" t="n"/>
      <c r="J542" s="975" t="n"/>
      <c r="K542" s="1189">
        <f>K537=L542</f>
        <v/>
      </c>
      <c r="L542" s="491">
        <f>SUM(L537:L541)</f>
        <v/>
      </c>
      <c r="M542" s="1190" t="inlineStr">
        <is>
          <t xml:space="preserve">“Verdadero” indica que la cantidad por lote, coincide con el saldo que inicia al mes siguiente. "Falso" no coinicide. </t>
        </is>
      </c>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413">
        <f>ABRIL!K543</f>
        <v/>
      </c>
      <c r="E543" s="339">
        <f>H139</f>
        <v/>
      </c>
      <c r="F543" s="338" t="n">
        <v>0</v>
      </c>
      <c r="G543" s="338" t="n">
        <v>0</v>
      </c>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v>0</v>
      </c>
      <c r="AA543" s="648" t="n">
        <v>0</v>
      </c>
      <c r="AB543" s="649">
        <f>+Z543+AA543</f>
        <v/>
      </c>
      <c r="AC543" s="648" t="n">
        <v>0</v>
      </c>
      <c r="AD543" s="648" t="n">
        <v>0</v>
      </c>
      <c r="AE543" s="648" t="n">
        <v>0</v>
      </c>
      <c r="AF543" s="648" t="n">
        <v>0</v>
      </c>
      <c r="AG543" s="648" t="n">
        <v>0</v>
      </c>
      <c r="AH543" s="648" t="n">
        <v>0</v>
      </c>
      <c r="AI543" s="648" t="n">
        <v>0</v>
      </c>
      <c r="AJ543" s="648" t="n">
        <v>0</v>
      </c>
      <c r="AK543" s="648" t="n">
        <v>0</v>
      </c>
      <c r="AL543" s="648" t="n">
        <v>0</v>
      </c>
      <c r="AM543" s="421">
        <f>SUM(AB543:AL547)</f>
        <v/>
      </c>
      <c r="AN543" s="726" t="n"/>
      <c r="AQ543" s="1238">
        <f>IFERROR(I543/J543*100,"0")</f>
        <v/>
      </c>
      <c r="AR543" s="343">
        <f>IFERROR(1/(1-(AQ543/100)),"0")</f>
        <v/>
      </c>
      <c r="AS543" s="1239" t="n">
        <v>0</v>
      </c>
      <c r="AT543" s="345" t="n">
        <v>1</v>
      </c>
      <c r="AU543" s="1240" t="n"/>
      <c r="AV543" s="1241" t="n"/>
      <c r="AW543" s="1242">
        <f>+H543-AV543</f>
        <v/>
      </c>
    </row>
    <row r="544" ht="17.25" customHeight="1">
      <c r="A544" s="973" t="n"/>
      <c r="B544" s="971" t="n"/>
      <c r="C544" s="972" t="n"/>
      <c r="D544" s="973"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73"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73"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73"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75" t="n"/>
      <c r="E548" s="975" t="n"/>
      <c r="F548" s="998" t="n"/>
      <c r="G548" s="998" t="n"/>
      <c r="H548" s="975" t="n"/>
      <c r="I548" s="975" t="n"/>
      <c r="J548" s="975" t="n"/>
      <c r="K548" s="1189">
        <f>K543=L548</f>
        <v/>
      </c>
      <c r="L548" s="491">
        <f>SUM(L543:L547)</f>
        <v/>
      </c>
      <c r="M548" s="1190" t="inlineStr">
        <is>
          <t xml:space="preserve">“Verdadero” indica que la cantidad por lote, coincide con el saldo que inicia al mes siguiente. "Falso" no coinicide. </t>
        </is>
      </c>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413">
        <f>ABRIL!K549</f>
        <v/>
      </c>
      <c r="E549" s="339">
        <f>H145</f>
        <v/>
      </c>
      <c r="F549" s="338" t="n">
        <v>1176</v>
      </c>
      <c r="G549" s="338" t="n">
        <v>14</v>
      </c>
      <c r="H549" s="1235">
        <f>+F549+G549</f>
        <v/>
      </c>
      <c r="I549" s="340">
        <f>+AM549</f>
        <v/>
      </c>
      <c r="J549" s="341">
        <f>+H549+I549</f>
        <v/>
      </c>
      <c r="K549" s="583">
        <f>+(D549+E549)-(J549)</f>
        <v/>
      </c>
      <c r="L549" s="253" t="n">
        <v>1705</v>
      </c>
      <c r="M549" s="254" t="inlineStr">
        <is>
          <t>2334L016E</t>
        </is>
      </c>
      <c r="N549" s="254" t="inlineStr">
        <is>
          <t>Serum</t>
        </is>
      </c>
      <c r="O549" s="1183" t="inlineStr">
        <is>
          <t>31/03/2027</t>
        </is>
      </c>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v>54</v>
      </c>
      <c r="AA549" s="648" t="n">
        <v>190</v>
      </c>
      <c r="AB549" s="649">
        <f>+Z549+AA549</f>
        <v/>
      </c>
      <c r="AC549" s="648" t="n">
        <v>0</v>
      </c>
      <c r="AD549" s="648" t="n">
        <v>0</v>
      </c>
      <c r="AE549" s="648" t="n">
        <v>0</v>
      </c>
      <c r="AF549" s="648" t="n">
        <v>0</v>
      </c>
      <c r="AG549" s="648" t="n">
        <v>0</v>
      </c>
      <c r="AH549" s="648" t="n">
        <v>0</v>
      </c>
      <c r="AI549" s="648" t="n">
        <v>0</v>
      </c>
      <c r="AJ549" s="648" t="n">
        <v>0</v>
      </c>
      <c r="AK549" s="648" t="n">
        <v>0</v>
      </c>
      <c r="AL549" s="648" t="n">
        <v>0</v>
      </c>
      <c r="AM549" s="421">
        <f>SUM(AB549:AL553)</f>
        <v/>
      </c>
      <c r="AN549" s="726" t="n"/>
      <c r="AQ549" s="1238">
        <f>IFERROR(I549/J549*100,"0")</f>
        <v/>
      </c>
      <c r="AR549" s="343">
        <f>IFERROR(1/(1-(AQ549/100)),"0")</f>
        <v/>
      </c>
      <c r="AS549" s="1239" t="n">
        <v>15</v>
      </c>
      <c r="AT549" s="345" t="n">
        <v>10</v>
      </c>
      <c r="AU549" s="1240" t="n"/>
      <c r="AV549" s="1241" t="n"/>
      <c r="AW549" s="1242">
        <f>+H549-AV549</f>
        <v/>
      </c>
    </row>
    <row r="550" ht="17.25" customHeight="1">
      <c r="A550" s="973" t="n"/>
      <c r="B550" s="971" t="n"/>
      <c r="C550" s="972" t="n"/>
      <c r="D550" s="973" t="n"/>
      <c r="E550" s="973" t="n"/>
      <c r="F550" s="994" t="n"/>
      <c r="G550" s="994" t="n"/>
      <c r="H550" s="973" t="n"/>
      <c r="I550" s="973" t="n"/>
      <c r="J550" s="973" t="n"/>
      <c r="K550" s="973" t="n"/>
      <c r="L550" s="253" t="n">
        <v>210</v>
      </c>
      <c r="M550" s="254" t="inlineStr">
        <is>
          <t>PAPELERIA</t>
        </is>
      </c>
      <c r="N550" s="254" t="inlineStr">
        <is>
          <t>Imprenta Nacional de Colombia</t>
        </is>
      </c>
      <c r="O550" s="1183" t="inlineStr">
        <is>
          <t>31/12/2030</t>
        </is>
      </c>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73" t="n"/>
      <c r="E551" s="973" t="n"/>
      <c r="F551" s="994" t="n"/>
      <c r="G551" s="994" t="n"/>
      <c r="H551" s="973" t="n"/>
      <c r="I551" s="973" t="n"/>
      <c r="J551" s="973" t="n"/>
      <c r="K551" s="973" t="n"/>
      <c r="L551" s="253" t="n">
        <v>97</v>
      </c>
      <c r="M551" s="254" t="inlineStr">
        <is>
          <t>2334L010B</t>
        </is>
      </c>
      <c r="N551" s="254" t="inlineStr">
        <is>
          <t>Serum</t>
        </is>
      </c>
      <c r="O551" s="1183" t="inlineStr">
        <is>
          <t>31/01/2027</t>
        </is>
      </c>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73" t="n"/>
      <c r="E552" s="973" t="n"/>
      <c r="F552" s="994" t="n"/>
      <c r="G552" s="994" t="n"/>
      <c r="H552" s="973" t="n"/>
      <c r="I552" s="973" t="n"/>
      <c r="J552" s="973" t="n"/>
      <c r="K552" s="973" t="n"/>
      <c r="L552" s="253" t="n">
        <v>18</v>
      </c>
      <c r="M552" s="254" t="inlineStr">
        <is>
          <t>2333X043B</t>
        </is>
      </c>
      <c r="N552" s="254" t="inlineStr">
        <is>
          <t>Serum</t>
        </is>
      </c>
      <c r="O552" s="1183" t="inlineStr">
        <is>
          <t>31/10/2026</t>
        </is>
      </c>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73" t="n"/>
      <c r="E553" s="973" t="n"/>
      <c r="F553" s="994" t="n"/>
      <c r="G553" s="994" t="n"/>
      <c r="H553" s="973" t="n"/>
      <c r="I553" s="973" t="n"/>
      <c r="J553" s="973" t="n"/>
      <c r="K553" s="975" t="n"/>
      <c r="L553" s="253" t="n">
        <v>48</v>
      </c>
      <c r="M553" s="254" t="inlineStr">
        <is>
          <t>2334X006A</t>
        </is>
      </c>
      <c r="N553" s="254" t="inlineStr">
        <is>
          <t>Serum</t>
        </is>
      </c>
      <c r="O553" s="1183" t="inlineStr">
        <is>
          <t>31/12/2026</t>
        </is>
      </c>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75" t="n"/>
      <c r="E554" s="975" t="n"/>
      <c r="F554" s="998" t="n"/>
      <c r="G554" s="998" t="n"/>
      <c r="H554" s="975" t="n"/>
      <c r="I554" s="975" t="n"/>
      <c r="J554" s="975" t="n"/>
      <c r="K554" s="1189">
        <f>K549=L554</f>
        <v/>
      </c>
      <c r="L554" s="491">
        <f>SUM(L549:L553)</f>
        <v/>
      </c>
      <c r="M554" s="1190" t="inlineStr">
        <is>
          <t xml:space="preserve">“Verdadero” indica que la cantidad por lote, coincide con el saldo que inicia al mes siguiente. "Falso" no coinicide. </t>
        </is>
      </c>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413">
        <f>ABRIL!K555</f>
        <v/>
      </c>
      <c r="E555" s="339">
        <f>H151</f>
        <v/>
      </c>
      <c r="F555" s="338" t="n">
        <v>615</v>
      </c>
      <c r="G555" s="338" t="n">
        <v>31</v>
      </c>
      <c r="H555" s="1235">
        <f>+F555+G555</f>
        <v/>
      </c>
      <c r="I555" s="340">
        <f>+AM555</f>
        <v/>
      </c>
      <c r="J555" s="341">
        <f>+H555+I555</f>
        <v/>
      </c>
      <c r="K555" s="583">
        <f>+(D555+E555)-(J555)</f>
        <v/>
      </c>
      <c r="L555" s="253" t="n">
        <v>1095</v>
      </c>
      <c r="M555" s="254" t="inlineStr">
        <is>
          <t>5DA79D1</t>
        </is>
      </c>
      <c r="N555" s="254" t="inlineStr">
        <is>
          <t>Sanofi Pasteur</t>
        </is>
      </c>
      <c r="O555" s="1183" t="inlineStr">
        <is>
          <t>30/09/2028</t>
        </is>
      </c>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v>0</v>
      </c>
      <c r="AA555" s="648" t="n">
        <v>0</v>
      </c>
      <c r="AB555" s="649">
        <f>+Z555+AA555</f>
        <v/>
      </c>
      <c r="AC555" s="648" t="n">
        <v>0</v>
      </c>
      <c r="AD555" s="648" t="n">
        <v>0</v>
      </c>
      <c r="AE555" s="648" t="n">
        <v>0</v>
      </c>
      <c r="AF555" s="648" t="n">
        <v>0</v>
      </c>
      <c r="AG555" s="648" t="n">
        <v>0</v>
      </c>
      <c r="AH555" s="648" t="n">
        <v>0</v>
      </c>
      <c r="AI555" s="648" t="n">
        <v>0</v>
      </c>
      <c r="AJ555" s="648" t="n">
        <v>0</v>
      </c>
      <c r="AK555" s="648" t="n">
        <v>0</v>
      </c>
      <c r="AL555" s="648" t="n">
        <v>0</v>
      </c>
      <c r="AM555" s="421">
        <f>SUM(AB555:AL559)</f>
        <v/>
      </c>
      <c r="AN555" s="726" t="n"/>
      <c r="AQ555" s="1238">
        <f>IFERROR(I555/J555*100,"0")</f>
        <v/>
      </c>
      <c r="AR555" s="343">
        <f>IFERROR(1/(1-(AQ555/100)),"0")</f>
        <v/>
      </c>
      <c r="AS555" s="1239" t="n">
        <v>0</v>
      </c>
      <c r="AT555" s="345" t="n">
        <v>1</v>
      </c>
      <c r="AU555" s="1240" t="n"/>
      <c r="AV555" s="1241" t="n"/>
      <c r="AW555" s="1242">
        <f>+H555-AV555</f>
        <v/>
      </c>
    </row>
    <row r="556" ht="17.25" customHeight="1">
      <c r="A556" s="973" t="n"/>
      <c r="B556" s="971" t="n"/>
      <c r="C556" s="972" t="n"/>
      <c r="D556" s="973" t="n"/>
      <c r="E556" s="973" t="n"/>
      <c r="F556" s="994" t="n"/>
      <c r="G556" s="994" t="n"/>
      <c r="H556" s="973" t="n"/>
      <c r="I556" s="973" t="n"/>
      <c r="J556" s="973" t="n"/>
      <c r="K556" s="973" t="n"/>
      <c r="L556" s="253" t="n">
        <v>141</v>
      </c>
      <c r="M556" s="254" t="inlineStr">
        <is>
          <t>3CA50C1</t>
        </is>
      </c>
      <c r="N556" s="254" t="inlineStr">
        <is>
          <t>Sanofi Pasteur</t>
        </is>
      </c>
      <c r="O556" s="1183" t="inlineStr">
        <is>
          <t>30/09/2027</t>
        </is>
      </c>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73" t="n"/>
      <c r="E557" s="973" t="n"/>
      <c r="F557" s="994" t="n"/>
      <c r="G557" s="994" t="n"/>
      <c r="H557" s="973" t="n"/>
      <c r="I557" s="973" t="n"/>
      <c r="J557" s="973" t="n"/>
      <c r="K557" s="973" t="n"/>
      <c r="L557" s="253" t="n"/>
      <c r="M557" s="254" t="n"/>
      <c r="N557" s="254" t="n"/>
      <c r="O557" s="1183" t="n"/>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73" t="n"/>
      <c r="E558" s="973" t="n"/>
      <c r="F558" s="994" t="n"/>
      <c r="G558" s="994" t="n"/>
      <c r="H558" s="973" t="n"/>
      <c r="I558" s="973" t="n"/>
      <c r="J558" s="973" t="n"/>
      <c r="K558" s="973" t="n"/>
      <c r="L558" s="253" t="n"/>
      <c r="M558" s="254" t="n"/>
      <c r="N558" s="254" t="n"/>
      <c r="O558" s="1183" t="n"/>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73"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75" t="n"/>
      <c r="E560" s="975" t="n"/>
      <c r="F560" s="998" t="n"/>
      <c r="G560" s="998" t="n"/>
      <c r="H560" s="975" t="n"/>
      <c r="I560" s="975" t="n"/>
      <c r="J560" s="975" t="n"/>
      <c r="K560" s="1189">
        <f>K555=L560</f>
        <v/>
      </c>
      <c r="L560" s="491">
        <f>SUM(L555:L559)</f>
        <v/>
      </c>
      <c r="M560" s="1190" t="inlineStr">
        <is>
          <t xml:space="preserve">“Verdadero” indica que la cantidad por lote, coincide con el saldo que inicia al mes siguiente. "Falso" no coinicide. </t>
        </is>
      </c>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66">
        <f>ABRIL!K561</f>
        <v/>
      </c>
      <c r="E561" s="339">
        <f>H157</f>
        <v/>
      </c>
      <c r="F561" s="338" t="n">
        <v>3242</v>
      </c>
      <c r="G561" s="338" t="n">
        <v>38</v>
      </c>
      <c r="H561" s="1235">
        <f>+F561+G561</f>
        <v/>
      </c>
      <c r="I561" s="340">
        <f>+AM561</f>
        <v/>
      </c>
      <c r="J561" s="341">
        <f>+H561+I561</f>
        <v/>
      </c>
      <c r="K561" s="583">
        <f>+(D561-D564+D565)+E561-J561</f>
        <v/>
      </c>
      <c r="L561" s="253" t="n">
        <v>3064</v>
      </c>
      <c r="M561" s="254" t="inlineStr">
        <is>
          <t>2600761-00</t>
        </is>
      </c>
      <c r="N561" s="254" t="inlineStr">
        <is>
          <t>BUTANTAN</t>
        </is>
      </c>
      <c r="O561" s="1183" t="inlineStr">
        <is>
          <t>31/01/2027</t>
        </is>
      </c>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v>128</v>
      </c>
      <c r="AA561" s="648" t="n">
        <v>303</v>
      </c>
      <c r="AB561" s="649">
        <f>+Z561+AA561</f>
        <v/>
      </c>
      <c r="AC561" s="648" t="n">
        <v>0</v>
      </c>
      <c r="AD561" s="648" t="n">
        <v>0</v>
      </c>
      <c r="AE561" s="648" t="n">
        <v>0</v>
      </c>
      <c r="AF561" s="648" t="n">
        <v>0</v>
      </c>
      <c r="AG561" s="648" t="n">
        <v>0</v>
      </c>
      <c r="AH561" s="648" t="n">
        <v>0</v>
      </c>
      <c r="AI561" s="648" t="n">
        <v>0</v>
      </c>
      <c r="AJ561" s="648" t="n">
        <v>0</v>
      </c>
      <c r="AK561" s="648" t="n">
        <v>0</v>
      </c>
      <c r="AL561" s="648" t="n">
        <v>0</v>
      </c>
      <c r="AM561" s="421">
        <f>SUM(AB561:AL565)</f>
        <v/>
      </c>
      <c r="AN561" s="726" t="n"/>
      <c r="AQ561" s="1238">
        <f>IFERROR(I561/J561*100,"0")</f>
        <v/>
      </c>
      <c r="AR561" s="343">
        <f>IFERROR(1/(1-(AQ561/100)),"0")</f>
        <v/>
      </c>
      <c r="AS561" s="1239" t="n">
        <v>15</v>
      </c>
      <c r="AT561" s="345" t="n">
        <v>20</v>
      </c>
      <c r="AU561" s="1240" t="n"/>
      <c r="AV561" s="1241" t="n"/>
      <c r="AW561" s="1242">
        <f>+H561-AV561</f>
        <v/>
      </c>
    </row>
    <row r="562" ht="19.5" customHeight="1">
      <c r="A562" s="973" t="n"/>
      <c r="B562" s="971" t="n"/>
      <c r="C562" s="972" t="n"/>
      <c r="D562" s="973" t="n"/>
      <c r="E562" s="973" t="n"/>
      <c r="F562" s="994" t="n"/>
      <c r="G562" s="994" t="n"/>
      <c r="H562" s="973" t="n"/>
      <c r="I562" s="973" t="n"/>
      <c r="J562" s="973" t="n"/>
      <c r="K562" s="973" t="n"/>
      <c r="L562" s="253" t="n"/>
      <c r="M562" s="254" t="n"/>
      <c r="N562" s="254" t="n"/>
      <c r="O562" s="1183" t="n"/>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75" t="n"/>
      <c r="E563" s="973" t="n"/>
      <c r="F563" s="994" t="n"/>
      <c r="G563" s="994" t="n"/>
      <c r="H563" s="973" t="n"/>
      <c r="I563" s="973" t="n"/>
      <c r="J563" s="973" t="n"/>
      <c r="K563" s="973" t="n"/>
      <c r="L563" s="253" t="n"/>
      <c r="M563" s="254" t="n"/>
      <c r="N563" s="254" t="n"/>
      <c r="O563" s="1183" t="n"/>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c r="M564" s="254" t="n"/>
      <c r="N564" s="254" t="n"/>
      <c r="O564" s="1183" t="n"/>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inlineStr">
        <is>
          <t xml:space="preserve">“Verdadero” indica que la cantidad por lote, coincide con el saldo que inicia al mes siguiente. "Falso" no coinicide. </t>
        </is>
      </c>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66">
        <f>ABRIL!K567</f>
        <v/>
      </c>
      <c r="E567" s="1244">
        <f>H163</f>
        <v/>
      </c>
      <c r="F567" s="338" t="n">
        <v>14495</v>
      </c>
      <c r="G567" s="338" t="n">
        <v>134</v>
      </c>
      <c r="H567" s="1235">
        <f>+F567+G567</f>
        <v/>
      </c>
      <c r="I567" s="340">
        <f>+AM567</f>
        <v/>
      </c>
      <c r="J567" s="341">
        <f>+H567+I567</f>
        <v/>
      </c>
      <c r="K567" s="583">
        <f>(D567-D570+D571+E567)-(J567)</f>
        <v/>
      </c>
      <c r="L567" s="253" t="n">
        <v>13866</v>
      </c>
      <c r="M567" s="254" t="inlineStr">
        <is>
          <t>V50526002</t>
        </is>
      </c>
      <c r="N567" s="254" t="inlineStr">
        <is>
          <t>GC BIOPHARMA CORP</t>
        </is>
      </c>
      <c r="O567" s="1183" t="inlineStr">
        <is>
          <t>29/01/2027</t>
        </is>
      </c>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v>111</v>
      </c>
      <c r="AA567" s="648" t="n">
        <v>127</v>
      </c>
      <c r="AB567" s="649">
        <f>+Z567+AA567</f>
        <v/>
      </c>
      <c r="AC567" s="648" t="n">
        <v>0</v>
      </c>
      <c r="AD567" s="648" t="n">
        <v>0</v>
      </c>
      <c r="AE567" s="648" t="n">
        <v>0</v>
      </c>
      <c r="AF567" s="648" t="n">
        <v>0</v>
      </c>
      <c r="AG567" s="648" t="n">
        <v>0</v>
      </c>
      <c r="AH567" s="648" t="n">
        <v>0</v>
      </c>
      <c r="AI567" s="648" t="n">
        <v>0</v>
      </c>
      <c r="AJ567" s="648" t="n">
        <v>0</v>
      </c>
      <c r="AK567" s="648" t="n">
        <v>0</v>
      </c>
      <c r="AL567" s="648" t="n">
        <v>0</v>
      </c>
      <c r="AM567" s="421">
        <f>SUM(AB567:AL571)</f>
        <v/>
      </c>
      <c r="AN567" s="726" t="n"/>
      <c r="AQ567" s="1238">
        <f>IFERROR(I567/J567*100,"0")</f>
        <v/>
      </c>
      <c r="AR567" s="343">
        <f>IFERROR(1/(1-(AQ567/100)),"0")</f>
        <v/>
      </c>
      <c r="AS567" s="1239" t="n">
        <v>10</v>
      </c>
      <c r="AT567" s="345" t="n">
        <v>10</v>
      </c>
      <c r="AU567" s="1240" t="n"/>
      <c r="AV567" s="1241" t="n"/>
      <c r="AW567" s="1242">
        <f>+H567-AV567</f>
        <v/>
      </c>
    </row>
    <row r="568" ht="19.5" customHeight="1">
      <c r="A568" s="973" t="n"/>
      <c r="B568" s="971" t="n"/>
      <c r="C568" s="972" t="n"/>
      <c r="D568" s="973" t="n"/>
      <c r="E568" s="973" t="n"/>
      <c r="F568" s="994" t="n"/>
      <c r="G568" s="994" t="n"/>
      <c r="H568" s="973" t="n"/>
      <c r="I568" s="973" t="n"/>
      <c r="J568" s="973" t="n"/>
      <c r="K568" s="973" t="n"/>
      <c r="L568" s="253" t="n">
        <v>3035</v>
      </c>
      <c r="M568" s="254" t="inlineStr">
        <is>
          <t>2600761-00</t>
        </is>
      </c>
      <c r="N568" s="254" t="inlineStr">
        <is>
          <t>BUTANTAN</t>
        </is>
      </c>
      <c r="O568" s="1183" t="inlineStr">
        <is>
          <t>31/01/2027</t>
        </is>
      </c>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75" t="n"/>
      <c r="E569" s="973" t="n"/>
      <c r="F569" s="994" t="n"/>
      <c r="G569" s="994" t="n"/>
      <c r="H569" s="973" t="n"/>
      <c r="I569" s="973" t="n"/>
      <c r="J569" s="973" t="n"/>
      <c r="K569" s="973" t="n"/>
      <c r="L569" s="253" t="n">
        <v>782</v>
      </c>
      <c r="M569" s="254" t="inlineStr">
        <is>
          <t>V50526006</t>
        </is>
      </c>
      <c r="N569" s="254" t="inlineStr">
        <is>
          <t>GC BIOPHARMA CORP</t>
        </is>
      </c>
      <c r="O569" s="1183" t="inlineStr">
        <is>
          <t>08/02/2027</t>
        </is>
      </c>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c r="M570" s="254" t="n"/>
      <c r="N570" s="254" t="n"/>
      <c r="O570" s="1183" t="n"/>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inlineStr">
        <is>
          <t xml:space="preserve">“Verdadero” indica que la cantidad por lote, coincide con el saldo que inicia al mes siguiente. "Falso" no coinicide. </t>
        </is>
      </c>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413">
        <f>ABRIL!K573</f>
        <v/>
      </c>
      <c r="E573" s="339">
        <f>H169</f>
        <v/>
      </c>
      <c r="F573" s="338" t="n">
        <v>496</v>
      </c>
      <c r="G573" s="338" t="n">
        <v>20</v>
      </c>
      <c r="H573" s="1235">
        <f>+F573+G573</f>
        <v/>
      </c>
      <c r="I573" s="340">
        <f>+AM573</f>
        <v/>
      </c>
      <c r="J573" s="341">
        <f>+H573+I573</f>
        <v/>
      </c>
      <c r="K573" s="583">
        <f>+(D573+E573)-(J573)</f>
        <v/>
      </c>
      <c r="L573" s="253" t="n">
        <v>302</v>
      </c>
      <c r="M573" s="254" t="inlineStr">
        <is>
          <t>NJ0375</t>
        </is>
      </c>
      <c r="N573" s="254" t="inlineStr">
        <is>
          <t>PFIZER</t>
        </is>
      </c>
      <c r="O573" s="1183" t="inlineStr">
        <is>
          <t>31/01/2029</t>
        </is>
      </c>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v>0</v>
      </c>
      <c r="AA573" s="648" t="n">
        <v>0</v>
      </c>
      <c r="AB573" s="649">
        <f>+Z573+AA573</f>
        <v/>
      </c>
      <c r="AC573" s="648" t="n">
        <v>0</v>
      </c>
      <c r="AD573" s="648" t="n">
        <v>0</v>
      </c>
      <c r="AE573" s="648" t="n">
        <v>0</v>
      </c>
      <c r="AF573" s="648" t="n">
        <v>0</v>
      </c>
      <c r="AG573" s="648" t="n">
        <v>0</v>
      </c>
      <c r="AH573" s="648" t="n">
        <v>0</v>
      </c>
      <c r="AI573" s="648" t="n">
        <v>0</v>
      </c>
      <c r="AJ573" s="648" t="n">
        <v>0</v>
      </c>
      <c r="AK573" s="648" t="n">
        <v>0</v>
      </c>
      <c r="AL573" s="648" t="n">
        <v>0</v>
      </c>
      <c r="AM573" s="421">
        <f>SUM(AB573:AL577)</f>
        <v/>
      </c>
      <c r="AN573" s="726" t="n"/>
      <c r="AQ573" s="1238">
        <f>IFERROR(I573/J573*100,"0")</f>
        <v/>
      </c>
      <c r="AR573" s="343">
        <f>IFERROR(1/(1-(AQ573/100)),"0")</f>
        <v/>
      </c>
      <c r="AS573" s="1239" t="n">
        <v>0</v>
      </c>
      <c r="AT573" s="345" t="n">
        <v>1</v>
      </c>
      <c r="AU573" s="1240" t="n"/>
      <c r="AV573" s="1241" t="n"/>
      <c r="AW573" s="1242">
        <f>+H573-AV573</f>
        <v/>
      </c>
    </row>
    <row r="574" ht="17.25" customHeight="1">
      <c r="A574" s="973" t="n"/>
      <c r="B574" s="971" t="n"/>
      <c r="C574" s="972" t="n"/>
      <c r="D574" s="973" t="n"/>
      <c r="E574" s="973" t="n"/>
      <c r="F574" s="994" t="n"/>
      <c r="G574" s="994" t="n"/>
      <c r="H574" s="973" t="n"/>
      <c r="I574" s="973" t="n"/>
      <c r="J574" s="973" t="n"/>
      <c r="K574" s="973" t="n"/>
      <c r="L574" s="253" t="n">
        <v>106</v>
      </c>
      <c r="M574" s="254" t="inlineStr">
        <is>
          <t>NC6343</t>
        </is>
      </c>
      <c r="N574" s="254" t="inlineStr">
        <is>
          <t>PFIZER</t>
        </is>
      </c>
      <c r="O574" s="1183" t="inlineStr">
        <is>
          <t>31/10/2027</t>
        </is>
      </c>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73" t="n"/>
      <c r="E575" s="973" t="n"/>
      <c r="F575" s="994" t="n"/>
      <c r="G575" s="994" t="n"/>
      <c r="H575" s="973" t="n"/>
      <c r="I575" s="973" t="n"/>
      <c r="J575" s="973" t="n"/>
      <c r="K575" s="973" t="n"/>
      <c r="L575" s="253" t="n">
        <v>62</v>
      </c>
      <c r="M575" s="254" t="inlineStr">
        <is>
          <t>MH8217</t>
        </is>
      </c>
      <c r="N575" s="254" t="inlineStr">
        <is>
          <t>PFIZER</t>
        </is>
      </c>
      <c r="O575" s="1183" t="inlineStr">
        <is>
          <t>30/06/2027</t>
        </is>
      </c>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73" t="n"/>
      <c r="E576" s="973" t="n"/>
      <c r="F576" s="994" t="n"/>
      <c r="G576" s="994" t="n"/>
      <c r="H576" s="973" t="n"/>
      <c r="I576" s="973" t="n"/>
      <c r="J576" s="973" t="n"/>
      <c r="K576" s="973" t="n"/>
      <c r="L576" s="253" t="n"/>
      <c r="M576" s="254" t="n"/>
      <c r="N576" s="254" t="n"/>
      <c r="O576" s="1183" t="n"/>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73" t="n"/>
      <c r="E577" s="973" t="n"/>
      <c r="F577" s="994" t="n"/>
      <c r="G577" s="994" t="n"/>
      <c r="H577" s="973" t="n"/>
      <c r="I577" s="973" t="n"/>
      <c r="J577" s="973" t="n"/>
      <c r="K577" s="975" t="n"/>
      <c r="L577" s="253" t="n"/>
      <c r="M577" s="254" t="n"/>
      <c r="N577" s="254" t="n"/>
      <c r="O577" s="1183" t="n"/>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75" t="n"/>
      <c r="E578" s="975" t="n"/>
      <c r="F578" s="998" t="n"/>
      <c r="G578" s="998" t="n"/>
      <c r="H578" s="975" t="n"/>
      <c r="I578" s="975" t="n"/>
      <c r="J578" s="975" t="n"/>
      <c r="K578" s="1189">
        <f>K573=L578</f>
        <v/>
      </c>
      <c r="L578" s="491">
        <f>SUM(L573:L577)</f>
        <v/>
      </c>
      <c r="M578" s="1190" t="inlineStr">
        <is>
          <t xml:space="preserve">“Verdadero” indica que la cantidad por lote, coincide con el saldo que inicia al mes siguiente. "Falso" no coinicide. </t>
        </is>
      </c>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413">
        <f>ABRIL!K579</f>
        <v/>
      </c>
      <c r="E579" s="339">
        <f>H175</f>
        <v/>
      </c>
      <c r="F579" s="338" t="n">
        <v>1043</v>
      </c>
      <c r="G579" s="338" t="n">
        <v>49</v>
      </c>
      <c r="H579" s="1235">
        <f>+F579+G579</f>
        <v/>
      </c>
      <c r="I579" s="340">
        <f>+AM579</f>
        <v/>
      </c>
      <c r="J579" s="341">
        <f>+H579+I579</f>
        <v/>
      </c>
      <c r="K579" s="583">
        <f>+(D579+E579)-(J579)</f>
        <v/>
      </c>
      <c r="L579" s="253" t="n">
        <v>1571</v>
      </c>
      <c r="M579" s="254" t="inlineStr">
        <is>
          <t>Y014828</t>
        </is>
      </c>
      <c r="N579" s="254" t="inlineStr">
        <is>
          <t>MERCK SHARP DOHME</t>
        </is>
      </c>
      <c r="O579" s="1183" t="inlineStr">
        <is>
          <t>31/05/2027</t>
        </is>
      </c>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v>4</v>
      </c>
      <c r="AA579" s="648" t="n">
        <v>0</v>
      </c>
      <c r="AB579" s="649">
        <f>+Z579+AA579</f>
        <v/>
      </c>
      <c r="AC579" s="648" t="n">
        <v>0</v>
      </c>
      <c r="AD579" s="648" t="n">
        <v>0</v>
      </c>
      <c r="AE579" s="648" t="n">
        <v>0</v>
      </c>
      <c r="AF579" s="648" t="n">
        <v>0</v>
      </c>
      <c r="AG579" s="648" t="n">
        <v>0</v>
      </c>
      <c r="AH579" s="648" t="n">
        <v>0</v>
      </c>
      <c r="AI579" s="648" t="n">
        <v>0</v>
      </c>
      <c r="AJ579" s="648" t="n">
        <v>1</v>
      </c>
      <c r="AK579" s="648" t="n">
        <v>0</v>
      </c>
      <c r="AL579" s="648" t="n">
        <v>0</v>
      </c>
      <c r="AM579" s="421">
        <f>SUM(AB579:AL583)</f>
        <v/>
      </c>
      <c r="AN579" s="726" t="n"/>
      <c r="AQ579" s="1238">
        <f>IFERROR(I579/J579*100,"0")</f>
        <v/>
      </c>
      <c r="AR579" s="343">
        <f>IFERROR(1/(1-(AQ579/100)),"0")</f>
        <v/>
      </c>
      <c r="AS579" s="1239" t="n">
        <v>0</v>
      </c>
      <c r="AT579" s="345" t="n">
        <v>1</v>
      </c>
      <c r="AU579" s="1240" t="n"/>
      <c r="AV579" s="1241" t="n"/>
      <c r="AW579" s="1242">
        <f>+H579-AV579</f>
        <v/>
      </c>
    </row>
    <row r="580" ht="17.25" customHeight="1">
      <c r="A580" s="973" t="n"/>
      <c r="B580" s="971" t="n"/>
      <c r="C580" s="972" t="n"/>
      <c r="D580" s="973" t="n"/>
      <c r="E580" s="973" t="n"/>
      <c r="F580" s="994" t="n"/>
      <c r="G580" s="994" t="n"/>
      <c r="H580" s="973" t="n"/>
      <c r="I580" s="973" t="n"/>
      <c r="J580" s="973" t="n"/>
      <c r="K580" s="973" t="n"/>
      <c r="L580" s="253" t="n">
        <v>1060</v>
      </c>
      <c r="M580" s="254" t="inlineStr">
        <is>
          <t>Y017576</t>
        </is>
      </c>
      <c r="N580" s="254" t="inlineStr">
        <is>
          <t>MERCK SHARP DOHME</t>
        </is>
      </c>
      <c r="O580" s="1183" t="inlineStr">
        <is>
          <t>05/06/2027</t>
        </is>
      </c>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73" t="n"/>
      <c r="E581" s="973" t="n"/>
      <c r="F581" s="994" t="n"/>
      <c r="G581" s="994" t="n"/>
      <c r="H581" s="973" t="n"/>
      <c r="I581" s="973" t="n"/>
      <c r="J581" s="973" t="n"/>
      <c r="K581" s="973" t="n"/>
      <c r="L581" s="253" t="n"/>
      <c r="M581" s="254" t="n"/>
      <c r="N581" s="254" t="n"/>
      <c r="O581" s="1183" t="n"/>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73" t="n"/>
      <c r="E582" s="973" t="n"/>
      <c r="F582" s="994" t="n"/>
      <c r="G582" s="994" t="n"/>
      <c r="H582" s="973" t="n"/>
      <c r="I582" s="973" t="n"/>
      <c r="J582" s="973" t="n"/>
      <c r="K582" s="973" t="n"/>
      <c r="L582" s="253" t="n">
        <v>20</v>
      </c>
      <c r="M582" s="254" t="inlineStr">
        <is>
          <t>Y004352</t>
        </is>
      </c>
      <c r="N582" s="254" t="inlineStr">
        <is>
          <t>MSD</t>
        </is>
      </c>
      <c r="O582" s="1183" t="inlineStr">
        <is>
          <t>20/11/2026</t>
        </is>
      </c>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73"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75" t="n"/>
      <c r="E584" s="975" t="n"/>
      <c r="F584" s="998" t="n"/>
      <c r="G584" s="998" t="n"/>
      <c r="H584" s="975" t="n"/>
      <c r="I584" s="975" t="n"/>
      <c r="J584" s="975" t="n"/>
      <c r="K584" s="1189">
        <f>K579=L584</f>
        <v/>
      </c>
      <c r="L584" s="491">
        <f>SUM(L579:L583)</f>
        <v/>
      </c>
      <c r="M584" s="1190" t="inlineStr">
        <is>
          <t xml:space="preserve">“Verdadero” indica que la cantidad por lote, coincide con el saldo que inicia al mes siguiente. "Falso" no coinicide. </t>
        </is>
      </c>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413">
        <f>ABRIL!K585</f>
        <v/>
      </c>
      <c r="E585" s="339">
        <f>H181</f>
        <v/>
      </c>
      <c r="F585" s="338" t="n">
        <v>0</v>
      </c>
      <c r="G585" s="338" t="n">
        <v>0</v>
      </c>
      <c r="H585" s="1235">
        <f>+F585+G585</f>
        <v/>
      </c>
      <c r="I585" s="340">
        <f>+AM585</f>
        <v/>
      </c>
      <c r="J585" s="341">
        <f>+H585+I585</f>
        <v/>
      </c>
      <c r="K585" s="583">
        <f>+(D585+E585)-(J585)</f>
        <v/>
      </c>
      <c r="L585" s="253" t="n"/>
      <c r="M585" s="254" t="n"/>
      <c r="N585" s="254" t="n"/>
      <c r="O585" s="1183" t="inlineStr">
        <is>
          <t>31/05/2027</t>
        </is>
      </c>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v>0</v>
      </c>
      <c r="AA585" s="648" t="n">
        <v>0</v>
      </c>
      <c r="AB585" s="649">
        <f>+Z585+AA585</f>
        <v/>
      </c>
      <c r="AC585" s="648" t="n">
        <v>0</v>
      </c>
      <c r="AD585" s="648" t="n">
        <v>0</v>
      </c>
      <c r="AE585" s="648" t="n">
        <v>0</v>
      </c>
      <c r="AF585" s="648" t="n">
        <v>0</v>
      </c>
      <c r="AG585" s="648" t="n">
        <v>0</v>
      </c>
      <c r="AH585" s="648" t="n">
        <v>0</v>
      </c>
      <c r="AI585" s="648" t="n">
        <v>0</v>
      </c>
      <c r="AJ585" s="648" t="n">
        <v>0</v>
      </c>
      <c r="AK585" s="648" t="n">
        <v>0</v>
      </c>
      <c r="AL585" s="648" t="n">
        <v>0</v>
      </c>
      <c r="AM585" s="421">
        <f>SUM(AB585:AL589)</f>
        <v/>
      </c>
      <c r="AN585" s="726" t="n"/>
      <c r="AQ585" s="1238">
        <f>IFERROR(I585/J585*100,"0")</f>
        <v/>
      </c>
      <c r="AR585" s="343">
        <f>IFERROR(1/(1-(AQ585/100)),"0")</f>
        <v/>
      </c>
      <c r="AS585" s="1239" t="n">
        <v>0</v>
      </c>
      <c r="AT585" s="345" t="n">
        <v>1</v>
      </c>
      <c r="AU585" s="1240" t="n"/>
      <c r="AV585" s="1241" t="n"/>
      <c r="AW585" s="1242">
        <f>+H585-AV585</f>
        <v/>
      </c>
    </row>
    <row r="586" ht="17.25" customHeight="1">
      <c r="A586" s="973" t="n"/>
      <c r="B586" s="971" t="n"/>
      <c r="C586" s="972" t="n"/>
      <c r="D586" s="973"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73"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73"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73"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75" t="n"/>
      <c r="E590" s="975" t="n"/>
      <c r="F590" s="998" t="n"/>
      <c r="G590" s="998" t="n"/>
      <c r="H590" s="975" t="n"/>
      <c r="I590" s="975" t="n"/>
      <c r="J590" s="975" t="n"/>
      <c r="K590" s="1189">
        <f>K585=L590</f>
        <v/>
      </c>
      <c r="L590" s="491">
        <f>SUM(L585:L589)</f>
        <v/>
      </c>
      <c r="M590" s="1190" t="inlineStr">
        <is>
          <t xml:space="preserve">“Verdadero” indica que la cantidad por lote, coincide con el saldo que inicia al mes siguiente. "Falso" no coinicide. </t>
        </is>
      </c>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413">
        <f>ABRIL!K591</f>
        <v/>
      </c>
      <c r="E591" s="339">
        <f>H187</f>
        <v/>
      </c>
      <c r="F591" s="338" t="n">
        <v>402</v>
      </c>
      <c r="G591" s="338" t="n">
        <v>0</v>
      </c>
      <c r="H591" s="1235">
        <f>+F591+G591</f>
        <v/>
      </c>
      <c r="I591" s="340">
        <f>+AM591</f>
        <v/>
      </c>
      <c r="J591" s="341">
        <f>+H591+I591</f>
        <v/>
      </c>
      <c r="K591" s="583">
        <f>+(D591+E591)-(J591)</f>
        <v/>
      </c>
      <c r="L591" s="253" t="n">
        <v>402</v>
      </c>
      <c r="M591" s="254" t="inlineStr">
        <is>
          <t>1485T007</t>
        </is>
      </c>
      <c r="N591" s="254" t="inlineStr">
        <is>
          <t>Serum</t>
        </is>
      </c>
      <c r="O591" s="1183" t="inlineStr">
        <is>
          <t>31/01/2028</t>
        </is>
      </c>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v>0</v>
      </c>
      <c r="AA591" s="648" t="n">
        <v>0</v>
      </c>
      <c r="AB591" s="649">
        <f>+Z591+AA591</f>
        <v/>
      </c>
      <c r="AC591" s="648" t="n">
        <v>0</v>
      </c>
      <c r="AD591" s="648" t="n">
        <v>0</v>
      </c>
      <c r="AE591" s="648" t="n">
        <v>0</v>
      </c>
      <c r="AF591" s="648" t="n">
        <v>0</v>
      </c>
      <c r="AG591" s="648" t="n">
        <v>0</v>
      </c>
      <c r="AH591" s="648" t="n">
        <v>0</v>
      </c>
      <c r="AI591" s="648" t="n">
        <v>0</v>
      </c>
      <c r="AJ591" s="648" t="n">
        <v>0</v>
      </c>
      <c r="AK591" s="648" t="n">
        <v>0</v>
      </c>
      <c r="AL591" s="648" t="n">
        <v>0</v>
      </c>
      <c r="AM591" s="421">
        <f>SUM(AB591:AL595)</f>
        <v/>
      </c>
      <c r="AN591" s="726" t="n"/>
      <c r="AQ591" s="1238">
        <f>IFERROR(I591/J591*100,"0")</f>
        <v/>
      </c>
      <c r="AR591" s="343">
        <f>IFERROR(1/(1-(AQ591/100)),"0")</f>
        <v/>
      </c>
      <c r="AS591" s="1239" t="n">
        <v>0</v>
      </c>
      <c r="AT591" s="345" t="n">
        <v>1</v>
      </c>
      <c r="AU591" s="1240" t="n"/>
      <c r="AV591" s="1241" t="n"/>
      <c r="AW591" s="1242">
        <f>+H591-AV591</f>
        <v/>
      </c>
    </row>
    <row r="592" ht="17.25" customHeight="1">
      <c r="A592" s="973" t="n"/>
      <c r="B592" s="971" t="n"/>
      <c r="C592" s="972" t="n"/>
      <c r="D592" s="973" t="n"/>
      <c r="E592" s="973" t="n"/>
      <c r="F592" s="994" t="n"/>
      <c r="G592" s="994" t="n"/>
      <c r="H592" s="973" t="n"/>
      <c r="I592" s="973" t="n"/>
      <c r="J592" s="973" t="n"/>
      <c r="K592" s="973" t="n"/>
      <c r="L592" s="253" t="n">
        <v>118</v>
      </c>
      <c r="M592" s="254" t="inlineStr">
        <is>
          <t>1484T128</t>
        </is>
      </c>
      <c r="N592" s="254" t="inlineStr">
        <is>
          <t>Serum</t>
        </is>
      </c>
      <c r="O592" s="1183" t="inlineStr">
        <is>
          <t>31/10/2027</t>
        </is>
      </c>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73" t="n"/>
      <c r="E593" s="973" t="n"/>
      <c r="F593" s="994" t="n"/>
      <c r="G593" s="994" t="n"/>
      <c r="H593" s="973" t="n"/>
      <c r="I593" s="973" t="n"/>
      <c r="J593" s="973" t="n"/>
      <c r="K593" s="973" t="n"/>
      <c r="L593" s="253" t="n"/>
      <c r="M593" s="254" t="n"/>
      <c r="N593" s="254" t="n"/>
      <c r="O593" s="1183" t="inlineStr">
        <is>
          <t>31/12/2030</t>
        </is>
      </c>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73" t="n"/>
      <c r="E594" s="973" t="n"/>
      <c r="F594" s="994" t="n"/>
      <c r="G594" s="994" t="n"/>
      <c r="H594" s="973" t="n"/>
      <c r="I594" s="973" t="n"/>
      <c r="J594" s="973" t="n"/>
      <c r="K594" s="973" t="n"/>
      <c r="L594" s="253" t="n">
        <v>40</v>
      </c>
      <c r="M594" s="254" t="inlineStr">
        <is>
          <t>Y017576</t>
        </is>
      </c>
      <c r="N594" s="254" t="inlineStr">
        <is>
          <t>MERCK SHARP DOHME</t>
        </is>
      </c>
      <c r="O594" s="1183" t="inlineStr">
        <is>
          <t>05/06/2027</t>
        </is>
      </c>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73" t="n"/>
      <c r="E595" s="973" t="n"/>
      <c r="F595" s="994" t="n"/>
      <c r="G595" s="994" t="n"/>
      <c r="H595" s="973" t="n"/>
      <c r="I595" s="973" t="n"/>
      <c r="J595" s="973" t="n"/>
      <c r="K595" s="975" t="n"/>
      <c r="L595" s="253" t="n">
        <v>9</v>
      </c>
      <c r="M595" s="254" t="inlineStr">
        <is>
          <t>08AR25015</t>
        </is>
      </c>
      <c r="N595" s="254" t="inlineStr">
        <is>
          <t>VINS BIOPRODUCTS LIMITED</t>
        </is>
      </c>
      <c r="O595" s="1183" t="inlineStr">
        <is>
          <t>31/05/2027</t>
        </is>
      </c>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75" t="n"/>
      <c r="E596" s="975" t="n"/>
      <c r="F596" s="998" t="n"/>
      <c r="G596" s="998" t="n"/>
      <c r="H596" s="975" t="n"/>
      <c r="I596" s="975" t="n"/>
      <c r="J596" s="975" t="n"/>
      <c r="K596" s="1189">
        <f>K591=L596</f>
        <v/>
      </c>
      <c r="L596" s="491">
        <f>SUM(L591:L595)</f>
        <v/>
      </c>
      <c r="M596" s="1190" t="inlineStr">
        <is>
          <t xml:space="preserve">“Verdadero” indica que la cantidad por lote, coincide con el saldo que inicia al mes siguiente. "Falso" no coinicide. </t>
        </is>
      </c>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413">
        <f>ABRIL!K597</f>
        <v/>
      </c>
      <c r="E597" s="339">
        <f>H193</f>
        <v/>
      </c>
      <c r="F597" s="338" t="n">
        <v>4</v>
      </c>
      <c r="G597" s="338" t="n">
        <v>0</v>
      </c>
      <c r="H597" s="1235">
        <f>+F597+G597</f>
        <v/>
      </c>
      <c r="I597" s="340">
        <f>+AM597</f>
        <v/>
      </c>
      <c r="J597" s="341">
        <f>+H597+I597</f>
        <v/>
      </c>
      <c r="K597" s="583">
        <f>+(D597+E597)-(J597)</f>
        <v/>
      </c>
      <c r="L597" s="253" t="n">
        <v>19</v>
      </c>
      <c r="M597" s="254" t="inlineStr">
        <is>
          <t>1484T128</t>
        </is>
      </c>
      <c r="N597" s="254" t="inlineStr">
        <is>
          <t>Serum</t>
        </is>
      </c>
      <c r="O597" s="1183" t="inlineStr">
        <is>
          <t>31/10/2027</t>
        </is>
      </c>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v>0</v>
      </c>
      <c r="AA597" s="648" t="n">
        <v>0</v>
      </c>
      <c r="AB597" s="649">
        <f>+Z597+AA597</f>
        <v/>
      </c>
      <c r="AC597" s="648" t="n">
        <v>0</v>
      </c>
      <c r="AD597" s="648" t="n">
        <v>0</v>
      </c>
      <c r="AE597" s="648" t="n">
        <v>0</v>
      </c>
      <c r="AF597" s="648" t="n">
        <v>0</v>
      </c>
      <c r="AG597" s="648" t="n">
        <v>0</v>
      </c>
      <c r="AH597" s="648" t="n">
        <v>0</v>
      </c>
      <c r="AI597" s="648" t="n">
        <v>0</v>
      </c>
      <c r="AJ597" s="648" t="n">
        <v>0</v>
      </c>
      <c r="AK597" s="648" t="n">
        <v>0</v>
      </c>
      <c r="AL597" s="648" t="n">
        <v>0</v>
      </c>
      <c r="AM597" s="421">
        <f>SUM(AB597:AL601)</f>
        <v/>
      </c>
      <c r="AN597" s="726" t="n"/>
      <c r="AQ597" s="1238">
        <f>IFERROR(I597/J597*100,"0")</f>
        <v/>
      </c>
      <c r="AR597" s="343">
        <f>IFERROR(1/(1-(AQ597/100)),"0")</f>
        <v/>
      </c>
      <c r="AS597" s="1239" t="n">
        <v>0</v>
      </c>
      <c r="AT597" s="345" t="n">
        <v>1</v>
      </c>
      <c r="AU597" s="1240" t="n"/>
      <c r="AV597" s="1241" t="n"/>
      <c r="AW597" s="1242">
        <f>+H597-AV597</f>
        <v/>
      </c>
    </row>
    <row r="598" ht="17.25" customHeight="1">
      <c r="A598" s="973" t="n"/>
      <c r="B598" s="971" t="n"/>
      <c r="C598" s="972" t="n"/>
      <c r="D598" s="973" t="n"/>
      <c r="E598" s="973" t="n"/>
      <c r="F598" s="994" t="n"/>
      <c r="G598" s="994" t="n"/>
      <c r="H598" s="973" t="n"/>
      <c r="I598" s="973" t="n"/>
      <c r="J598" s="973" t="n"/>
      <c r="K598" s="973" t="n"/>
      <c r="L598" s="253" t="n"/>
      <c r="M598" s="254" t="n"/>
      <c r="N598" s="254" t="n"/>
      <c r="O598" s="1183" t="n"/>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73" t="n"/>
      <c r="E599" s="973" t="n"/>
      <c r="F599" s="994" t="n"/>
      <c r="G599" s="994" t="n"/>
      <c r="H599" s="973" t="n"/>
      <c r="I599" s="973" t="n"/>
      <c r="J599" s="973" t="n"/>
      <c r="K599" s="973" t="n"/>
      <c r="L599" s="253" t="n"/>
      <c r="M599" s="254" t="n"/>
      <c r="N599" s="254" t="n"/>
      <c r="O599" s="1183" t="n"/>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73"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73"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75" t="n"/>
      <c r="E602" s="975" t="n"/>
      <c r="F602" s="998" t="n"/>
      <c r="G602" s="998" t="n"/>
      <c r="H602" s="975" t="n"/>
      <c r="I602" s="975" t="n"/>
      <c r="J602" s="975" t="n"/>
      <c r="K602" s="1189">
        <f>K597=L602</f>
        <v/>
      </c>
      <c r="L602" s="491">
        <f>SUM(L597:L601)</f>
        <v/>
      </c>
      <c r="M602" s="1190" t="inlineStr">
        <is>
          <t xml:space="preserve">“Verdadero” indica que la cantidad por lote, coincide con el saldo que inicia al mes siguiente. "Falso" no coinicide. </t>
        </is>
      </c>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413">
        <f>ABRIL!K603</f>
        <v/>
      </c>
      <c r="E603" s="339">
        <f>H199</f>
        <v/>
      </c>
      <c r="F603" s="338" t="n">
        <v>134</v>
      </c>
      <c r="G603" s="338" t="n">
        <v>0</v>
      </c>
      <c r="H603" s="1235">
        <f>+F603+G603</f>
        <v/>
      </c>
      <c r="I603" s="340">
        <f>+AM603</f>
        <v/>
      </c>
      <c r="J603" s="341">
        <f>+H603+I603</f>
        <v/>
      </c>
      <c r="K603" s="583">
        <f>+(D603+E603)-(J603)</f>
        <v/>
      </c>
      <c r="L603" s="253" t="n">
        <v>163</v>
      </c>
      <c r="M603" s="254" t="inlineStr">
        <is>
          <t>08AR25015</t>
        </is>
      </c>
      <c r="N603" s="254" t="inlineStr">
        <is>
          <t>VINS BIOPRODUCTS LIMITED</t>
        </is>
      </c>
      <c r="O603" s="1183" t="inlineStr">
        <is>
          <t>31/05/2027</t>
        </is>
      </c>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v>0</v>
      </c>
      <c r="AA603" s="648" t="n">
        <v>0</v>
      </c>
      <c r="AB603" s="649">
        <f>+Z603+AA603</f>
        <v/>
      </c>
      <c r="AC603" s="648" t="n">
        <v>0</v>
      </c>
      <c r="AD603" s="648" t="n">
        <v>0</v>
      </c>
      <c r="AE603" s="648" t="n">
        <v>0</v>
      </c>
      <c r="AF603" s="648" t="n">
        <v>0</v>
      </c>
      <c r="AG603" s="648" t="n">
        <v>0</v>
      </c>
      <c r="AH603" s="648" t="n">
        <v>0</v>
      </c>
      <c r="AI603" s="648" t="n">
        <v>0</v>
      </c>
      <c r="AJ603" s="648" t="n">
        <v>0</v>
      </c>
      <c r="AK603" s="648" t="n">
        <v>0</v>
      </c>
      <c r="AL603" s="648" t="n">
        <v>0</v>
      </c>
      <c r="AM603" s="421">
        <f>SUM(AB603:AL607)</f>
        <v/>
      </c>
      <c r="AN603" s="726" t="n"/>
      <c r="AQ603" s="1238">
        <f>IFERROR(I603/J603*100,"0")</f>
        <v/>
      </c>
      <c r="AR603" s="343">
        <f>IFERROR(1/(1-(AQ603/100)),"0")</f>
        <v/>
      </c>
      <c r="AS603" s="1239" t="n">
        <v>0</v>
      </c>
      <c r="AT603" s="345" t="n">
        <v>1</v>
      </c>
      <c r="AU603" s="1240" t="n"/>
      <c r="AV603" s="1241" t="n"/>
      <c r="AW603" s="1242">
        <f>+H603-AV603</f>
        <v/>
      </c>
    </row>
    <row r="604" ht="17.25" customHeight="1">
      <c r="A604" s="973" t="n"/>
      <c r="B604" s="971" t="n"/>
      <c r="C604" s="972" t="n"/>
      <c r="D604" s="973" t="n"/>
      <c r="E604" s="973" t="n"/>
      <c r="F604" s="994" t="n"/>
      <c r="G604" s="994" t="n"/>
      <c r="H604" s="973" t="n"/>
      <c r="I604" s="973" t="n"/>
      <c r="J604" s="973" t="n"/>
      <c r="K604" s="973" t="n"/>
      <c r="L604" s="253" t="n"/>
      <c r="M604" s="254" t="n"/>
      <c r="N604" s="254" t="n"/>
      <c r="O604" s="1183" t="n"/>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73" t="n"/>
      <c r="E605" s="973" t="n"/>
      <c r="F605" s="994" t="n"/>
      <c r="G605" s="994" t="n"/>
      <c r="H605" s="973" t="n"/>
      <c r="I605" s="973" t="n"/>
      <c r="J605" s="973" t="n"/>
      <c r="K605" s="973" t="n"/>
      <c r="L605" s="253" t="n"/>
      <c r="M605" s="254" t="n"/>
      <c r="N605" s="254" t="n"/>
      <c r="O605" s="1183" t="n"/>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73" t="n"/>
      <c r="E606" s="973" t="n"/>
      <c r="F606" s="994" t="n"/>
      <c r="G606" s="994" t="n"/>
      <c r="H606" s="973" t="n"/>
      <c r="I606" s="973" t="n"/>
      <c r="J606" s="973" t="n"/>
      <c r="K606" s="973" t="n"/>
      <c r="L606" s="253" t="n"/>
      <c r="M606" s="254" t="n"/>
      <c r="N606" s="254" t="n"/>
      <c r="O606" s="1183" t="n"/>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73"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75" t="n"/>
      <c r="E608" s="975" t="n"/>
      <c r="F608" s="998" t="n"/>
      <c r="G608" s="998" t="n"/>
      <c r="H608" s="975" t="n"/>
      <c r="I608" s="975" t="n"/>
      <c r="J608" s="975" t="n"/>
      <c r="K608" s="1189">
        <f>K603=L608</f>
        <v/>
      </c>
      <c r="L608" s="491">
        <f>SUM(L603:L607)</f>
        <v/>
      </c>
      <c r="M608" s="1190" t="inlineStr">
        <is>
          <t xml:space="preserve">“Verdadero” indica que la cantidad por lote, coincide con el saldo que inicia al mes siguiente. "Falso" no coinicide. </t>
        </is>
      </c>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413">
        <f>ABRIL!K609</f>
        <v/>
      </c>
      <c r="E609" s="339">
        <f>H205</f>
        <v/>
      </c>
      <c r="F609" s="338" t="n">
        <v>19</v>
      </c>
      <c r="G609" s="338" t="n">
        <v>0</v>
      </c>
      <c r="H609" s="1235">
        <f>+F609+G609</f>
        <v/>
      </c>
      <c r="I609" s="340">
        <f>+AM609</f>
        <v/>
      </c>
      <c r="J609" s="341">
        <f>+H609+I609</f>
        <v/>
      </c>
      <c r="K609" s="583">
        <f>+(D609+E609)-(J609)</f>
        <v/>
      </c>
      <c r="L609" s="253" t="n">
        <v>35</v>
      </c>
      <c r="M609" s="254" t="inlineStr">
        <is>
          <t>P100756726</t>
        </is>
      </c>
      <c r="N609" s="254" t="inlineStr">
        <is>
          <t>CSL BEHRING</t>
        </is>
      </c>
      <c r="O609" s="1183" t="inlineStr">
        <is>
          <t>09/10/2027</t>
        </is>
      </c>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v>0</v>
      </c>
      <c r="AA609" s="648" t="n">
        <v>0</v>
      </c>
      <c r="AB609" s="649">
        <f>+Z609+AA609</f>
        <v/>
      </c>
      <c r="AC609" s="648" t="n">
        <v>0</v>
      </c>
      <c r="AD609" s="648" t="n">
        <v>0</v>
      </c>
      <c r="AE609" s="648" t="n">
        <v>0</v>
      </c>
      <c r="AF609" s="648" t="n">
        <v>0</v>
      </c>
      <c r="AG609" s="648" t="n">
        <v>0</v>
      </c>
      <c r="AH609" s="648" t="n">
        <v>0</v>
      </c>
      <c r="AI609" s="648" t="n">
        <v>0</v>
      </c>
      <c r="AJ609" s="648" t="n">
        <v>0</v>
      </c>
      <c r="AK609" s="648" t="n">
        <v>0</v>
      </c>
      <c r="AL609" s="648" t="n">
        <v>0</v>
      </c>
      <c r="AM609" s="421">
        <f>SUM(AB609:AL613)</f>
        <v/>
      </c>
      <c r="AN609" s="726" t="n"/>
      <c r="AQ609" s="1238">
        <f>IFERROR(I609/J609*100,"0")</f>
        <v/>
      </c>
      <c r="AR609" s="343">
        <f>IFERROR(1/(1-(AQ609/100)),"0")</f>
        <v/>
      </c>
      <c r="AS609" s="1239" t="n">
        <v>0</v>
      </c>
      <c r="AT609" s="345" t="n">
        <v>1</v>
      </c>
      <c r="AU609" s="1240" t="n"/>
      <c r="AV609" s="1241" t="n"/>
      <c r="AW609" s="1242">
        <f>+H609-AV609</f>
        <v/>
      </c>
    </row>
    <row r="610" ht="17.25" customHeight="1">
      <c r="A610" s="973" t="n"/>
      <c r="B610" s="971" t="n"/>
      <c r="C610" s="972" t="n"/>
      <c r="D610" s="973" t="n"/>
      <c r="E610" s="973" t="n"/>
      <c r="F610" s="994" t="n"/>
      <c r="G610" s="994" t="n"/>
      <c r="H610" s="973" t="n"/>
      <c r="I610" s="973" t="n"/>
      <c r="J610" s="973" t="n"/>
      <c r="K610" s="973" t="n"/>
      <c r="L610" s="253" t="n">
        <v>20</v>
      </c>
      <c r="M610" s="254" t="inlineStr">
        <is>
          <t>P100734570</t>
        </is>
      </c>
      <c r="N610" s="254" t="inlineStr">
        <is>
          <t>CSL BEHRING</t>
        </is>
      </c>
      <c r="O610" s="1183" t="inlineStr">
        <is>
          <t>12/02/2027</t>
        </is>
      </c>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73" t="n"/>
      <c r="E611" s="973" t="n"/>
      <c r="F611" s="994" t="n"/>
      <c r="G611" s="994" t="n"/>
      <c r="H611" s="973" t="n"/>
      <c r="I611" s="973" t="n"/>
      <c r="J611" s="973" t="n"/>
      <c r="K611" s="973" t="n"/>
      <c r="L611" s="253" t="n">
        <v>11</v>
      </c>
      <c r="M611" s="254" t="inlineStr">
        <is>
          <t>P100700727</t>
        </is>
      </c>
      <c r="N611" s="254" t="inlineStr">
        <is>
          <t>CSL BEHRING</t>
        </is>
      </c>
      <c r="O611" s="1183" t="inlineStr">
        <is>
          <t>08/04/2027</t>
        </is>
      </c>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73" t="n"/>
      <c r="E612" s="973" t="n"/>
      <c r="F612" s="994" t="n"/>
      <c r="G612" s="994" t="n"/>
      <c r="H612" s="973" t="n"/>
      <c r="I612" s="973" t="n"/>
      <c r="J612" s="973" t="n"/>
      <c r="K612" s="973" t="n"/>
      <c r="L612" s="253" t="n">
        <v>6</v>
      </c>
      <c r="M612" s="254" t="inlineStr">
        <is>
          <t>P100666739</t>
        </is>
      </c>
      <c r="N612" s="254" t="inlineStr">
        <is>
          <t>CSL BEHRING</t>
        </is>
      </c>
      <c r="O612" s="1183" t="inlineStr">
        <is>
          <t>12/02/2027</t>
        </is>
      </c>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73" t="n"/>
      <c r="E613" s="973" t="n"/>
      <c r="F613" s="994" t="n"/>
      <c r="G613" s="994" t="n"/>
      <c r="H613" s="973" t="n"/>
      <c r="I613" s="973" t="n"/>
      <c r="J613" s="973" t="n"/>
      <c r="K613" s="975" t="n"/>
      <c r="L613" s="253" t="n">
        <v>2</v>
      </c>
      <c r="M613" s="254" t="inlineStr">
        <is>
          <t>P100646141</t>
        </is>
      </c>
      <c r="N613" s="254" t="inlineStr">
        <is>
          <t>CSL BEHRING</t>
        </is>
      </c>
      <c r="O613" s="1183" t="inlineStr">
        <is>
          <t>27/11/2026</t>
        </is>
      </c>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75" t="n"/>
      <c r="E614" s="975" t="n"/>
      <c r="F614" s="998" t="n"/>
      <c r="G614" s="998" t="n"/>
      <c r="H614" s="975" t="n"/>
      <c r="I614" s="975" t="n"/>
      <c r="J614" s="975" t="n"/>
      <c r="K614" s="1189">
        <f>K609=L614</f>
        <v/>
      </c>
      <c r="L614" s="491">
        <f>SUM(L609:L613)</f>
        <v/>
      </c>
      <c r="M614" s="1190" t="inlineStr">
        <is>
          <t xml:space="preserve">“Verdadero” indica que la cantidad por lote, coincide con el saldo que inicia al mes siguiente. "Falso" no coinicide. </t>
        </is>
      </c>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413">
        <f>ABRIL!K615</f>
        <v/>
      </c>
      <c r="E615" s="339">
        <f>H211</f>
        <v/>
      </c>
      <c r="F615" s="338" t="n">
        <v>0</v>
      </c>
      <c r="G615" s="338" t="n">
        <v>0</v>
      </c>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v>0</v>
      </c>
      <c r="AA615" s="648" t="n">
        <v>0</v>
      </c>
      <c r="AB615" s="649">
        <f>+Z615+AA615</f>
        <v/>
      </c>
      <c r="AC615" s="648" t="n">
        <v>0</v>
      </c>
      <c r="AD615" s="648" t="n">
        <v>0</v>
      </c>
      <c r="AE615" s="648" t="n">
        <v>0</v>
      </c>
      <c r="AF615" s="648" t="n">
        <v>0</v>
      </c>
      <c r="AG615" s="648" t="n">
        <v>0</v>
      </c>
      <c r="AH615" s="648" t="n">
        <v>0</v>
      </c>
      <c r="AI615" s="648" t="n">
        <v>0</v>
      </c>
      <c r="AJ615" s="648" t="n">
        <v>0</v>
      </c>
      <c r="AK615" s="648" t="n">
        <v>0</v>
      </c>
      <c r="AL615" s="648" t="n">
        <v>0</v>
      </c>
      <c r="AM615" s="421">
        <f>SUM(AB615:AL619)</f>
        <v/>
      </c>
      <c r="AN615" s="726" t="n"/>
      <c r="AQ615" s="1238">
        <f>IFERROR(I615/J615*100,"0")</f>
        <v/>
      </c>
      <c r="AR615" s="343">
        <f>IFERROR(1/(1-(AQ615/100)),"0")</f>
        <v/>
      </c>
      <c r="AS615" s="1239" t="n">
        <v>0</v>
      </c>
      <c r="AT615" s="345" t="n">
        <v>1</v>
      </c>
      <c r="AU615" s="1240" t="n"/>
      <c r="AV615" s="1241" t="n"/>
      <c r="AW615" s="1242">
        <f>+H615-AV615</f>
        <v/>
      </c>
    </row>
    <row r="616" ht="17.25" customHeight="1">
      <c r="A616" s="973" t="n"/>
      <c r="B616" s="971" t="n"/>
      <c r="C616" s="972" t="n"/>
      <c r="D616" s="973"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73"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73"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73"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75" t="n"/>
      <c r="E620" s="975" t="n"/>
      <c r="F620" s="998" t="n"/>
      <c r="G620" s="998" t="n"/>
      <c r="H620" s="975" t="n"/>
      <c r="I620" s="975" t="n"/>
      <c r="J620" s="975" t="n"/>
      <c r="K620" s="1189">
        <f>K615=L620</f>
        <v/>
      </c>
      <c r="L620" s="491">
        <f>SUM(L615:L619)</f>
        <v/>
      </c>
      <c r="M620" s="1190" t="inlineStr">
        <is>
          <t xml:space="preserve">“Verdadero” indica que la cantidad por lote, coincide con el saldo que inicia al mes siguiente. "Falso" no coinicide. </t>
        </is>
      </c>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413">
        <f>ABRIL!K621</f>
        <v/>
      </c>
      <c r="E621" s="339">
        <f>H217</f>
        <v/>
      </c>
      <c r="F621" s="338" t="n">
        <v>0</v>
      </c>
      <c r="G621" s="338" t="n">
        <v>0</v>
      </c>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v>0</v>
      </c>
      <c r="AA621" s="648" t="n">
        <v>0</v>
      </c>
      <c r="AB621" s="649">
        <f>+Z621+AA621</f>
        <v/>
      </c>
      <c r="AC621" s="648" t="n">
        <v>0</v>
      </c>
      <c r="AD621" s="648" t="n">
        <v>0</v>
      </c>
      <c r="AE621" s="648" t="n">
        <v>0</v>
      </c>
      <c r="AF621" s="648" t="n">
        <v>0</v>
      </c>
      <c r="AG621" s="648" t="n">
        <v>0</v>
      </c>
      <c r="AH621" s="648" t="n">
        <v>0</v>
      </c>
      <c r="AI621" s="648" t="n">
        <v>0</v>
      </c>
      <c r="AJ621" s="648" t="n">
        <v>0</v>
      </c>
      <c r="AK621" s="648" t="n">
        <v>0</v>
      </c>
      <c r="AL621" s="648" t="n">
        <v>0</v>
      </c>
      <c r="AM621" s="421">
        <f>SUM(AB621:AL625)</f>
        <v/>
      </c>
      <c r="AN621" s="726" t="n"/>
      <c r="AQ621" s="1238">
        <f>IFERROR(I621/J621*100,"0")</f>
        <v/>
      </c>
      <c r="AR621" s="343">
        <f>IFERROR(1/(1-(AQ621/100)),"0")</f>
        <v/>
      </c>
      <c r="AS621" s="1239" t="n">
        <v>0</v>
      </c>
      <c r="AT621" s="345" t="n">
        <v>1</v>
      </c>
      <c r="AU621" s="1240" t="n"/>
      <c r="AV621" s="1241" t="n"/>
      <c r="AW621" s="1242">
        <f>+H621-AV621</f>
        <v/>
      </c>
    </row>
    <row r="622" ht="17.25" customHeight="1">
      <c r="A622" s="973" t="n"/>
      <c r="B622" s="971" t="n"/>
      <c r="C622" s="972" t="n"/>
      <c r="D622" s="973"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73"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73"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73"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75" t="n"/>
      <c r="E626" s="975" t="n"/>
      <c r="F626" s="998" t="n"/>
      <c r="G626" s="998" t="n"/>
      <c r="H626" s="975" t="n"/>
      <c r="I626" s="975" t="n"/>
      <c r="J626" s="975" t="n"/>
      <c r="K626" s="1189">
        <f>K621=L626</f>
        <v/>
      </c>
      <c r="L626" s="491">
        <f>SUM(L621:L625)</f>
        <v/>
      </c>
      <c r="M626" s="1190" t="inlineStr">
        <is>
          <t xml:space="preserve">“Verdadero” indica que la cantidad por lote, coincide con el saldo que inicia al mes siguiente. "Falso" no coinicide. </t>
        </is>
      </c>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413">
        <f>ABRIL!K627</f>
        <v/>
      </c>
      <c r="E627" s="339">
        <f>H223</f>
        <v/>
      </c>
      <c r="F627" s="338" t="n">
        <v>0</v>
      </c>
      <c r="G627" s="338" t="n">
        <v>0</v>
      </c>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v>0</v>
      </c>
      <c r="AA627" s="648" t="n">
        <v>0</v>
      </c>
      <c r="AB627" s="649">
        <f>+Z627+AA627</f>
        <v/>
      </c>
      <c r="AC627" s="648" t="n">
        <v>0</v>
      </c>
      <c r="AD627" s="648" t="n">
        <v>0</v>
      </c>
      <c r="AE627" s="648" t="n">
        <v>0</v>
      </c>
      <c r="AF627" s="648" t="n">
        <v>0</v>
      </c>
      <c r="AG627" s="648" t="n">
        <v>0</v>
      </c>
      <c r="AH627" s="648" t="n">
        <v>0</v>
      </c>
      <c r="AI627" s="648" t="n">
        <v>0</v>
      </c>
      <c r="AJ627" s="648" t="n">
        <v>0</v>
      </c>
      <c r="AK627" s="648" t="n">
        <v>0</v>
      </c>
      <c r="AL627" s="648" t="n">
        <v>0</v>
      </c>
      <c r="AM627" s="421">
        <f>SUM(AB627:AL631)</f>
        <v/>
      </c>
      <c r="AN627" s="726" t="n"/>
      <c r="AQ627" s="1238">
        <f>IFERROR(I627/J627*100,"0")</f>
        <v/>
      </c>
      <c r="AR627" s="343">
        <f>IFERROR(1/(1-(AQ627/100)),"0")</f>
        <v/>
      </c>
      <c r="AS627" s="1239" t="n">
        <v>0</v>
      </c>
      <c r="AT627" s="345" t="n">
        <v>1</v>
      </c>
      <c r="AU627" s="1240" t="n"/>
      <c r="AV627" s="1241" t="n"/>
      <c r="AW627" s="1242">
        <f>+H627-AV627</f>
        <v/>
      </c>
    </row>
    <row r="628" ht="17.25" customHeight="1">
      <c r="A628" s="973" t="n"/>
      <c r="B628" s="971" t="n"/>
      <c r="C628" s="972" t="n"/>
      <c r="D628" s="973"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73"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73"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73"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75" t="n"/>
      <c r="E632" s="975" t="n"/>
      <c r="F632" s="998" t="n"/>
      <c r="G632" s="998" t="n"/>
      <c r="H632" s="975" t="n"/>
      <c r="I632" s="975" t="n"/>
      <c r="J632" s="975" t="n"/>
      <c r="K632" s="1189">
        <f>K627=L632</f>
        <v/>
      </c>
      <c r="L632" s="491">
        <f>SUM(L627:L631)</f>
        <v/>
      </c>
      <c r="M632" s="1190" t="inlineStr">
        <is>
          <t xml:space="preserve">“Verdadero” indica que la cantidad por lote, coincide con el saldo que inicia al mes siguiente. "Falso" no coinicide. </t>
        </is>
      </c>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647"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413">
        <f>ABRIL!K634</f>
        <v/>
      </c>
      <c r="E634" s="339">
        <f>H230</f>
        <v/>
      </c>
      <c r="F634" s="338" t="n">
        <v>662</v>
      </c>
      <c r="G634" s="338" t="n">
        <v>24</v>
      </c>
      <c r="H634" s="1235">
        <f>+F634+G634</f>
        <v/>
      </c>
      <c r="I634" s="340">
        <f>+AM634</f>
        <v/>
      </c>
      <c r="J634" s="341">
        <f>+H634+I634</f>
        <v/>
      </c>
      <c r="K634" s="583">
        <f>+(D634+E634)-(J634)</f>
        <v/>
      </c>
      <c r="L634" s="253" t="n">
        <v>2185</v>
      </c>
      <c r="M634" s="254" t="inlineStr">
        <is>
          <t>0704S4011</t>
        </is>
      </c>
      <c r="N634" s="254" t="inlineStr">
        <is>
          <t>Serum</t>
        </is>
      </c>
      <c r="O634" s="1183" t="inlineStr">
        <is>
          <t>30/06/2028</t>
        </is>
      </c>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v>818</v>
      </c>
      <c r="AA634" s="648" t="n">
        <v>386</v>
      </c>
      <c r="AB634" s="649">
        <f>+Z634+AA634</f>
        <v/>
      </c>
      <c r="AC634" s="648" t="n">
        <v>0</v>
      </c>
      <c r="AD634" s="648" t="n">
        <v>0</v>
      </c>
      <c r="AE634" s="648" t="n">
        <v>0</v>
      </c>
      <c r="AF634" s="648" t="n">
        <v>0</v>
      </c>
      <c r="AG634" s="648" t="n">
        <v>0</v>
      </c>
      <c r="AH634" s="648" t="n">
        <v>0</v>
      </c>
      <c r="AI634" s="648" t="n">
        <v>0</v>
      </c>
      <c r="AJ634" s="648" t="n">
        <v>0</v>
      </c>
      <c r="AK634" s="648" t="n">
        <v>0</v>
      </c>
      <c r="AL634" s="648" t="n">
        <v>0</v>
      </c>
      <c r="AM634" s="421">
        <f>SUM(AB634:AL638)</f>
        <v/>
      </c>
      <c r="AN634" s="726" t="n"/>
      <c r="AU634" s="1240" t="n"/>
      <c r="AV634" s="1240" t="n"/>
    </row>
    <row r="635" ht="17.1" customHeight="1">
      <c r="A635" s="973" t="n"/>
      <c r="B635" s="971" t="n"/>
      <c r="C635" s="972" t="n"/>
      <c r="D635" s="973" t="n"/>
      <c r="E635" s="973" t="n"/>
      <c r="F635" s="994" t="n"/>
      <c r="G635" s="994" t="n"/>
      <c r="H635" s="973" t="n"/>
      <c r="I635" s="973" t="n"/>
      <c r="J635" s="973" t="n"/>
      <c r="K635" s="973" t="n"/>
      <c r="L635" s="253" t="n"/>
      <c r="M635" s="254" t="n"/>
      <c r="N635" s="254" t="n"/>
      <c r="O635" s="1183" t="n"/>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73" t="n"/>
      <c r="E636" s="973" t="n"/>
      <c r="F636" s="994" t="n"/>
      <c r="G636" s="994" t="n"/>
      <c r="H636" s="973" t="n"/>
      <c r="I636" s="973" t="n"/>
      <c r="J636" s="973" t="n"/>
      <c r="K636" s="973" t="n"/>
      <c r="L636" s="253" t="n">
        <v>190</v>
      </c>
      <c r="M636" s="254" t="inlineStr">
        <is>
          <t>0704S4001</t>
        </is>
      </c>
      <c r="N636" s="254" t="inlineStr">
        <is>
          <t>Serum</t>
        </is>
      </c>
      <c r="O636" s="1183" t="inlineStr">
        <is>
          <t>31/12/2027</t>
        </is>
      </c>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73" t="n"/>
      <c r="E637" s="973" t="n"/>
      <c r="F637" s="994" t="n"/>
      <c r="G637" s="994" t="n"/>
      <c r="H637" s="973" t="n"/>
      <c r="I637" s="973" t="n"/>
      <c r="J637" s="973" t="n"/>
      <c r="K637" s="973" t="n"/>
      <c r="L637" s="253" t="n">
        <v>20</v>
      </c>
      <c r="M637" s="254" t="inlineStr">
        <is>
          <t>0703S1005</t>
        </is>
      </c>
      <c r="N637" s="254" t="inlineStr">
        <is>
          <t>Serum</t>
        </is>
      </c>
      <c r="O637" s="1183" t="inlineStr">
        <is>
          <t>28/02/2027</t>
        </is>
      </c>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73" t="n"/>
      <c r="E638" s="973" t="n"/>
      <c r="F638" s="994" t="n"/>
      <c r="G638" s="994" t="n"/>
      <c r="H638" s="973" t="n"/>
      <c r="I638" s="973" t="n"/>
      <c r="J638" s="973" t="n"/>
      <c r="K638" s="975" t="n"/>
      <c r="L638" s="253" t="n">
        <v>20</v>
      </c>
      <c r="M638" s="254" t="inlineStr">
        <is>
          <t>0374MA072</t>
        </is>
      </c>
      <c r="N638" s="254" t="inlineStr">
        <is>
          <t>Serum</t>
        </is>
      </c>
      <c r="O638" s="1183" t="inlineStr">
        <is>
          <t>31/12/2026</t>
        </is>
      </c>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75" t="n"/>
      <c r="E639" s="975" t="n"/>
      <c r="F639" s="998" t="n"/>
      <c r="G639" s="998" t="n"/>
      <c r="H639" s="975" t="n"/>
      <c r="I639" s="975" t="n"/>
      <c r="J639" s="975" t="n"/>
      <c r="K639" s="1189">
        <f>K634=L639</f>
        <v/>
      </c>
      <c r="L639" s="491">
        <f>SUM(L634:L638)</f>
        <v/>
      </c>
      <c r="M639" s="1190" t="inlineStr">
        <is>
          <t xml:space="preserve">“Verdadero” indica que la cantidad por lote, coincide con el saldo que inicia al mes siguiente. "Falso" no coinicide. </t>
        </is>
      </c>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413">
        <f>ABRIL!K640</f>
        <v/>
      </c>
      <c r="E640" s="339">
        <f>H236</f>
        <v/>
      </c>
      <c r="F640" s="338" t="n">
        <v>1316</v>
      </c>
      <c r="G640" s="338" t="n">
        <v>30</v>
      </c>
      <c r="H640" s="1235">
        <f>+F640+G640</f>
        <v/>
      </c>
      <c r="I640" s="340">
        <f>+AM640</f>
        <v/>
      </c>
      <c r="J640" s="341">
        <f>+H640+I640</f>
        <v/>
      </c>
      <c r="K640" s="583">
        <f>+(D640+E640)-(J640)</f>
        <v/>
      </c>
      <c r="L640" s="253" t="n">
        <v>2495</v>
      </c>
      <c r="M640" s="254" t="inlineStr">
        <is>
          <t>0643S1010</t>
        </is>
      </c>
      <c r="N640" s="254" t="inlineStr">
        <is>
          <t>Serum</t>
        </is>
      </c>
      <c r="O640" s="1183" t="inlineStr">
        <is>
          <t>30/04/2028</t>
        </is>
      </c>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v>0</v>
      </c>
      <c r="AA640" s="648" t="n">
        <v>0</v>
      </c>
      <c r="AB640" s="649">
        <f>+Z640+AA640</f>
        <v/>
      </c>
      <c r="AC640" s="648" t="n">
        <v>0</v>
      </c>
      <c r="AD640" s="648" t="n">
        <v>0</v>
      </c>
      <c r="AE640" s="648" t="n">
        <v>0</v>
      </c>
      <c r="AF640" s="648" t="n">
        <v>1</v>
      </c>
      <c r="AG640" s="648" t="n">
        <v>0</v>
      </c>
      <c r="AH640" s="648" t="n">
        <v>0</v>
      </c>
      <c r="AI640" s="648" t="n">
        <v>0</v>
      </c>
      <c r="AJ640" s="648" t="n">
        <v>0</v>
      </c>
      <c r="AK640" s="648" t="n">
        <v>0</v>
      </c>
      <c r="AL640" s="648" t="n">
        <v>0</v>
      </c>
      <c r="AM640" s="421">
        <f>SUM(AB640:AL644)</f>
        <v/>
      </c>
      <c r="AN640" s="726" t="n"/>
      <c r="AU640" s="1240" t="n"/>
      <c r="AV640" s="1240" t="n"/>
    </row>
    <row r="641" ht="17.1" customHeight="1">
      <c r="A641" s="973" t="n"/>
      <c r="B641" s="971" t="n"/>
      <c r="C641" s="972" t="n"/>
      <c r="D641" s="973" t="n"/>
      <c r="E641" s="973" t="n"/>
      <c r="F641" s="994" t="n"/>
      <c r="G641" s="994" t="n"/>
      <c r="H641" s="973" t="n"/>
      <c r="I641" s="973" t="n"/>
      <c r="J641" s="973" t="n"/>
      <c r="K641" s="973" t="n"/>
      <c r="L641" s="253" t="n"/>
      <c r="M641" s="254" t="n"/>
      <c r="N641" s="254" t="n"/>
      <c r="O641" s="1183" t="n"/>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73" t="n"/>
      <c r="E642" s="973" t="n"/>
      <c r="F642" s="994" t="n"/>
      <c r="G642" s="994" t="n"/>
      <c r="H642" s="973" t="n"/>
      <c r="I642" s="973" t="n"/>
      <c r="J642" s="973" t="n"/>
      <c r="K642" s="973" t="n"/>
      <c r="L642" s="253" t="n"/>
      <c r="M642" s="254" t="n"/>
      <c r="N642" s="254" t="n"/>
      <c r="O642" s="1183" t="n"/>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73" t="n"/>
      <c r="E643" s="973" t="n"/>
      <c r="F643" s="994" t="n"/>
      <c r="G643" s="994" t="n"/>
      <c r="H643" s="973" t="n"/>
      <c r="I643" s="973" t="n"/>
      <c r="J643" s="973" t="n"/>
      <c r="K643" s="973" t="n"/>
      <c r="L643" s="253" t="n"/>
      <c r="M643" s="254" t="n"/>
      <c r="N643" s="254" t="n"/>
      <c r="O643" s="1183" t="n"/>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73"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75" t="n"/>
      <c r="E645" s="975" t="n"/>
      <c r="F645" s="998" t="n"/>
      <c r="G645" s="998" t="n"/>
      <c r="H645" s="975" t="n"/>
      <c r="I645" s="975" t="n"/>
      <c r="J645" s="975" t="n"/>
      <c r="K645" s="1189">
        <f>K640=L645</f>
        <v/>
      </c>
      <c r="L645" s="491">
        <f>SUM(L640:L644)</f>
        <v/>
      </c>
      <c r="M645" s="1190" t="inlineStr">
        <is>
          <t xml:space="preserve">“Verdadero” indica que la cantidad por lote, coincide con el saldo que inicia al mes siguiente. "Falso" no coinicide. </t>
        </is>
      </c>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413">
        <f>ABRIL!K646</f>
        <v/>
      </c>
      <c r="E646" s="339">
        <f>H242</f>
        <v/>
      </c>
      <c r="F646" s="338" t="n">
        <v>0</v>
      </c>
      <c r="G646" s="338" t="n">
        <v>0</v>
      </c>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v>0</v>
      </c>
      <c r="AA646" s="648" t="n">
        <v>0</v>
      </c>
      <c r="AB646" s="649">
        <f>+Z646+AA646</f>
        <v/>
      </c>
      <c r="AC646" s="648" t="n">
        <v>0</v>
      </c>
      <c r="AD646" s="648" t="n">
        <v>0</v>
      </c>
      <c r="AE646" s="648" t="n">
        <v>0</v>
      </c>
      <c r="AF646" s="648" t="n">
        <v>0</v>
      </c>
      <c r="AG646" s="648" t="n">
        <v>0</v>
      </c>
      <c r="AH646" s="648" t="n">
        <v>0</v>
      </c>
      <c r="AI646" s="648" t="n">
        <v>0</v>
      </c>
      <c r="AJ646" s="648" t="n">
        <v>0</v>
      </c>
      <c r="AK646" s="648" t="n">
        <v>0</v>
      </c>
      <c r="AL646" s="648" t="n">
        <v>0</v>
      </c>
      <c r="AM646" s="421">
        <f>SUM(AB646:AL650)</f>
        <v/>
      </c>
      <c r="AN646" s="726" t="n"/>
      <c r="AU646" s="1240" t="n"/>
      <c r="AV646" s="1240" t="n"/>
    </row>
    <row r="647" ht="17.1" customHeight="1">
      <c r="A647" s="973" t="n"/>
      <c r="B647" s="971" t="n"/>
      <c r="C647" s="972" t="n"/>
      <c r="D647" s="973"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73"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73"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73"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75" t="n"/>
      <c r="E651" s="975" t="n"/>
      <c r="F651" s="998" t="n"/>
      <c r="G651" s="998" t="n"/>
      <c r="H651" s="975" t="n"/>
      <c r="I651" s="975" t="n"/>
      <c r="J651" s="975" t="n"/>
      <c r="K651" s="1189">
        <f>K646=L651</f>
        <v/>
      </c>
      <c r="L651" s="491">
        <f>SUM(L646:L650)</f>
        <v/>
      </c>
      <c r="M651" s="1190" t="inlineStr">
        <is>
          <t xml:space="preserve">“Verdadero” indica que la cantidad por lote, coincide con el saldo que inicia al mes siguiente. "Falso" no coinicide. </t>
        </is>
      </c>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413">
        <f>ABRIL!K652</f>
        <v/>
      </c>
      <c r="E652" s="339">
        <f>H248</f>
        <v/>
      </c>
      <c r="F652" s="338" t="n">
        <v>0</v>
      </c>
      <c r="G652" s="338" t="n">
        <v>0</v>
      </c>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v>0</v>
      </c>
      <c r="AA652" s="648" t="n">
        <v>0</v>
      </c>
      <c r="AB652" s="649">
        <f>+Z652+AA652</f>
        <v/>
      </c>
      <c r="AC652" s="648" t="n">
        <v>0</v>
      </c>
      <c r="AD652" s="648" t="n">
        <v>0</v>
      </c>
      <c r="AE652" s="648" t="n">
        <v>0</v>
      </c>
      <c r="AF652" s="648" t="n">
        <v>0</v>
      </c>
      <c r="AG652" s="648" t="n">
        <v>0</v>
      </c>
      <c r="AH652" s="648" t="n">
        <v>0</v>
      </c>
      <c r="AI652" s="648" t="n">
        <v>0</v>
      </c>
      <c r="AJ652" s="648" t="n">
        <v>0</v>
      </c>
      <c r="AK652" s="648" t="n">
        <v>0</v>
      </c>
      <c r="AL652" s="648" t="n">
        <v>0</v>
      </c>
      <c r="AM652" s="421">
        <f>SUM(AB652:AL656)</f>
        <v/>
      </c>
      <c r="AN652" s="726" t="n"/>
      <c r="AU652" s="1240" t="n"/>
      <c r="AV652" s="1240" t="n"/>
    </row>
    <row r="653" ht="17.1" customHeight="1">
      <c r="A653" s="973" t="n"/>
      <c r="B653" s="971" t="n"/>
      <c r="C653" s="972" t="n"/>
      <c r="D653" s="973"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73"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73"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73"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75" t="n"/>
      <c r="E657" s="975" t="n"/>
      <c r="F657" s="998" t="n"/>
      <c r="G657" s="998" t="n"/>
      <c r="H657" s="975" t="n"/>
      <c r="I657" s="975" t="n"/>
      <c r="J657" s="975" t="n"/>
      <c r="K657" s="1189">
        <f>K652=L657</f>
        <v/>
      </c>
      <c r="L657" s="491">
        <f>SUM(L652:L656)</f>
        <v/>
      </c>
      <c r="M657" s="1190" t="inlineStr">
        <is>
          <t xml:space="preserve">“Verdadero” indica que la cantidad por lote, coincide con el saldo que inicia al mes siguiente. "Falso" no coinicide. </t>
        </is>
      </c>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413">
        <f>ABRIL!K658</f>
        <v/>
      </c>
      <c r="E658" s="339">
        <f>H254</f>
        <v/>
      </c>
      <c r="F658" s="338" t="n">
        <v>789</v>
      </c>
      <c r="G658" s="338" t="n">
        <v>15</v>
      </c>
      <c r="H658" s="1235">
        <f>+F658+G658</f>
        <v/>
      </c>
      <c r="I658" s="340">
        <f>+AM658</f>
        <v/>
      </c>
      <c r="J658" s="341">
        <f>+H658+I658</f>
        <v/>
      </c>
      <c r="K658" s="583">
        <f>+(D658+E658)-(J658)</f>
        <v/>
      </c>
      <c r="L658" s="253" t="n">
        <v>2200</v>
      </c>
      <c r="M658" s="254" t="inlineStr">
        <is>
          <t>0643S4003</t>
        </is>
      </c>
      <c r="N658" s="254" t="inlineStr">
        <is>
          <t>Serum</t>
        </is>
      </c>
      <c r="O658" s="1183" t="inlineStr">
        <is>
          <t>31/08/2028</t>
        </is>
      </c>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v>0</v>
      </c>
      <c r="AA658" s="648" t="n">
        <v>0</v>
      </c>
      <c r="AB658" s="649">
        <f>+Z658+AA658</f>
        <v/>
      </c>
      <c r="AC658" s="648" t="n">
        <v>0</v>
      </c>
      <c r="AD658" s="648" t="n">
        <v>0</v>
      </c>
      <c r="AE658" s="648" t="n">
        <v>0</v>
      </c>
      <c r="AF658" s="648" t="n">
        <v>1</v>
      </c>
      <c r="AG658" s="648" t="n">
        <v>0</v>
      </c>
      <c r="AH658" s="648" t="n">
        <v>0</v>
      </c>
      <c r="AI658" s="648" t="n">
        <v>0</v>
      </c>
      <c r="AJ658" s="648" t="n">
        <v>0</v>
      </c>
      <c r="AK658" s="648" t="n">
        <v>0</v>
      </c>
      <c r="AL658" s="648" t="n">
        <v>0</v>
      </c>
      <c r="AM658" s="421">
        <f>SUM(AB658:AL662)</f>
        <v/>
      </c>
      <c r="AN658" s="726" t="n"/>
      <c r="AU658" s="1240" t="n"/>
      <c r="AV658" s="1240" t="n"/>
    </row>
    <row r="659" ht="17.1" customHeight="1">
      <c r="A659" s="973" t="n"/>
      <c r="B659" s="971" t="n"/>
      <c r="C659" s="972" t="n"/>
      <c r="D659" s="973" t="n"/>
      <c r="E659" s="973" t="n"/>
      <c r="F659" s="994" t="n"/>
      <c r="G659" s="994" t="n"/>
      <c r="H659" s="973" t="n"/>
      <c r="I659" s="973" t="n"/>
      <c r="J659" s="973" t="n"/>
      <c r="K659" s="973" t="n"/>
      <c r="L659" s="253" t="n"/>
      <c r="M659" s="254" t="n"/>
      <c r="N659" s="254" t="n"/>
      <c r="O659" s="1183" t="n"/>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73" t="n"/>
      <c r="E660" s="973" t="n"/>
      <c r="F660" s="994" t="n"/>
      <c r="G660" s="994" t="n"/>
      <c r="H660" s="973" t="n"/>
      <c r="I660" s="973" t="n"/>
      <c r="J660" s="973" t="n"/>
      <c r="K660" s="973" t="n"/>
      <c r="L660" s="253" t="n"/>
      <c r="M660" s="254" t="n"/>
      <c r="N660" s="254" t="n"/>
      <c r="O660" s="1183" t="n"/>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73" t="n"/>
      <c r="E661" s="973" t="n"/>
      <c r="F661" s="994" t="n"/>
      <c r="G661" s="994" t="n"/>
      <c r="H661" s="973" t="n"/>
      <c r="I661" s="973" t="n"/>
      <c r="J661" s="973" t="n"/>
      <c r="K661" s="973" t="n"/>
      <c r="L661" s="253" t="n"/>
      <c r="M661" s="254" t="n"/>
      <c r="N661" s="254" t="n"/>
      <c r="O661" s="1183" t="n"/>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73"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75" t="n"/>
      <c r="E663" s="975" t="n"/>
      <c r="F663" s="998" t="n"/>
      <c r="G663" s="998" t="n"/>
      <c r="H663" s="975" t="n"/>
      <c r="I663" s="975" t="n"/>
      <c r="J663" s="975" t="n"/>
      <c r="K663" s="1189">
        <f>K658=L663</f>
        <v/>
      </c>
      <c r="L663" s="491">
        <f>SUM(L658:L662)</f>
        <v/>
      </c>
      <c r="M663" s="1190" t="inlineStr">
        <is>
          <t xml:space="preserve">“Verdadero” indica que la cantidad por lote, coincide con el saldo que inicia al mes siguiente. "Falso" no coinicide. </t>
        </is>
      </c>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413">
        <f>ABRIL!K664</f>
        <v/>
      </c>
      <c r="E664" s="339">
        <f>H260</f>
        <v/>
      </c>
      <c r="F664" s="338" t="n"/>
      <c r="G664" s="338" t="n">
        <v>0</v>
      </c>
      <c r="H664" s="1235">
        <f>+F664+G664</f>
        <v/>
      </c>
      <c r="I664" s="340">
        <f>+AM664</f>
        <v/>
      </c>
      <c r="J664" s="341">
        <f>+H664+I664</f>
        <v/>
      </c>
      <c r="K664" s="583">
        <f>+(D664+E664)-(J664)</f>
        <v/>
      </c>
      <c r="L664" s="253" t="n"/>
      <c r="M664" s="254" t="n"/>
      <c r="N664" s="254" t="n"/>
      <c r="O664" s="1183" t="inlineStr">
        <is>
          <t>30/09/2029</t>
        </is>
      </c>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v>0</v>
      </c>
      <c r="AA664" s="648" t="n">
        <v>0</v>
      </c>
      <c r="AB664" s="649">
        <f>+Z664+AA664</f>
        <v/>
      </c>
      <c r="AC664" s="648" t="n">
        <v>0</v>
      </c>
      <c r="AD664" s="648" t="n">
        <v>0</v>
      </c>
      <c r="AE664" s="648" t="n">
        <v>0</v>
      </c>
      <c r="AF664" s="648" t="n">
        <v>0</v>
      </c>
      <c r="AG664" s="648" t="n">
        <v>0</v>
      </c>
      <c r="AH664" s="648" t="n">
        <v>0</v>
      </c>
      <c r="AI664" s="648" t="n">
        <v>0</v>
      </c>
      <c r="AJ664" s="648" t="n">
        <v>0</v>
      </c>
      <c r="AK664" s="648" t="n">
        <v>0</v>
      </c>
      <c r="AL664" s="648" t="n">
        <v>0</v>
      </c>
      <c r="AM664" s="421">
        <f>SUM(AB664:AL668)</f>
        <v/>
      </c>
      <c r="AN664" s="726" t="n"/>
      <c r="AU664" s="1240" t="n"/>
      <c r="AV664" s="1240" t="n"/>
    </row>
    <row r="665" ht="17.1" customHeight="1">
      <c r="A665" s="973" t="n"/>
      <c r="B665" s="971" t="n"/>
      <c r="C665" s="972" t="n"/>
      <c r="D665" s="973"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73"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73"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73"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75" t="n"/>
      <c r="E669" s="975" t="n"/>
      <c r="F669" s="998" t="n"/>
      <c r="G669" s="998" t="n"/>
      <c r="H669" s="975" t="n"/>
      <c r="I669" s="975" t="n"/>
      <c r="J669" s="975" t="n"/>
      <c r="K669" s="1189">
        <f>K664=L669</f>
        <v/>
      </c>
      <c r="L669" s="491">
        <f>SUM(L664:L668)</f>
        <v/>
      </c>
      <c r="M669" s="1190" t="inlineStr">
        <is>
          <t xml:space="preserve">“Verdadero” indica que la cantidad por lote, coincide con el saldo que inicia al mes siguiente. "Falso" no coinicide. </t>
        </is>
      </c>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413">
        <f>ABRIL!K670</f>
        <v/>
      </c>
      <c r="E670" s="339">
        <f>H266</f>
        <v/>
      </c>
      <c r="F670" s="338" t="n">
        <v>0</v>
      </c>
      <c r="G670" s="338" t="n">
        <v>0</v>
      </c>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v>0</v>
      </c>
      <c r="AA670" s="648" t="n">
        <v>0</v>
      </c>
      <c r="AB670" s="649">
        <f>+Z670+AA670</f>
        <v/>
      </c>
      <c r="AC670" s="648" t="n">
        <v>0</v>
      </c>
      <c r="AD670" s="648" t="n">
        <v>0</v>
      </c>
      <c r="AE670" s="648" t="n">
        <v>0</v>
      </c>
      <c r="AF670" s="648" t="n">
        <v>0</v>
      </c>
      <c r="AG670" s="648" t="n">
        <v>0</v>
      </c>
      <c r="AH670" s="648" t="n">
        <v>0</v>
      </c>
      <c r="AI670" s="648" t="n">
        <v>0</v>
      </c>
      <c r="AJ670" s="648" t="n">
        <v>0</v>
      </c>
      <c r="AK670" s="648" t="n">
        <v>0</v>
      </c>
      <c r="AL670" s="648" t="n">
        <v>0</v>
      </c>
      <c r="AM670" s="421">
        <f>SUM(AB670:AL674)</f>
        <v/>
      </c>
      <c r="AN670" s="726" t="n"/>
      <c r="AU670" s="1240" t="n"/>
      <c r="AV670" s="1240" t="n"/>
    </row>
    <row r="671" ht="17.1" customHeight="1">
      <c r="A671" s="973" t="n"/>
      <c r="B671" s="971" t="n"/>
      <c r="C671" s="972" t="n"/>
      <c r="D671" s="973"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73"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73"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73"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75" t="n"/>
      <c r="E675" s="975" t="n"/>
      <c r="F675" s="998" t="n"/>
      <c r="G675" s="998" t="n"/>
      <c r="H675" s="975" t="n"/>
      <c r="I675" s="975" t="n"/>
      <c r="J675" s="975" t="n"/>
      <c r="K675" s="1189">
        <f>K670=L675</f>
        <v/>
      </c>
      <c r="L675" s="491">
        <f>SUM(L670:L674)</f>
        <v/>
      </c>
      <c r="M675" s="1190" t="inlineStr">
        <is>
          <t xml:space="preserve">“Verdadero” indica que la cantidad por lote, coincide con el saldo que inicia al mes siguiente. "Falso" no coinicide. </t>
        </is>
      </c>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413">
        <f>ABRIL!K676</f>
        <v/>
      </c>
      <c r="E676" s="339">
        <f>H272</f>
        <v/>
      </c>
      <c r="F676" s="338" t="n">
        <v>2490</v>
      </c>
      <c r="G676" s="338" t="n">
        <v>39</v>
      </c>
      <c r="H676" s="1235">
        <f>+F676+G676</f>
        <v/>
      </c>
      <c r="I676" s="340">
        <f>+AM676</f>
        <v/>
      </c>
      <c r="J676" s="341">
        <f>+H676+I676</f>
        <v/>
      </c>
      <c r="K676" s="583">
        <f>+(D676+E676)-(J676)</f>
        <v/>
      </c>
      <c r="L676" s="253" t="n">
        <v>5589</v>
      </c>
      <c r="M676" s="254" t="inlineStr">
        <is>
          <t>Y4X16</t>
        </is>
      </c>
      <c r="N676" s="254" t="inlineStr">
        <is>
          <t>Sanofi Pasteur</t>
        </is>
      </c>
      <c r="O676" s="1183" t="inlineStr">
        <is>
          <t>30/06/2027</t>
        </is>
      </c>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v>2462</v>
      </c>
      <c r="AA676" s="648" t="n">
        <v>1255</v>
      </c>
      <c r="AB676" s="649">
        <f>+Z676+AA676</f>
        <v/>
      </c>
      <c r="AC676" s="648" t="n">
        <v>0</v>
      </c>
      <c r="AD676" s="648" t="n">
        <v>0</v>
      </c>
      <c r="AE676" s="648" t="n">
        <v>0</v>
      </c>
      <c r="AF676" s="648" t="n">
        <v>0</v>
      </c>
      <c r="AG676" s="648" t="n">
        <v>0</v>
      </c>
      <c r="AH676" s="648" t="n">
        <v>0</v>
      </c>
      <c r="AI676" s="648" t="n">
        <v>0</v>
      </c>
      <c r="AJ676" s="648" t="n">
        <v>0</v>
      </c>
      <c r="AK676" s="648" t="n">
        <v>0</v>
      </c>
      <c r="AL676" s="648" t="n">
        <v>0</v>
      </c>
      <c r="AM676" s="421">
        <f>SUM(AB676:AL680)</f>
        <v/>
      </c>
      <c r="AN676" s="726" t="n"/>
      <c r="AU676" s="1240" t="n"/>
      <c r="AV676" s="1240" t="n"/>
    </row>
    <row r="677" ht="17.1" customHeight="1">
      <c r="A677" s="973" t="n"/>
      <c r="B677" s="971" t="n"/>
      <c r="C677" s="972" t="n"/>
      <c r="D677" s="973" t="n"/>
      <c r="E677" s="973" t="n"/>
      <c r="F677" s="994" t="n"/>
      <c r="G677" s="994" t="n"/>
      <c r="H677" s="973" t="n"/>
      <c r="I677" s="973" t="n"/>
      <c r="J677" s="973" t="n"/>
      <c r="K677" s="973" t="n"/>
      <c r="L677" s="253" t="n">
        <v>2619</v>
      </c>
      <c r="M677" s="254" t="inlineStr">
        <is>
          <t>V4X181V</t>
        </is>
      </c>
      <c r="N677" s="254" t="inlineStr">
        <is>
          <t>Sanofi Pasteur</t>
        </is>
      </c>
      <c r="O677" s="1183" t="inlineStr">
        <is>
          <t>30/11/2024</t>
        </is>
      </c>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73" t="n"/>
      <c r="E678" s="973" t="n"/>
      <c r="F678" s="994" t="n"/>
      <c r="G678" s="994" t="n"/>
      <c r="H678" s="973" t="n"/>
      <c r="I678" s="973" t="n"/>
      <c r="J678" s="973" t="n"/>
      <c r="K678" s="973" t="n"/>
      <c r="L678" s="253" t="n">
        <v>96</v>
      </c>
      <c r="M678" s="254" t="inlineStr">
        <is>
          <t>Y4X12</t>
        </is>
      </c>
      <c r="N678" s="254" t="inlineStr">
        <is>
          <t>Sanofi Pasteur</t>
        </is>
      </c>
      <c r="O678" s="1183" t="inlineStr">
        <is>
          <t>30/04/2027</t>
        </is>
      </c>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73" t="n"/>
      <c r="E679" s="973" t="n"/>
      <c r="F679" s="994" t="n"/>
      <c r="G679" s="994" t="n"/>
      <c r="H679" s="973" t="n"/>
      <c r="I679" s="973" t="n"/>
      <c r="J679" s="973" t="n"/>
      <c r="K679" s="973" t="n"/>
      <c r="L679" s="253" t="n">
        <v>20</v>
      </c>
      <c r="M679" s="254" t="inlineStr">
        <is>
          <t>063</t>
        </is>
      </c>
      <c r="N679" s="254" t="inlineStr">
        <is>
          <t>CHUMAKOV</t>
        </is>
      </c>
      <c r="O679" s="1183" t="inlineStr">
        <is>
          <t>31/10/2027</t>
        </is>
      </c>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73" t="n"/>
      <c r="E680" s="973" t="n"/>
      <c r="F680" s="994" t="n"/>
      <c r="G680" s="994" t="n"/>
      <c r="H680" s="973" t="n"/>
      <c r="I680" s="973" t="n"/>
      <c r="J680" s="973" t="n"/>
      <c r="K680" s="975" t="n"/>
      <c r="L680" s="253" t="n"/>
      <c r="M680" s="254" t="n"/>
      <c r="N680" s="254" t="n"/>
      <c r="O680" s="1183" t="n"/>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75" t="n"/>
      <c r="E681" s="975" t="n"/>
      <c r="F681" s="998" t="n"/>
      <c r="G681" s="998" t="n"/>
      <c r="H681" s="975" t="n"/>
      <c r="I681" s="975" t="n"/>
      <c r="J681" s="975" t="n"/>
      <c r="K681" s="1189">
        <f>K676=L681</f>
        <v/>
      </c>
      <c r="L681" s="491">
        <f>SUM(L676:L680)</f>
        <v/>
      </c>
      <c r="M681" s="1190" t="inlineStr">
        <is>
          <t xml:space="preserve">“Verdadero” indica que la cantidad por lote, coincide con el saldo que inicia al mes siguiente. "Falso" no coinicide. </t>
        </is>
      </c>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413">
        <f>ABRIL!K682</f>
        <v/>
      </c>
      <c r="E682" s="339">
        <f>H278</f>
        <v/>
      </c>
      <c r="F682" s="338" t="n">
        <v>1260</v>
      </c>
      <c r="G682" s="338" t="n">
        <v>29</v>
      </c>
      <c r="H682" s="1235">
        <f>+F682+G682</f>
        <v/>
      </c>
      <c r="I682" s="340">
        <f>+AM682</f>
        <v/>
      </c>
      <c r="J682" s="341">
        <f>+H682+I682</f>
        <v/>
      </c>
      <c r="K682" s="583">
        <f>+(D682+E682)-(J682)</f>
        <v/>
      </c>
      <c r="L682" s="253" t="n">
        <v>1735</v>
      </c>
      <c r="M682" s="254" t="inlineStr">
        <is>
          <t>90250603-1</t>
        </is>
      </c>
      <c r="N682" s="254" t="inlineStr">
        <is>
          <t>Sinovac</t>
        </is>
      </c>
      <c r="O682" s="1183" t="inlineStr">
        <is>
          <t>05/06/2029</t>
        </is>
      </c>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v>1</v>
      </c>
      <c r="AA682" s="648" t="n">
        <v>0</v>
      </c>
      <c r="AB682" s="649">
        <f>+Z682+AA682</f>
        <v/>
      </c>
      <c r="AC682" s="648" t="n">
        <v>0</v>
      </c>
      <c r="AD682" s="648" t="n">
        <v>0</v>
      </c>
      <c r="AE682" s="648" t="n">
        <v>0</v>
      </c>
      <c r="AF682" s="648" t="n">
        <v>2</v>
      </c>
      <c r="AG682" s="648" t="n">
        <v>0</v>
      </c>
      <c r="AH682" s="648" t="n">
        <v>0</v>
      </c>
      <c r="AI682" s="648" t="n">
        <v>0</v>
      </c>
      <c r="AJ682" s="648" t="n">
        <v>0</v>
      </c>
      <c r="AK682" s="648" t="n">
        <v>0</v>
      </c>
      <c r="AL682" s="648" t="n">
        <v>0</v>
      </c>
      <c r="AM682" s="421">
        <f>SUM(AB682:AL686)</f>
        <v/>
      </c>
      <c r="AN682" s="726" t="n"/>
      <c r="AU682" s="1240" t="n"/>
      <c r="AV682" s="1240" t="n"/>
    </row>
    <row r="683" ht="17.1" customHeight="1">
      <c r="A683" s="973" t="n"/>
      <c r="B683" s="971" t="n"/>
      <c r="C683" s="972" t="n"/>
      <c r="D683" s="973" t="n"/>
      <c r="E683" s="973" t="n"/>
      <c r="F683" s="994" t="n"/>
      <c r="G683" s="994" t="n"/>
      <c r="H683" s="973" t="n"/>
      <c r="I683" s="973" t="n"/>
      <c r="J683" s="973" t="n"/>
      <c r="K683" s="973" t="n"/>
      <c r="L683" s="253" t="n"/>
      <c r="M683" s="254" t="n"/>
      <c r="N683" s="254" t="n"/>
      <c r="O683" s="1183" t="n"/>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73" t="n"/>
      <c r="E684" s="973" t="n"/>
      <c r="F684" s="994" t="n"/>
      <c r="G684" s="994" t="n"/>
      <c r="H684" s="973" t="n"/>
      <c r="I684" s="973" t="n"/>
      <c r="J684" s="973" t="n"/>
      <c r="K684" s="973" t="n"/>
      <c r="L684" s="253" t="n"/>
      <c r="M684" s="254" t="n"/>
      <c r="N684" s="254" t="n"/>
      <c r="O684" s="1183" t="n"/>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73"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73"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75" t="n"/>
      <c r="E687" s="975" t="n"/>
      <c r="F687" s="998" t="n"/>
      <c r="G687" s="998" t="n"/>
      <c r="H687" s="975" t="n"/>
      <c r="I687" s="975" t="n"/>
      <c r="J687" s="975" t="n"/>
      <c r="K687" s="1189">
        <f>K682=L687</f>
        <v/>
      </c>
      <c r="L687" s="491">
        <f>SUM(L682:L686)</f>
        <v/>
      </c>
      <c r="M687" s="1190" t="inlineStr">
        <is>
          <t xml:space="preserve">“Verdadero” indica que la cantidad por lote, coincide con el saldo que inicia al mes siguiente. "Falso" no coinicide. </t>
        </is>
      </c>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413">
        <f>ABRIL!K688</f>
        <v/>
      </c>
      <c r="E688" s="339">
        <f>H284</f>
        <v/>
      </c>
      <c r="F688" s="338" t="n">
        <v>87</v>
      </c>
      <c r="G688" s="338" t="n"/>
      <c r="H688" s="1235">
        <f>+F688+G688</f>
        <v/>
      </c>
      <c r="I688" s="340">
        <f>+AM688</f>
        <v/>
      </c>
      <c r="J688" s="341">
        <f>+H688+I688</f>
        <v/>
      </c>
      <c r="K688" s="583">
        <f>+(D688+E688)-(J688)</f>
        <v/>
      </c>
      <c r="L688" s="253" t="n"/>
      <c r="M688" s="254" t="n"/>
      <c r="N688" s="254" t="n"/>
      <c r="O688" s="1183" t="n"/>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v>0</v>
      </c>
      <c r="AA688" s="648" t="n">
        <v>0</v>
      </c>
      <c r="AB688" s="649">
        <f>+Z688+AA688</f>
        <v/>
      </c>
      <c r="AC688" s="648" t="n">
        <v>0</v>
      </c>
      <c r="AD688" s="648" t="n">
        <v>0</v>
      </c>
      <c r="AE688" s="648" t="n">
        <v>0</v>
      </c>
      <c r="AF688" s="648" t="n">
        <v>0</v>
      </c>
      <c r="AG688" s="648" t="n">
        <v>0</v>
      </c>
      <c r="AH688" s="648" t="n">
        <v>0</v>
      </c>
      <c r="AI688" s="648" t="n">
        <v>0</v>
      </c>
      <c r="AJ688" s="648" t="n">
        <v>0</v>
      </c>
      <c r="AK688" s="648" t="n">
        <v>0</v>
      </c>
      <c r="AL688" s="648" t="n">
        <v>0</v>
      </c>
      <c r="AM688" s="421">
        <f>SUM(AB688:AL692)</f>
        <v/>
      </c>
      <c r="AN688" s="726" t="n"/>
      <c r="AU688" s="1240" t="n"/>
      <c r="AV688" s="1240" t="n"/>
    </row>
    <row r="689" ht="17.1" customHeight="1">
      <c r="A689" s="973" t="n"/>
      <c r="B689" s="971" t="n"/>
      <c r="C689" s="972" t="n"/>
      <c r="D689" s="973" t="n"/>
      <c r="E689" s="973" t="n"/>
      <c r="F689" s="994" t="n"/>
      <c r="G689" s="994" t="n"/>
      <c r="H689" s="973" t="n"/>
      <c r="I689" s="973" t="n"/>
      <c r="J689" s="973" t="n"/>
      <c r="K689" s="973" t="n"/>
      <c r="L689" s="253" t="n"/>
      <c r="M689" s="254" t="n"/>
      <c r="N689" s="254" t="n"/>
      <c r="O689" s="1183" t="n"/>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73" t="n"/>
      <c r="E690" s="973" t="n"/>
      <c r="F690" s="994" t="n"/>
      <c r="G690" s="994" t="n"/>
      <c r="H690" s="973" t="n"/>
      <c r="I690" s="973" t="n"/>
      <c r="J690" s="973" t="n"/>
      <c r="K690" s="973" t="n"/>
      <c r="L690" s="253" t="n"/>
      <c r="M690" s="254" t="n"/>
      <c r="N690" s="254" t="n"/>
      <c r="O690" s="1183" t="n"/>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73" t="n"/>
      <c r="E691" s="973" t="n"/>
      <c r="F691" s="994" t="n"/>
      <c r="G691" s="994" t="n"/>
      <c r="H691" s="973" t="n"/>
      <c r="I691" s="973" t="n"/>
      <c r="J691" s="973" t="n"/>
      <c r="K691" s="973" t="n"/>
      <c r="L691" s="253" t="n"/>
      <c r="M691" s="254" t="n"/>
      <c r="N691" s="254" t="n"/>
      <c r="O691" s="1183" t="n"/>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73" t="n"/>
      <c r="E692" s="973" t="n"/>
      <c r="F692" s="994" t="n"/>
      <c r="G692" s="994" t="n"/>
      <c r="H692" s="973" t="n"/>
      <c r="I692" s="973" t="n"/>
      <c r="J692" s="973" t="n"/>
      <c r="K692" s="975" t="n"/>
      <c r="L692" s="253" t="n"/>
      <c r="M692" s="254" t="n"/>
      <c r="N692" s="254" t="n"/>
      <c r="O692" s="1183" t="n"/>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75" t="n"/>
      <c r="E693" s="975" t="n"/>
      <c r="F693" s="998" t="n"/>
      <c r="G693" s="998" t="n"/>
      <c r="H693" s="975" t="n"/>
      <c r="I693" s="975" t="n"/>
      <c r="J693" s="975" t="n"/>
      <c r="K693" s="1189">
        <f>K688=L693</f>
        <v/>
      </c>
      <c r="L693" s="491">
        <f>SUM(L688:L692)</f>
        <v/>
      </c>
      <c r="M693" s="1190" t="inlineStr">
        <is>
          <t xml:space="preserve">“Verdadero” indica que la cantidad por lote, coincide con el saldo que inicia al mes siguiente. "Falso" no coinicide. </t>
        </is>
      </c>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413">
        <f>ABRIL!K694</f>
        <v/>
      </c>
      <c r="E694" s="339">
        <f>H290</f>
        <v/>
      </c>
      <c r="F694" s="338" t="n">
        <v>400</v>
      </c>
      <c r="G694" s="338" t="n">
        <v>0</v>
      </c>
      <c r="H694" s="1235">
        <f>+F694+G694</f>
        <v/>
      </c>
      <c r="I694" s="340">
        <f>+AM694</f>
        <v/>
      </c>
      <c r="J694" s="341">
        <f>+H694+I694</f>
        <v/>
      </c>
      <c r="K694" s="583">
        <f>+(D694+E694)-(J694)</f>
        <v/>
      </c>
      <c r="L694" s="253" t="n">
        <v>600</v>
      </c>
      <c r="M694" s="254" t="inlineStr">
        <is>
          <t>0654S4016</t>
        </is>
      </c>
      <c r="N694" s="254" t="inlineStr">
        <is>
          <t>Serum</t>
        </is>
      </c>
      <c r="O694" s="1183" t="inlineStr">
        <is>
          <t>31/07/2029</t>
        </is>
      </c>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v>0</v>
      </c>
      <c r="AA694" s="648" t="n">
        <v>0</v>
      </c>
      <c r="AB694" s="649">
        <f>+Z694+AA694</f>
        <v/>
      </c>
      <c r="AC694" s="648" t="n">
        <v>0</v>
      </c>
      <c r="AD694" s="648" t="n">
        <v>0</v>
      </c>
      <c r="AE694" s="648" t="n">
        <v>0</v>
      </c>
      <c r="AF694" s="648" t="n">
        <v>1</v>
      </c>
      <c r="AG694" s="648" t="n">
        <v>0</v>
      </c>
      <c r="AH694" s="648" t="n">
        <v>0</v>
      </c>
      <c r="AI694" s="648" t="n">
        <v>0</v>
      </c>
      <c r="AJ694" s="648" t="n">
        <v>0</v>
      </c>
      <c r="AK694" s="648" t="n">
        <v>0</v>
      </c>
      <c r="AL694" s="648" t="n">
        <v>0</v>
      </c>
      <c r="AM694" s="421">
        <f>SUM(AB694:AL698)</f>
        <v/>
      </c>
      <c r="AN694" s="726" t="n"/>
      <c r="AU694" s="1240" t="n"/>
      <c r="AV694" s="1240" t="n"/>
    </row>
    <row r="695" ht="17.1" customHeight="1">
      <c r="A695" s="973" t="n"/>
      <c r="B695" s="971" t="n"/>
      <c r="C695" s="972" t="n"/>
      <c r="D695" s="973" t="n"/>
      <c r="E695" s="973" t="n"/>
      <c r="F695" s="994" t="n"/>
      <c r="G695" s="994" t="n"/>
      <c r="H695" s="973" t="n"/>
      <c r="I695" s="973" t="n"/>
      <c r="J695" s="973" t="n"/>
      <c r="K695" s="973" t="n"/>
      <c r="L695" s="253" t="n"/>
      <c r="M695" s="254" t="n"/>
      <c r="N695" s="254" t="n"/>
      <c r="O695" s="1183" t="n"/>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73" t="n"/>
      <c r="E696" s="973" t="n"/>
      <c r="F696" s="994" t="n"/>
      <c r="G696" s="994" t="n"/>
      <c r="H696" s="973" t="n"/>
      <c r="I696" s="973" t="n"/>
      <c r="J696" s="973" t="n"/>
      <c r="K696" s="973" t="n"/>
      <c r="L696" s="253" t="n"/>
      <c r="M696" s="254" t="n"/>
      <c r="N696" s="254" t="n"/>
      <c r="O696" s="1183" t="n"/>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73" t="n"/>
      <c r="E697" s="973" t="n"/>
      <c r="F697" s="994" t="n"/>
      <c r="G697" s="994" t="n"/>
      <c r="H697" s="973" t="n"/>
      <c r="I697" s="973" t="n"/>
      <c r="J697" s="973" t="n"/>
      <c r="K697" s="973" t="n"/>
      <c r="L697" s="253" t="n"/>
      <c r="M697" s="254" t="n"/>
      <c r="N697" s="254" t="n"/>
      <c r="O697" s="1183" t="n"/>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73" t="n"/>
      <c r="E698" s="973" t="n"/>
      <c r="F698" s="994" t="n"/>
      <c r="G698" s="994" t="n"/>
      <c r="H698" s="973" t="n"/>
      <c r="I698" s="973" t="n"/>
      <c r="J698" s="973" t="n"/>
      <c r="K698" s="975" t="n"/>
      <c r="L698" s="253" t="n"/>
      <c r="M698" s="254" t="n"/>
      <c r="N698" s="254" t="n"/>
      <c r="O698" s="1183" t="n"/>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75" t="n"/>
      <c r="E699" s="975" t="n"/>
      <c r="F699" s="998" t="n"/>
      <c r="G699" s="998" t="n"/>
      <c r="H699" s="975" t="n"/>
      <c r="I699" s="975" t="n"/>
      <c r="J699" s="975" t="n"/>
      <c r="K699" s="1189">
        <f>K694=L699</f>
        <v/>
      </c>
      <c r="L699" s="491">
        <f>SUM(L694:L698)</f>
        <v/>
      </c>
      <c r="M699" s="1190" t="inlineStr">
        <is>
          <t xml:space="preserve">“Verdadero” indica que la cantidad por lote, coincide con el saldo que inicia al mes siguiente. "Falso" no coinicide. </t>
        </is>
      </c>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413">
        <f>ABRIL!K700</f>
        <v/>
      </c>
      <c r="E700" s="339">
        <f>H296</f>
        <v/>
      </c>
      <c r="F700" s="338" t="n">
        <v>0</v>
      </c>
      <c r="G700" s="338" t="n">
        <v>0</v>
      </c>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v>0</v>
      </c>
      <c r="AA700" s="648" t="n">
        <v>0</v>
      </c>
      <c r="AB700" s="649">
        <f>+Z700+AA700</f>
        <v/>
      </c>
      <c r="AC700" s="648" t="n">
        <v>0</v>
      </c>
      <c r="AD700" s="648" t="n">
        <v>0</v>
      </c>
      <c r="AE700" s="648" t="n">
        <v>0</v>
      </c>
      <c r="AF700" s="648" t="n">
        <v>0</v>
      </c>
      <c r="AG700" s="648" t="n">
        <v>0</v>
      </c>
      <c r="AH700" s="648" t="n">
        <v>0</v>
      </c>
      <c r="AI700" s="648" t="n">
        <v>0</v>
      </c>
      <c r="AJ700" s="648" t="n">
        <v>0</v>
      </c>
      <c r="AK700" s="648" t="n">
        <v>0</v>
      </c>
      <c r="AL700" s="648" t="n">
        <v>0</v>
      </c>
      <c r="AM700" s="421">
        <f>SUM(AB700:AL704)</f>
        <v/>
      </c>
      <c r="AN700" s="726" t="n"/>
      <c r="AU700" s="1240" t="n"/>
      <c r="AV700" s="1240" t="n"/>
    </row>
    <row r="701" ht="17.1" customHeight="1">
      <c r="A701" s="973" t="n"/>
      <c r="B701" s="971" t="n"/>
      <c r="C701" s="972" t="n"/>
      <c r="D701" s="973"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73"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73"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73"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75" t="n"/>
      <c r="E705" s="975" t="n"/>
      <c r="F705" s="998" t="n"/>
      <c r="G705" s="998" t="n"/>
      <c r="H705" s="975" t="n"/>
      <c r="I705" s="975" t="n"/>
      <c r="J705" s="975" t="n"/>
      <c r="K705" s="1189">
        <f>K700=L705</f>
        <v/>
      </c>
      <c r="L705" s="491">
        <f>SUM(L700:L704)</f>
        <v/>
      </c>
      <c r="M705" s="1190" t="inlineStr">
        <is>
          <t xml:space="preserve">“Verdadero” indica que la cantidad por lote, coincide con el saldo que inicia al mes siguiente. "Falso" no coinicide. </t>
        </is>
      </c>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647"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413">
        <f>ABRIL!K707</f>
        <v/>
      </c>
      <c r="E707" s="339">
        <f>H303</f>
        <v/>
      </c>
      <c r="F707" s="338" t="n">
        <v>11589</v>
      </c>
      <c r="G707" s="338" t="n">
        <v>106</v>
      </c>
      <c r="H707" s="1235">
        <f>+F707+G707</f>
        <v/>
      </c>
      <c r="I707" s="340">
        <f>+AM707</f>
        <v/>
      </c>
      <c r="J707" s="341">
        <f>+H707+I707</f>
        <v/>
      </c>
      <c r="K707" s="583">
        <f>+(D707+E707)-(J707)</f>
        <v/>
      </c>
      <c r="L707" s="253" t="n">
        <v>10182</v>
      </c>
      <c r="M707" s="254" t="inlineStr">
        <is>
          <t>252216</t>
        </is>
      </c>
      <c r="N707" s="254" t="inlineStr">
        <is>
          <t>MEDECO</t>
        </is>
      </c>
      <c r="O707" s="1183" t="inlineStr">
        <is>
          <t>30/08/2027</t>
        </is>
      </c>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v>8</v>
      </c>
      <c r="AA707" s="648" t="n">
        <v>0</v>
      </c>
      <c r="AB707" s="649">
        <f>+Z707+AA707</f>
        <v/>
      </c>
      <c r="AC707" s="648" t="n">
        <v>0</v>
      </c>
      <c r="AD707" s="648" t="n">
        <v>0</v>
      </c>
      <c r="AE707" s="648" t="n">
        <v>0</v>
      </c>
      <c r="AF707" s="648" t="n">
        <v>0</v>
      </c>
      <c r="AG707" s="648" t="n">
        <v>0</v>
      </c>
      <c r="AH707" s="648" t="n">
        <v>0</v>
      </c>
      <c r="AI707" s="648" t="n">
        <v>0</v>
      </c>
      <c r="AJ707" s="648" t="n">
        <v>0</v>
      </c>
      <c r="AK707" s="648" t="n">
        <v>0</v>
      </c>
      <c r="AL707" s="648" t="n">
        <v>0</v>
      </c>
      <c r="AM707" s="421">
        <f>SUM(AB707:AL712)</f>
        <v/>
      </c>
      <c r="AN707" s="726" t="n"/>
      <c r="AU707" s="1240" t="n"/>
      <c r="AV707" s="1240" t="n"/>
    </row>
    <row r="708" ht="17.1" customHeight="1">
      <c r="A708" s="973" t="n"/>
      <c r="B708" s="971" t="n"/>
      <c r="C708" s="972" t="n"/>
      <c r="D708" s="973" t="n"/>
      <c r="E708" s="973" t="n"/>
      <c r="F708" s="994" t="n"/>
      <c r="G708" s="994" t="n"/>
      <c r="H708" s="973" t="n"/>
      <c r="I708" s="973" t="n"/>
      <c r="J708" s="973" t="n"/>
      <c r="K708" s="973" t="n"/>
      <c r="L708" s="253" t="n"/>
      <c r="M708" s="254" t="n"/>
      <c r="N708" s="254" t="n"/>
      <c r="O708" s="1183" t="n"/>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73" t="n"/>
      <c r="E709" s="973" t="n"/>
      <c r="F709" s="994" t="n"/>
      <c r="G709" s="994" t="n"/>
      <c r="H709" s="973" t="n"/>
      <c r="I709" s="973" t="n"/>
      <c r="J709" s="973" t="n"/>
      <c r="K709" s="973" t="n"/>
      <c r="L709" s="253" t="n"/>
      <c r="M709" s="254" t="n"/>
      <c r="N709" s="254" t="n"/>
      <c r="O709" s="1183" t="n"/>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73"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73" t="n"/>
      <c r="E711" s="973" t="n"/>
      <c r="F711" s="994" t="n"/>
      <c r="G711" s="994" t="n"/>
      <c r="H711" s="973" t="n"/>
      <c r="I711" s="973" t="n"/>
      <c r="J711" s="973" t="n"/>
      <c r="K711" s="973" t="n"/>
      <c r="L711" s="253" t="n"/>
      <c r="M711" s="254" t="n"/>
      <c r="N711" s="254" t="n"/>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73"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75" t="n"/>
      <c r="E713" s="975" t="n"/>
      <c r="F713" s="998" t="n"/>
      <c r="G713" s="998" t="n"/>
      <c r="H713" s="975" t="n"/>
      <c r="I713" s="975" t="n"/>
      <c r="J713" s="975" t="n"/>
      <c r="K713" s="1189">
        <f>K707=L713</f>
        <v/>
      </c>
      <c r="L713" s="491">
        <f>SUM(L707:L712)</f>
        <v/>
      </c>
      <c r="M713" s="1190" t="inlineStr">
        <is>
          <t xml:space="preserve">“Verdadero” indica que la cantidad por lote, coincide con el saldo que inicia al mes siguiente. "Falso" no coinicide. </t>
        </is>
      </c>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413">
        <f>ABRIL!K714</f>
        <v/>
      </c>
      <c r="E714" s="339">
        <f>H310</f>
        <v/>
      </c>
      <c r="F714" s="338" t="n"/>
      <c r="G714" s="338" t="n">
        <v>0</v>
      </c>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v>0</v>
      </c>
      <c r="AA714" s="648" t="n">
        <v>0</v>
      </c>
      <c r="AB714" s="649">
        <f>+Z714+AA714</f>
        <v/>
      </c>
      <c r="AC714" s="648" t="n">
        <v>0</v>
      </c>
      <c r="AD714" s="648" t="n">
        <v>0</v>
      </c>
      <c r="AE714" s="648" t="n">
        <v>0</v>
      </c>
      <c r="AF714" s="648" t="n">
        <v>0</v>
      </c>
      <c r="AG714" s="648" t="n">
        <v>0</v>
      </c>
      <c r="AH714" s="648" t="n">
        <v>0</v>
      </c>
      <c r="AI714" s="648" t="n">
        <v>0</v>
      </c>
      <c r="AJ714" s="648" t="n">
        <v>0</v>
      </c>
      <c r="AK714" s="648" t="n">
        <v>0</v>
      </c>
      <c r="AL714" s="648" t="n">
        <v>0</v>
      </c>
      <c r="AM714" s="421">
        <f>SUM(AB714:AL719)</f>
        <v/>
      </c>
      <c r="AN714" s="726" t="n"/>
      <c r="AU714" s="1240" t="n"/>
      <c r="AV714" s="1240" t="n"/>
    </row>
    <row r="715" ht="17.1" customHeight="1">
      <c r="A715" s="973" t="n"/>
      <c r="B715" s="971" t="n"/>
      <c r="C715" s="972" t="n"/>
      <c r="D715" s="973"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73"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73"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73"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73"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75"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413">
        <f>ABRIL!K721</f>
        <v/>
      </c>
      <c r="E721" s="339">
        <f>H317</f>
        <v/>
      </c>
      <c r="F721" s="338" t="n">
        <v>4650</v>
      </c>
      <c r="G721" s="338" t="n">
        <v>22</v>
      </c>
      <c r="H721" s="1235">
        <f>+F721+G721</f>
        <v/>
      </c>
      <c r="I721" s="340">
        <f>+AM721</f>
        <v/>
      </c>
      <c r="J721" s="341">
        <f>+H721+I721</f>
        <v/>
      </c>
      <c r="K721" s="583">
        <f>+(D721+E721)-(J721)</f>
        <v/>
      </c>
      <c r="L721" s="253" t="n">
        <v>8855</v>
      </c>
      <c r="M721" s="254" t="inlineStr">
        <is>
          <t>AR13158</t>
        </is>
      </c>
      <c r="N721" s="254" t="inlineStr">
        <is>
          <t>NUBENCO</t>
        </is>
      </c>
      <c r="O721" s="1183" t="inlineStr">
        <is>
          <t>31/03/2027</t>
        </is>
      </c>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v>0</v>
      </c>
      <c r="AA721" s="648" t="n">
        <v>0</v>
      </c>
      <c r="AB721" s="649">
        <f>+Z721+AA721</f>
        <v/>
      </c>
      <c r="AC721" s="648" t="n">
        <v>0</v>
      </c>
      <c r="AD721" s="648" t="n">
        <v>0</v>
      </c>
      <c r="AE721" s="648" t="n">
        <v>0</v>
      </c>
      <c r="AF721" s="648" t="n">
        <v>0</v>
      </c>
      <c r="AG721" s="648" t="n">
        <v>0</v>
      </c>
      <c r="AH721" s="648" t="n">
        <v>0</v>
      </c>
      <c r="AI721" s="648" t="n">
        <v>0</v>
      </c>
      <c r="AJ721" s="648" t="n">
        <v>0</v>
      </c>
      <c r="AK721" s="648" t="n">
        <v>0</v>
      </c>
      <c r="AL721" s="648" t="n">
        <v>0</v>
      </c>
      <c r="AM721" s="421">
        <f>SUM(AB721:AL726)</f>
        <v/>
      </c>
      <c r="AN721" s="726" t="n"/>
      <c r="AU721" s="1240" t="n"/>
      <c r="AV721" s="1240" t="n"/>
    </row>
    <row r="722" ht="17.1" customHeight="1">
      <c r="A722" s="973" t="n"/>
      <c r="B722" s="971" t="n"/>
      <c r="C722" s="972" t="n"/>
      <c r="D722" s="973" t="n"/>
      <c r="E722" s="973" t="n"/>
      <c r="F722" s="994" t="n"/>
      <c r="G722" s="994" t="n"/>
      <c r="H722" s="973" t="n"/>
      <c r="I722" s="973" t="n"/>
      <c r="J722" s="973" t="n"/>
      <c r="K722" s="973" t="n"/>
      <c r="L722" s="253" t="n">
        <v>1906</v>
      </c>
      <c r="M722" s="254" t="inlineStr">
        <is>
          <t>252216</t>
        </is>
      </c>
      <c r="N722" s="254" t="inlineStr">
        <is>
          <t>MEDECO</t>
        </is>
      </c>
      <c r="O722" s="1183" t="inlineStr">
        <is>
          <t>30/08/2027</t>
        </is>
      </c>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73" t="n"/>
      <c r="E723" s="973" t="n"/>
      <c r="F723" s="994" t="n"/>
      <c r="G723" s="994" t="n"/>
      <c r="H723" s="973" t="n"/>
      <c r="I723" s="973" t="n"/>
      <c r="J723" s="973" t="n"/>
      <c r="K723" s="973" t="n"/>
      <c r="L723" s="253" t="n">
        <v>2082</v>
      </c>
      <c r="M723" s="254" t="inlineStr">
        <is>
          <t>2407226</t>
        </is>
      </c>
      <c r="N723" s="254" t="inlineStr">
        <is>
          <t>SANAVITA</t>
        </is>
      </c>
      <c r="O723" s="1183" t="inlineStr">
        <is>
          <t>29/07/2029</t>
        </is>
      </c>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73" t="n"/>
      <c r="E724" s="973" t="n"/>
      <c r="F724" s="994" t="n"/>
      <c r="G724" s="994" t="n"/>
      <c r="H724" s="973" t="n"/>
      <c r="I724" s="973" t="n"/>
      <c r="J724" s="973" t="n"/>
      <c r="K724" s="973" t="n"/>
      <c r="L724" s="253" t="n">
        <v>1831</v>
      </c>
      <c r="M724" s="254" t="inlineStr">
        <is>
          <t>AR13095</t>
        </is>
      </c>
      <c r="N724" s="254" t="inlineStr">
        <is>
          <t>NUBENCO</t>
        </is>
      </c>
      <c r="O724" s="1183" t="inlineStr">
        <is>
          <t>30/09/2026</t>
        </is>
      </c>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73" t="n"/>
      <c r="E725" s="973" t="n"/>
      <c r="F725" s="994" t="n"/>
      <c r="G725" s="994" t="n"/>
      <c r="H725" s="973" t="n"/>
      <c r="I725" s="973" t="n"/>
      <c r="J725" s="973" t="n"/>
      <c r="K725" s="973" t="n"/>
      <c r="L725" s="253" t="n">
        <v>2898</v>
      </c>
      <c r="M725" s="254" t="inlineStr">
        <is>
          <t>2406054</t>
        </is>
      </c>
      <c r="N725" s="254" t="inlineStr">
        <is>
          <t>SANAVITA</t>
        </is>
      </c>
      <c r="O725" s="1183" t="inlineStr">
        <is>
          <t>30/06/2029</t>
        </is>
      </c>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73" t="n"/>
      <c r="E726" s="973" t="n"/>
      <c r="F726" s="994" t="n"/>
      <c r="G726" s="994" t="n"/>
      <c r="H726" s="973" t="n"/>
      <c r="I726" s="973" t="n"/>
      <c r="J726" s="973" t="n"/>
      <c r="K726" s="975" t="n"/>
      <c r="L726" s="253" t="n">
        <v>1606</v>
      </c>
      <c r="M726" s="254" t="inlineStr">
        <is>
          <t>AR13158</t>
        </is>
      </c>
      <c r="N726" s="254" t="inlineStr">
        <is>
          <t>NUBENCO</t>
        </is>
      </c>
      <c r="O726" s="1183" t="inlineStr">
        <is>
          <t>31/03/2027</t>
        </is>
      </c>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75" t="n"/>
      <c r="E727" s="975" t="n"/>
      <c r="F727" s="998" t="n"/>
      <c r="G727" s="998" t="n"/>
      <c r="H727" s="975" t="n"/>
      <c r="I727" s="975" t="n"/>
      <c r="J727" s="975" t="n"/>
      <c r="K727" s="1189">
        <f>K721=L727</f>
        <v/>
      </c>
      <c r="L727" s="491">
        <f>SUM(L721:L726)</f>
        <v/>
      </c>
      <c r="M727" s="1190" t="inlineStr">
        <is>
          <t xml:space="preserve">“Verdadero” indica que la cantidad por lote, coincide con el saldo que inicia al mes siguiente. "Falso" no coinicide. </t>
        </is>
      </c>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413">
        <f>ABRIL!K728</f>
        <v/>
      </c>
      <c r="E728" s="339">
        <f>H324</f>
        <v/>
      </c>
      <c r="F728" s="338" t="n">
        <v>431</v>
      </c>
      <c r="G728" s="338" t="n">
        <v>0</v>
      </c>
      <c r="H728" s="1235">
        <f>+F728+G728</f>
        <v/>
      </c>
      <c r="I728" s="340">
        <f>+AM728</f>
        <v/>
      </c>
      <c r="J728" s="341">
        <f>+H728+I728</f>
        <v/>
      </c>
      <c r="K728" s="583">
        <f>+(D728+E728)-(J728)</f>
        <v/>
      </c>
      <c r="L728" s="253" t="n"/>
      <c r="M728" s="254" t="n"/>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v>0</v>
      </c>
      <c r="AA728" s="648" t="n">
        <v>0</v>
      </c>
      <c r="AB728" s="649">
        <f>+Z728+AA728</f>
        <v/>
      </c>
      <c r="AC728" s="648" t="n">
        <v>0</v>
      </c>
      <c r="AD728" s="648" t="n">
        <v>0</v>
      </c>
      <c r="AE728" s="648" t="n">
        <v>0</v>
      </c>
      <c r="AF728" s="648" t="n">
        <v>0</v>
      </c>
      <c r="AG728" s="648" t="n">
        <v>0</v>
      </c>
      <c r="AH728" s="648" t="n">
        <v>0</v>
      </c>
      <c r="AI728" s="648" t="n">
        <v>0</v>
      </c>
      <c r="AJ728" s="648" t="n">
        <v>0</v>
      </c>
      <c r="AK728" s="648" t="n">
        <v>0</v>
      </c>
      <c r="AL728" s="648" t="n">
        <v>0</v>
      </c>
      <c r="AM728" s="421">
        <f>SUM(AB728:AL733)</f>
        <v/>
      </c>
      <c r="AN728" s="726" t="n"/>
      <c r="AU728" s="1240" t="n"/>
      <c r="AV728" s="1240" t="n"/>
    </row>
    <row r="729" ht="17.1" customHeight="1">
      <c r="A729" s="973" t="n"/>
      <c r="B729" s="971" t="n"/>
      <c r="C729" s="972" t="n"/>
      <c r="D729" s="973" t="n"/>
      <c r="E729" s="973" t="n"/>
      <c r="F729" s="994" t="n"/>
      <c r="G729" s="994" t="n"/>
      <c r="H729" s="973" t="n"/>
      <c r="I729" s="973" t="n"/>
      <c r="J729" s="973" t="n"/>
      <c r="K729" s="973" t="n"/>
      <c r="L729" s="253" t="n"/>
      <c r="M729" s="254" t="n"/>
      <c r="N729" s="254" t="n"/>
      <c r="O729" s="1183" t="n"/>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73"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73"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73"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73"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75" t="n"/>
      <c r="E734" s="975" t="n"/>
      <c r="F734" s="998" t="n"/>
      <c r="G734" s="998" t="n"/>
      <c r="H734" s="975" t="n"/>
      <c r="I734" s="975" t="n"/>
      <c r="J734" s="975" t="n"/>
      <c r="K734" s="1189">
        <f>K728=L734</f>
        <v/>
      </c>
      <c r="L734" s="491">
        <f>SUM(L728:L733)</f>
        <v/>
      </c>
      <c r="M734" s="1190" t="inlineStr">
        <is>
          <t xml:space="preserve">“Verdadero” indica que la cantidad por lote, coincide con el saldo que inicia al mes siguiente. "Falso" no coinicide. </t>
        </is>
      </c>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413">
        <f>ABRIL!K735</f>
        <v/>
      </c>
      <c r="E735" s="339">
        <f>H331</f>
        <v/>
      </c>
      <c r="F735" s="338" t="n"/>
      <c r="G735" s="338" t="n"/>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v>0</v>
      </c>
      <c r="AA735" s="648" t="n">
        <v>0</v>
      </c>
      <c r="AB735" s="649">
        <f>+Z735+AA735</f>
        <v/>
      </c>
      <c r="AC735" s="648" t="n">
        <v>0</v>
      </c>
      <c r="AD735" s="648" t="n">
        <v>0</v>
      </c>
      <c r="AE735" s="648" t="n">
        <v>0</v>
      </c>
      <c r="AF735" s="648" t="n">
        <v>0</v>
      </c>
      <c r="AG735" s="648" t="n">
        <v>0</v>
      </c>
      <c r="AH735" s="648" t="n">
        <v>0</v>
      </c>
      <c r="AI735" s="648" t="n">
        <v>0</v>
      </c>
      <c r="AJ735" s="648" t="n">
        <v>0</v>
      </c>
      <c r="AK735" s="648" t="n">
        <v>0</v>
      </c>
      <c r="AL735" s="648" t="n">
        <v>0</v>
      </c>
      <c r="AM735" s="421">
        <f>SUM(AB735:AL740)</f>
        <v/>
      </c>
      <c r="AN735" s="726" t="n"/>
      <c r="AU735" s="1240" t="n"/>
      <c r="AV735" s="1240" t="n"/>
    </row>
    <row r="736" ht="17.1" customHeight="1">
      <c r="A736" s="973" t="n"/>
      <c r="B736" s="971" t="n"/>
      <c r="C736" s="972" t="n"/>
      <c r="D736" s="973"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73"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73"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73"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73"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75" t="n"/>
      <c r="E741" s="975" t="n"/>
      <c r="F741" s="998" t="n"/>
      <c r="G741" s="998" t="n"/>
      <c r="H741" s="975" t="n"/>
      <c r="I741" s="975" t="n"/>
      <c r="J741" s="975" t="n"/>
      <c r="K741" s="1189">
        <f>K735=L741</f>
        <v/>
      </c>
      <c r="L741" s="491">
        <f>SUM(L735:L740)</f>
        <v/>
      </c>
      <c r="M741" s="1190" t="inlineStr">
        <is>
          <t xml:space="preserve">“Verdadero” indica que la cantidad por lote, coincide con el saldo que inicia al mes siguiente. "Falso" no coinicide. </t>
        </is>
      </c>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413">
        <f>ABRIL!K742</f>
        <v/>
      </c>
      <c r="E742" s="339">
        <f>H338</f>
        <v/>
      </c>
      <c r="F742" s="338" t="n">
        <v>13709</v>
      </c>
      <c r="G742" s="338" t="n">
        <v>176</v>
      </c>
      <c r="H742" s="1235">
        <f>+F742+G742</f>
        <v/>
      </c>
      <c r="I742" s="340">
        <f>+AM742</f>
        <v/>
      </c>
      <c r="J742" s="341">
        <f>+H742+I742</f>
        <v/>
      </c>
      <c r="K742" s="583">
        <f>+(D742+E742)-(J742)</f>
        <v/>
      </c>
      <c r="L742" s="253" t="n">
        <v>19835</v>
      </c>
      <c r="M742" s="254" t="inlineStr">
        <is>
          <t>AR13133-8</t>
        </is>
      </c>
      <c r="N742" s="254" t="inlineStr">
        <is>
          <t>NUBENCO</t>
        </is>
      </c>
      <c r="O742" s="1183" t="inlineStr">
        <is>
          <t>31/03/2027</t>
        </is>
      </c>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v>71</v>
      </c>
      <c r="AA742" s="648" t="n">
        <v>0</v>
      </c>
      <c r="AB742" s="649">
        <f>+Z742+AA742</f>
        <v/>
      </c>
      <c r="AC742" s="648" t="n">
        <v>0</v>
      </c>
      <c r="AD742" s="648" t="n">
        <v>22</v>
      </c>
      <c r="AE742" s="648" t="n">
        <v>0</v>
      </c>
      <c r="AF742" s="648" t="n">
        <v>0</v>
      </c>
      <c r="AG742" s="648" t="n">
        <v>0</v>
      </c>
      <c r="AH742" s="648" t="n">
        <v>7</v>
      </c>
      <c r="AI742" s="648" t="n">
        <v>0</v>
      </c>
      <c r="AJ742" s="648" t="n">
        <v>0</v>
      </c>
      <c r="AK742" s="648" t="n">
        <v>0</v>
      </c>
      <c r="AL742" s="648" t="n">
        <v>0</v>
      </c>
      <c r="AM742" s="421">
        <f>SUM(AB742:AL747)</f>
        <v/>
      </c>
      <c r="AN742" s="726" t="n"/>
      <c r="AU742" s="1240" t="n"/>
      <c r="AV742" s="1240" t="n"/>
    </row>
    <row r="743" ht="17.1" customHeight="1">
      <c r="A743" s="973" t="n"/>
      <c r="B743" s="971" t="n"/>
      <c r="C743" s="972" t="n"/>
      <c r="D743" s="973" t="n"/>
      <c r="E743" s="973" t="n"/>
      <c r="F743" s="994" t="n"/>
      <c r="G743" s="994" t="n"/>
      <c r="H743" s="973" t="n"/>
      <c r="I743" s="973" t="n"/>
      <c r="J743" s="973" t="n"/>
      <c r="K743" s="973" t="n"/>
      <c r="L743" s="253" t="n">
        <v>751</v>
      </c>
      <c r="M743" s="254" t="inlineStr">
        <is>
          <t>AR13133-7</t>
        </is>
      </c>
      <c r="N743" s="254" t="inlineStr">
        <is>
          <t>NUBENCO</t>
        </is>
      </c>
      <c r="O743" s="1183" t="inlineStr">
        <is>
          <t>28/02/2027</t>
        </is>
      </c>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73" t="n"/>
      <c r="E744" s="973" t="n"/>
      <c r="F744" s="994" t="n"/>
      <c r="G744" s="994" t="n"/>
      <c r="H744" s="973" t="n"/>
      <c r="I744" s="973" t="n"/>
      <c r="J744" s="973" t="n"/>
      <c r="K744" s="973" t="n"/>
      <c r="L744" s="253" t="n">
        <v>366</v>
      </c>
      <c r="M744" s="254" t="inlineStr">
        <is>
          <t>NOAPLICA</t>
        </is>
      </c>
      <c r="N744" s="254" t="inlineStr">
        <is>
          <t>Imprenta Nacional de Colombia</t>
        </is>
      </c>
      <c r="O744" s="1183" t="inlineStr">
        <is>
          <t>01/01/2028</t>
        </is>
      </c>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73" t="n"/>
      <c r="E745" s="973" t="n"/>
      <c r="F745" s="994" t="n"/>
      <c r="G745" s="994" t="n"/>
      <c r="H745" s="973" t="n"/>
      <c r="I745" s="973" t="n"/>
      <c r="J745" s="973" t="n"/>
      <c r="K745" s="973" t="n"/>
      <c r="L745" s="253" t="n">
        <v>345</v>
      </c>
      <c r="M745" s="254" t="inlineStr">
        <is>
          <t>20220110</t>
        </is>
      </c>
      <c r="N745" s="254" t="inlineStr">
        <is>
          <t>YIXIN China</t>
        </is>
      </c>
      <c r="O745" s="1183" t="inlineStr">
        <is>
          <t>09/01/2027</t>
        </is>
      </c>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73" t="n"/>
      <c r="E746" s="973" t="n"/>
      <c r="F746" s="994" t="n"/>
      <c r="G746" s="994" t="n"/>
      <c r="H746" s="973" t="n"/>
      <c r="I746" s="973" t="n"/>
      <c r="J746" s="973" t="n"/>
      <c r="K746" s="973" t="n"/>
      <c r="L746" s="253" t="n">
        <v>30</v>
      </c>
      <c r="M746" s="254" t="inlineStr">
        <is>
          <t>CW13132-5</t>
        </is>
      </c>
      <c r="N746" s="254" t="inlineStr">
        <is>
          <t>NUBENCO</t>
        </is>
      </c>
      <c r="O746" s="1183" t="inlineStr">
        <is>
          <t>31/01/2027</t>
        </is>
      </c>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73" t="n"/>
      <c r="E747" s="973" t="n"/>
      <c r="F747" s="994" t="n"/>
      <c r="G747" s="994" t="n"/>
      <c r="H747" s="973" t="n"/>
      <c r="I747" s="973" t="n"/>
      <c r="J747" s="973" t="n"/>
      <c r="K747" s="975" t="n"/>
      <c r="L747" s="253" t="n">
        <v>1312</v>
      </c>
      <c r="M747" s="254" t="inlineStr">
        <is>
          <t>AR13131-3</t>
        </is>
      </c>
      <c r="N747" s="254" t="inlineStr">
        <is>
          <t>NUBENCO</t>
        </is>
      </c>
      <c r="O747" s="1183" t="inlineStr">
        <is>
          <t>31/01/2027</t>
        </is>
      </c>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75" t="n"/>
      <c r="E748" s="975" t="n"/>
      <c r="F748" s="998" t="n"/>
      <c r="G748" s="998" t="n"/>
      <c r="H748" s="975" t="n"/>
      <c r="I748" s="975" t="n"/>
      <c r="J748" s="975" t="n"/>
      <c r="K748" s="1189">
        <f>K742=L748</f>
        <v/>
      </c>
      <c r="L748" s="491">
        <f>SUM(L742:L747)</f>
        <v/>
      </c>
      <c r="M748" s="1190" t="inlineStr">
        <is>
          <t xml:space="preserve">“Verdadero” indica que la cantidad por lote, coincide con el saldo que inicia al mes siguiente. "Falso" no coinicide. </t>
        </is>
      </c>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413">
        <f>ABRIL!K749</f>
        <v/>
      </c>
      <c r="E749" s="339">
        <f>H345</f>
        <v/>
      </c>
      <c r="F749" s="338" t="n">
        <v>0</v>
      </c>
      <c r="G749" s="338" t="n">
        <v>0</v>
      </c>
      <c r="H749" s="1235">
        <f>+F749+G749</f>
        <v/>
      </c>
      <c r="I749" s="340">
        <f>+AM749</f>
        <v/>
      </c>
      <c r="J749" s="341">
        <f>+H749+I749</f>
        <v/>
      </c>
      <c r="K749" s="583">
        <f>+(D749+E749)-(J749)</f>
        <v/>
      </c>
      <c r="L749" s="253" t="n"/>
      <c r="M749" s="254" t="n"/>
      <c r="N749" s="254" t="n"/>
      <c r="O749" s="1183" t="n"/>
      <c r="P749" s="256">
        <f>IF(O749=0," ",IFERROR(IF(DATEDIF(TODAY(),O749,"M")&lt;=5,"ROJO",IF(DATEDIF(TODAY(),O749,"M")&gt;=12,"VERDE",IF(AND(DATEDIF(TODAY(),O749,"M")&gt;=6,DATEDIF(TODAY(),O749,"M")&lt;=11),"AMARILLO"))),Q749))</f>
        <v/>
      </c>
      <c r="Q749" s="256">
        <f>IF(O749=0," ",IF(O749&lt;=$L$6,"VENCIDO","NO VENCIDO"))</f>
        <v/>
      </c>
      <c r="R749" s="257" t="n"/>
      <c r="S749" s="258" t="n"/>
      <c r="T749" s="258" t="n"/>
      <c r="U749" s="1184" t="n"/>
      <c r="V749" s="1184" t="n"/>
      <c r="W749" s="1236">
        <f>+AR749</f>
        <v/>
      </c>
      <c r="X749" s="1237" t="n"/>
      <c r="Y749" s="232" t="n"/>
      <c r="Z749" s="648" t="n">
        <v>0</v>
      </c>
      <c r="AA749" s="648" t="n">
        <v>0</v>
      </c>
      <c r="AB749" s="649">
        <f>+Z749+AA749</f>
        <v/>
      </c>
      <c r="AC749" s="648" t="n">
        <v>0</v>
      </c>
      <c r="AD749" s="648" t="n">
        <v>0</v>
      </c>
      <c r="AE749" s="648" t="n">
        <v>0</v>
      </c>
      <c r="AF749" s="648" t="n">
        <v>0</v>
      </c>
      <c r="AG749" s="648" t="n">
        <v>0</v>
      </c>
      <c r="AH749" s="648" t="n">
        <v>0</v>
      </c>
      <c r="AI749" s="648" t="n">
        <v>0</v>
      </c>
      <c r="AJ749" s="648" t="n">
        <v>0</v>
      </c>
      <c r="AK749" s="648" t="n">
        <v>0</v>
      </c>
      <c r="AL749" s="648" t="n">
        <v>0</v>
      </c>
      <c r="AM749" s="421">
        <f>SUM(AB749:AL754)</f>
        <v/>
      </c>
      <c r="AN749" s="726" t="n"/>
      <c r="AU749" s="1240" t="n"/>
      <c r="AV749" s="1240" t="n"/>
    </row>
    <row r="750" ht="17.1" customHeight="1">
      <c r="A750" s="973" t="n"/>
      <c r="B750" s="971" t="n"/>
      <c r="C750" s="972" t="n"/>
      <c r="D750" s="973"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73"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73"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73"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73"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75" t="n"/>
      <c r="E755" s="975" t="n"/>
      <c r="F755" s="998" t="n"/>
      <c r="G755" s="998" t="n"/>
      <c r="H755" s="975" t="n"/>
      <c r="I755" s="975" t="n"/>
      <c r="J755" s="975" t="n"/>
      <c r="K755" s="1189">
        <f>K749=L755</f>
        <v/>
      </c>
      <c r="L755" s="491">
        <f>SUM(L749:L754)</f>
        <v/>
      </c>
      <c r="M755" s="1190" t="inlineStr">
        <is>
          <t xml:space="preserve">“Verdadero” indica que la cantidad por lote, coincide con el saldo que inicia al mes siguiente. "Falso" no coinicide. </t>
        </is>
      </c>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413">
        <f>ABRIL!K756</f>
        <v/>
      </c>
      <c r="E756" s="339">
        <f>H352</f>
        <v/>
      </c>
      <c r="F756" s="338" t="n">
        <v>6038</v>
      </c>
      <c r="G756" s="338" t="n">
        <v>81</v>
      </c>
      <c r="H756" s="1235">
        <f>+F756+G756</f>
        <v/>
      </c>
      <c r="I756" s="340">
        <f>+AM756</f>
        <v/>
      </c>
      <c r="J756" s="341">
        <f>+H756+I756</f>
        <v/>
      </c>
      <c r="K756" s="583">
        <f>+(D756+E756)-(J756)</f>
        <v/>
      </c>
      <c r="L756" s="253" t="n">
        <v>6827</v>
      </c>
      <c r="M756" s="254" t="inlineStr">
        <is>
          <t>23FA1</t>
        </is>
      </c>
      <c r="N756" s="254" t="inlineStr">
        <is>
          <t>HAIOU</t>
        </is>
      </c>
      <c r="O756" s="1183" t="inlineStr">
        <is>
          <t>31/05/2028</t>
        </is>
      </c>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v>57</v>
      </c>
      <c r="AA756" s="648" t="n">
        <v>0</v>
      </c>
      <c r="AB756" s="649">
        <f>+Z756+AA756</f>
        <v/>
      </c>
      <c r="AC756" s="648" t="n">
        <v>0</v>
      </c>
      <c r="AD756" s="648" t="n">
        <v>0</v>
      </c>
      <c r="AE756" s="648" t="n">
        <v>0</v>
      </c>
      <c r="AF756" s="648" t="n">
        <v>0</v>
      </c>
      <c r="AG756" s="648" t="n">
        <v>0</v>
      </c>
      <c r="AH756" s="648" t="n">
        <v>0</v>
      </c>
      <c r="AI756" s="648" t="n">
        <v>0</v>
      </c>
      <c r="AJ756" s="648" t="n">
        <v>0</v>
      </c>
      <c r="AK756" s="648" t="n">
        <v>0</v>
      </c>
      <c r="AL756" s="648" t="n">
        <v>0</v>
      </c>
      <c r="AM756" s="421">
        <f>SUM(AB756:AL761)</f>
        <v/>
      </c>
      <c r="AN756" s="726" t="n"/>
      <c r="AU756" s="1240" t="n"/>
      <c r="AV756" s="1240" t="n"/>
    </row>
    <row r="757" ht="17.1" customHeight="1">
      <c r="A757" s="973" t="n"/>
      <c r="B757" s="971" t="n"/>
      <c r="C757" s="972" t="n"/>
      <c r="D757" s="973" t="n"/>
      <c r="E757" s="973" t="n"/>
      <c r="F757" s="994" t="n"/>
      <c r="G757" s="994" t="n"/>
      <c r="H757" s="973" t="n"/>
      <c r="I757" s="973" t="n"/>
      <c r="J757" s="973" t="n"/>
      <c r="K757" s="973" t="n"/>
      <c r="L757" s="253" t="n">
        <v>13595</v>
      </c>
      <c r="M757" s="254" t="inlineStr">
        <is>
          <t>20250903</t>
        </is>
      </c>
      <c r="N757" s="254" t="inlineStr">
        <is>
          <t>YIXIN China</t>
        </is>
      </c>
      <c r="O757" s="1183" t="inlineStr">
        <is>
          <t>02/09/2030</t>
        </is>
      </c>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73" t="n"/>
      <c r="E758" s="973" t="n"/>
      <c r="F758" s="994" t="n"/>
      <c r="G758" s="994" t="n"/>
      <c r="H758" s="973" t="n"/>
      <c r="I758" s="973" t="n"/>
      <c r="J758" s="973" t="n"/>
      <c r="K758" s="973" t="n"/>
      <c r="L758" s="253" t="n">
        <v>35</v>
      </c>
      <c r="M758" s="254" t="inlineStr">
        <is>
          <t>552214</t>
        </is>
      </c>
      <c r="N758" s="254" t="inlineStr">
        <is>
          <t>MEDECO</t>
        </is>
      </c>
      <c r="O758" s="1183" t="inlineStr">
        <is>
          <t>30/06/2027</t>
        </is>
      </c>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73" t="n"/>
      <c r="E759" s="973" t="n"/>
      <c r="F759" s="994" t="n"/>
      <c r="G759" s="994" t="n"/>
      <c r="H759" s="973" t="n"/>
      <c r="I759" s="973" t="n"/>
      <c r="J759" s="973" t="n"/>
      <c r="K759" s="973" t="n"/>
      <c r="L759" s="253" t="n">
        <v>7</v>
      </c>
      <c r="M759" s="254" t="inlineStr">
        <is>
          <t>552212</t>
        </is>
      </c>
      <c r="N759" s="254" t="inlineStr">
        <is>
          <t>MEDECO</t>
        </is>
      </c>
      <c r="O759" s="1183" t="inlineStr">
        <is>
          <t>30/06/2027</t>
        </is>
      </c>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73" t="n"/>
      <c r="E760" s="973" t="n"/>
      <c r="F760" s="994" t="n"/>
      <c r="G760" s="994" t="n"/>
      <c r="H760" s="973" t="n"/>
      <c r="I760" s="973" t="n"/>
      <c r="J760" s="973" t="n"/>
      <c r="K760" s="973" t="n"/>
      <c r="L760" s="253" t="n"/>
      <c r="M760" s="254" t="n"/>
      <c r="N760" s="254" t="n"/>
      <c r="O760" s="1183" t="n"/>
      <c r="P760" s="256">
        <f>IF(O760=0," ",IFERROR(IF(DATEDIF(TODAY(),O760,"M")&lt;=5,"ROJO",IF(DATEDIF(TODAY(),O760,"M")&gt;=12,"VERDE",IF(AND(DATEDIF(TODAY(),O760,"M")&gt;=6,DATEDIF(TODAY(),O760,"M")&lt;=11),"AMARILLO"))),Q760))</f>
        <v/>
      </c>
      <c r="Q760" s="256">
        <f>IF(O760=0," ",IF(O760&lt;=$L$6,"VENCIDO","NO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73"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75"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413">
        <f>ABRIL!K763</f>
        <v/>
      </c>
      <c r="E763" s="339">
        <f>H359</f>
        <v/>
      </c>
      <c r="F763" s="338" t="n">
        <v>655</v>
      </c>
      <c r="G763" s="338" t="n">
        <v>28</v>
      </c>
      <c r="H763" s="1235">
        <f>+F763+G763</f>
        <v/>
      </c>
      <c r="I763" s="340">
        <f>+AM763</f>
        <v/>
      </c>
      <c r="J763" s="341">
        <f>+H763+I763</f>
        <v/>
      </c>
      <c r="K763" s="583">
        <f>+(D763+E763)-(J763)</f>
        <v/>
      </c>
      <c r="L763" s="253" t="n">
        <v>3123</v>
      </c>
      <c r="M763" s="254" t="inlineStr">
        <is>
          <t>662203</t>
        </is>
      </c>
      <c r="N763" s="254" t="inlineStr">
        <is>
          <t>MEDECO</t>
        </is>
      </c>
      <c r="O763" s="1183" t="inlineStr">
        <is>
          <t>30/09/2027</t>
        </is>
      </c>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v>25</v>
      </c>
      <c r="AA763" s="648" t="n">
        <v>0</v>
      </c>
      <c r="AB763" s="649">
        <f>+Z763+AA763</f>
        <v/>
      </c>
      <c r="AC763" s="648" t="n">
        <v>0</v>
      </c>
      <c r="AD763" s="648" t="n">
        <v>0</v>
      </c>
      <c r="AE763" s="648" t="n">
        <v>0</v>
      </c>
      <c r="AF763" s="648" t="n">
        <v>15</v>
      </c>
      <c r="AG763" s="648" t="n">
        <v>80</v>
      </c>
      <c r="AH763" s="648" t="n">
        <v>3</v>
      </c>
      <c r="AI763" s="648" t="n">
        <v>0</v>
      </c>
      <c r="AJ763" s="648" t="n">
        <v>0</v>
      </c>
      <c r="AK763" s="648" t="n">
        <v>0</v>
      </c>
      <c r="AL763" s="648" t="n">
        <v>0</v>
      </c>
      <c r="AM763" s="421">
        <f>SUM(AB763:AL768)</f>
        <v/>
      </c>
      <c r="AN763" s="726" t="n"/>
      <c r="AU763" s="1240" t="n"/>
      <c r="AV763" s="1240" t="n"/>
    </row>
    <row r="764" ht="17.1" customHeight="1">
      <c r="A764" s="973" t="n"/>
      <c r="B764" s="971" t="n"/>
      <c r="C764" s="972" t="n"/>
      <c r="D764" s="973" t="n"/>
      <c r="E764" s="973" t="n"/>
      <c r="F764" s="994" t="n"/>
      <c r="G764" s="994" t="n"/>
      <c r="H764" s="973" t="n"/>
      <c r="I764" s="973" t="n"/>
      <c r="J764" s="973" t="n"/>
      <c r="K764" s="973" t="n"/>
      <c r="L764" s="253" t="n">
        <v>1510</v>
      </c>
      <c r="M764" s="254" t="inlineStr">
        <is>
          <t>662202</t>
        </is>
      </c>
      <c r="N764" s="254" t="inlineStr">
        <is>
          <t>MEDECO</t>
        </is>
      </c>
      <c r="O764" s="1183" t="inlineStr">
        <is>
          <t>30/09/2027</t>
        </is>
      </c>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73" t="n"/>
      <c r="E765" s="973" t="n"/>
      <c r="F765" s="994" t="n"/>
      <c r="G765" s="994" t="n"/>
      <c r="H765" s="973" t="n"/>
      <c r="I765" s="973" t="n"/>
      <c r="J765" s="973" t="n"/>
      <c r="K765" s="973" t="n"/>
      <c r="L765" s="253" t="n">
        <v>133</v>
      </c>
      <c r="M765" s="254" t="inlineStr">
        <is>
          <t>622204</t>
        </is>
      </c>
      <c r="N765" s="254" t="inlineStr">
        <is>
          <t>MEDECO</t>
        </is>
      </c>
      <c r="O765" s="1183" t="inlineStr">
        <is>
          <t>28/02/2027</t>
        </is>
      </c>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73" t="n"/>
      <c r="E766" s="973" t="n"/>
      <c r="F766" s="994" t="n"/>
      <c r="G766" s="994" t="n"/>
      <c r="H766" s="973" t="n"/>
      <c r="I766" s="973" t="n"/>
      <c r="J766" s="973" t="n"/>
      <c r="K766" s="973" t="n"/>
      <c r="L766" s="253" t="n"/>
      <c r="M766" s="254" t="n"/>
      <c r="N766" s="254" t="n"/>
      <c r="O766" s="1183" t="n"/>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73" t="n"/>
      <c r="E767" s="973" t="n"/>
      <c r="F767" s="994" t="n"/>
      <c r="G767" s="994" t="n"/>
      <c r="H767" s="973" t="n"/>
      <c r="I767" s="973" t="n"/>
      <c r="J767" s="973" t="n"/>
      <c r="K767" s="973" t="n"/>
      <c r="L767" s="253" t="n"/>
      <c r="M767" s="254" t="n"/>
      <c r="N767" s="254" t="n"/>
      <c r="O767" s="1183" t="n"/>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73"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75" t="n"/>
      <c r="E769" s="975" t="n"/>
      <c r="F769" s="998" t="n"/>
      <c r="G769" s="998" t="n"/>
      <c r="H769" s="975" t="n"/>
      <c r="I769" s="975" t="n"/>
      <c r="J769" s="975" t="n"/>
      <c r="K769" s="1189">
        <f>K763=L769</f>
        <v/>
      </c>
      <c r="L769" s="491">
        <f>SUM(L763:L768)</f>
        <v/>
      </c>
      <c r="M769" s="1190" t="inlineStr">
        <is>
          <t xml:space="preserve">“Verdadero” indica que la cantidad por lote, coincide con el saldo que inicia al mes siguiente. "Falso" no coinicide. </t>
        </is>
      </c>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413">
        <f>ABRIL!K770</f>
        <v/>
      </c>
      <c r="E770" s="339">
        <f>H366</f>
        <v/>
      </c>
      <c r="F770" s="338" t="n">
        <v>0</v>
      </c>
      <c r="G770" s="338" t="n">
        <v>0</v>
      </c>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v>0</v>
      </c>
      <c r="AA770" s="648" t="n">
        <v>0</v>
      </c>
      <c r="AB770" s="649">
        <f>+Z770+AA770</f>
        <v/>
      </c>
      <c r="AC770" s="648" t="n">
        <v>0</v>
      </c>
      <c r="AD770" s="648" t="n">
        <v>0</v>
      </c>
      <c r="AE770" s="648" t="n">
        <v>0</v>
      </c>
      <c r="AF770" s="648" t="n">
        <v>0</v>
      </c>
      <c r="AG770" s="648" t="n">
        <v>0</v>
      </c>
      <c r="AH770" s="648" t="n">
        <v>0</v>
      </c>
      <c r="AI770" s="648" t="n">
        <v>0</v>
      </c>
      <c r="AJ770" s="648" t="n">
        <v>0</v>
      </c>
      <c r="AK770" s="648" t="n">
        <v>0</v>
      </c>
      <c r="AL770" s="648" t="n">
        <v>0</v>
      </c>
      <c r="AM770" s="421">
        <f>SUM(AB770:AL775)</f>
        <v/>
      </c>
      <c r="AN770" s="726" t="n"/>
      <c r="AU770" s="1240" t="n"/>
      <c r="AV770" s="1240" t="n"/>
    </row>
    <row r="771" ht="17.1" customHeight="1">
      <c r="A771" s="973" t="n"/>
      <c r="B771" s="971" t="n"/>
      <c r="C771" s="972" t="n"/>
      <c r="D771" s="973"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73"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73"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73"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73"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75" t="n"/>
      <c r="E776" s="975" t="n"/>
      <c r="F776" s="998" t="n"/>
      <c r="G776" s="998" t="n"/>
      <c r="H776" s="975" t="n"/>
      <c r="I776" s="975" t="n"/>
      <c r="J776" s="975" t="n"/>
      <c r="K776" s="1189">
        <f>K770=L776</f>
        <v/>
      </c>
      <c r="L776" s="491">
        <f>SUM(L770:L775)</f>
        <v/>
      </c>
      <c r="M776" s="1190" t="inlineStr">
        <is>
          <t xml:space="preserve">“Verdadero” indica que la cantidad por lote, coincide con el saldo que inicia al mes siguiente. "Falso" no coinicide. </t>
        </is>
      </c>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413">
        <f>ABRIL!K777</f>
        <v/>
      </c>
      <c r="E777" s="339">
        <f>H373</f>
        <v/>
      </c>
      <c r="F777" s="338" t="n">
        <v>731</v>
      </c>
      <c r="G777" s="338" t="n">
        <v>24</v>
      </c>
      <c r="H777" s="576">
        <f>+F777+G777</f>
        <v/>
      </c>
      <c r="I777" s="340">
        <f>+AM777</f>
        <v/>
      </c>
      <c r="J777" s="341">
        <f>+H777+I777</f>
        <v/>
      </c>
      <c r="K777" s="584">
        <f>+(D777+E777)-(J777)</f>
        <v/>
      </c>
      <c r="L777" s="253" t="n">
        <v>865</v>
      </c>
      <c r="M777" s="254" t="inlineStr">
        <is>
          <t>PAPELERIA</t>
        </is>
      </c>
      <c r="N777" s="254" t="inlineStr">
        <is>
          <t>Imprenta Nacional de Colombia</t>
        </is>
      </c>
      <c r="O777" s="1183" t="inlineStr">
        <is>
          <t>31/12/2030</t>
        </is>
      </c>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v>0</v>
      </c>
      <c r="AA777" s="648" t="n">
        <v>0</v>
      </c>
      <c r="AB777" s="649">
        <f>+Z777+AA777</f>
        <v/>
      </c>
      <c r="AC777" s="648" t="n">
        <v>0</v>
      </c>
      <c r="AD777" s="648" t="n">
        <v>0</v>
      </c>
      <c r="AE777" s="648" t="n">
        <v>0</v>
      </c>
      <c r="AF777" s="648" t="n">
        <v>5</v>
      </c>
      <c r="AG777" s="648" t="n">
        <v>0</v>
      </c>
      <c r="AH777" s="648" t="n">
        <v>0</v>
      </c>
      <c r="AI777" s="648" t="n">
        <v>0</v>
      </c>
      <c r="AJ777" s="648" t="n">
        <v>0</v>
      </c>
      <c r="AK777" s="648" t="n">
        <v>0</v>
      </c>
      <c r="AL777" s="648" t="n">
        <v>0</v>
      </c>
      <c r="AM777" s="382">
        <f>SUM(AB777:AL777)</f>
        <v/>
      </c>
      <c r="AN777" s="726" t="n"/>
      <c r="AU777" s="1240" t="n"/>
      <c r="AV777" s="1240" t="n"/>
    </row>
    <row r="778" ht="30" customHeight="1">
      <c r="A778" s="585">
        <f>A777+1</f>
        <v/>
      </c>
      <c r="B778" s="629" t="inlineStr">
        <is>
          <t>Carnet de vacunación adultos</t>
        </is>
      </c>
      <c r="C778" s="967" t="n"/>
      <c r="D778" s="413">
        <f>ABRIL!K778</f>
        <v/>
      </c>
      <c r="E778" s="339">
        <f>H374</f>
        <v/>
      </c>
      <c r="F778" s="338" t="n">
        <v>8250</v>
      </c>
      <c r="G778" s="338" t="n">
        <v>58</v>
      </c>
      <c r="H778" s="576">
        <f>+F778+G778</f>
        <v/>
      </c>
      <c r="I778" s="340">
        <f>+AM778</f>
        <v/>
      </c>
      <c r="J778" s="341">
        <f>+H778+I778</f>
        <v/>
      </c>
      <c r="K778" s="584">
        <f>+(D778+E778)-(J778)</f>
        <v/>
      </c>
      <c r="L778" s="253" t="n">
        <v>431</v>
      </c>
      <c r="M778" s="254" t="inlineStr">
        <is>
          <t>PAPELERIA</t>
        </is>
      </c>
      <c r="N778" s="254" t="inlineStr">
        <is>
          <t>Imprenta Nacional de Colombia</t>
        </is>
      </c>
      <c r="O778" s="1183" t="inlineStr">
        <is>
          <t>31/12/2030</t>
        </is>
      </c>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v>0</v>
      </c>
      <c r="AA778" s="648" t="n">
        <v>0</v>
      </c>
      <c r="AB778" s="649">
        <f>+Z778+AA778</f>
        <v/>
      </c>
      <c r="AC778" s="648" t="n">
        <v>0</v>
      </c>
      <c r="AD778" s="648" t="n">
        <v>0</v>
      </c>
      <c r="AE778" s="648" t="n">
        <v>0</v>
      </c>
      <c r="AF778" s="648" t="n">
        <v>0</v>
      </c>
      <c r="AG778" s="648" t="n">
        <v>0</v>
      </c>
      <c r="AH778" s="648" t="n">
        <v>0</v>
      </c>
      <c r="AI778" s="648" t="n">
        <v>0</v>
      </c>
      <c r="AJ778" s="648" t="n">
        <v>0</v>
      </c>
      <c r="AK778" s="648" t="n">
        <v>0</v>
      </c>
      <c r="AL778" s="648" t="n">
        <v>0</v>
      </c>
      <c r="AM778" s="382">
        <f>SUM(AB778:AL778)</f>
        <v/>
      </c>
      <c r="AN778" s="726" t="n"/>
      <c r="AU778" s="1240" t="n"/>
      <c r="AV778" s="1240" t="n"/>
    </row>
    <row r="779" ht="30" customHeight="1">
      <c r="A779" s="585">
        <f>A778+1</f>
        <v/>
      </c>
      <c r="B779" s="629" t="inlineStr">
        <is>
          <t>Carnet/Certificado de vacunación (Covid-19)</t>
        </is>
      </c>
      <c r="C779" s="967" t="n"/>
      <c r="D779" s="413">
        <f>ABRIL!K779</f>
        <v/>
      </c>
      <c r="E779" s="339">
        <f>H375</f>
        <v/>
      </c>
      <c r="F779" s="338" t="n">
        <v>58</v>
      </c>
      <c r="G779" s="338" t="n">
        <v>0</v>
      </c>
      <c r="H779" s="576">
        <f>+F779+G779</f>
        <v/>
      </c>
      <c r="I779" s="340">
        <f>+AM779</f>
        <v/>
      </c>
      <c r="J779" s="341">
        <f>+H779+I779</f>
        <v/>
      </c>
      <c r="K779" s="584">
        <f>+(D779+E779)-(J779)</f>
        <v/>
      </c>
      <c r="L779" s="253" t="n">
        <v>214</v>
      </c>
      <c r="M779" s="254" t="inlineStr">
        <is>
          <t>PAPELERIA</t>
        </is>
      </c>
      <c r="N779" s="254" t="inlineStr">
        <is>
          <t>Imprenta Nacional de Colombia</t>
        </is>
      </c>
      <c r="O779" s="1183" t="inlineStr">
        <is>
          <t>31/12/2030</t>
        </is>
      </c>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v>0</v>
      </c>
      <c r="AA779" s="648" t="n">
        <v>0</v>
      </c>
      <c r="AB779" s="649">
        <f>+Z779+AA779</f>
        <v/>
      </c>
      <c r="AC779" s="648" t="n">
        <v>0</v>
      </c>
      <c r="AD779" s="648" t="n">
        <v>0</v>
      </c>
      <c r="AE779" s="648" t="n">
        <v>0</v>
      </c>
      <c r="AF779" s="648" t="n">
        <v>0</v>
      </c>
      <c r="AG779" s="648" t="n">
        <v>0</v>
      </c>
      <c r="AH779" s="648" t="n">
        <v>0</v>
      </c>
      <c r="AI779" s="648" t="n">
        <v>0</v>
      </c>
      <c r="AJ779" s="648" t="n">
        <v>0</v>
      </c>
      <c r="AK779" s="648" t="n">
        <v>0</v>
      </c>
      <c r="AL779" s="648" t="n">
        <v>0</v>
      </c>
      <c r="AM779" s="382">
        <f>SUM(AB779:AL779)</f>
        <v/>
      </c>
      <c r="AN779" s="726" t="n"/>
      <c r="AU779" s="1240" t="n"/>
      <c r="AV779" s="1240" t="n"/>
    </row>
    <row r="780" ht="30" customHeight="1">
      <c r="A780" s="585">
        <f>A779+1</f>
        <v/>
      </c>
      <c r="B780" s="629" t="inlineStr">
        <is>
          <t>Carne/certificado internacional de vacunación</t>
        </is>
      </c>
      <c r="C780" s="967" t="n"/>
      <c r="D780" s="413">
        <f>ABRIL!K780</f>
        <v/>
      </c>
      <c r="E780" s="339">
        <f>H376</f>
        <v/>
      </c>
      <c r="F780" s="338" t="n">
        <v>540</v>
      </c>
      <c r="G780" s="338" t="n">
        <v>36</v>
      </c>
      <c r="H780" s="576">
        <f>+F780+G780</f>
        <v/>
      </c>
      <c r="I780" s="340">
        <f>+AM780</f>
        <v/>
      </c>
      <c r="J780" s="341">
        <f>+H780+I780</f>
        <v/>
      </c>
      <c r="K780" s="584">
        <f>+(D780+E780)-(J780)</f>
        <v/>
      </c>
      <c r="L780" s="253" t="n">
        <v>98</v>
      </c>
      <c r="M780" s="254" t="inlineStr">
        <is>
          <t>PAPELERIA</t>
        </is>
      </c>
      <c r="N780" s="254" t="inlineStr">
        <is>
          <t>Imprenta Nacional de Colombia</t>
        </is>
      </c>
      <c r="O780" s="1183" t="inlineStr">
        <is>
          <t>31/12/2030</t>
        </is>
      </c>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v>2</v>
      </c>
      <c r="AA780" s="648" t="n">
        <v>0</v>
      </c>
      <c r="AB780" s="649">
        <f>+Z780+AA780</f>
        <v/>
      </c>
      <c r="AC780" s="648" t="n">
        <v>0</v>
      </c>
      <c r="AD780" s="648" t="n">
        <v>0</v>
      </c>
      <c r="AE780" s="648" t="n">
        <v>0</v>
      </c>
      <c r="AF780" s="648" t="n">
        <v>0</v>
      </c>
      <c r="AG780" s="648" t="n">
        <v>0</v>
      </c>
      <c r="AH780" s="648" t="n">
        <v>0</v>
      </c>
      <c r="AI780" s="648" t="n">
        <v>0</v>
      </c>
      <c r="AJ780" s="648" t="n">
        <v>0</v>
      </c>
      <c r="AK780" s="648" t="n">
        <v>0</v>
      </c>
      <c r="AL780" s="648" t="n">
        <v>0</v>
      </c>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413">
        <f>ABRIL!K781</f>
        <v/>
      </c>
      <c r="E781" s="339">
        <f>H377</f>
        <v/>
      </c>
      <c r="F781" s="338" t="n">
        <v>0</v>
      </c>
      <c r="G781" s="338" t="n">
        <v>0</v>
      </c>
      <c r="H781" s="576">
        <f>+F781+G781</f>
        <v/>
      </c>
      <c r="I781" s="340">
        <f>+AM781</f>
        <v/>
      </c>
      <c r="J781" s="341">
        <f>+H781+I781</f>
        <v/>
      </c>
      <c r="K781" s="584">
        <f>+(D781+E781)-(J781)</f>
        <v/>
      </c>
      <c r="L781" s="253" t="n">
        <v>44</v>
      </c>
      <c r="M781" s="254" t="inlineStr">
        <is>
          <t>PAPELERIA</t>
        </is>
      </c>
      <c r="N781" s="254" t="inlineStr">
        <is>
          <t>Imprenta Nacional de Colombia</t>
        </is>
      </c>
      <c r="O781" s="1183" t="inlineStr">
        <is>
          <t>31/12/2030</t>
        </is>
      </c>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v>0</v>
      </c>
      <c r="AA781" s="648" t="n">
        <v>0</v>
      </c>
      <c r="AB781" s="649">
        <f>+Z781+AA781</f>
        <v/>
      </c>
      <c r="AC781" s="648" t="n">
        <v>0</v>
      </c>
      <c r="AD781" s="648" t="n">
        <v>0</v>
      </c>
      <c r="AE781" s="648" t="n">
        <v>0</v>
      </c>
      <c r="AF781" s="648" t="n">
        <v>0</v>
      </c>
      <c r="AG781" s="648" t="n">
        <v>0</v>
      </c>
      <c r="AH781" s="648" t="n">
        <v>0</v>
      </c>
      <c r="AI781" s="648" t="n">
        <v>0</v>
      </c>
      <c r="AJ781" s="648" t="n">
        <v>0</v>
      </c>
      <c r="AK781" s="648" t="n">
        <v>0</v>
      </c>
      <c r="AL781" s="648" t="n">
        <v>0</v>
      </c>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413">
        <f>ABRIL!K782</f>
        <v/>
      </c>
      <c r="E782" s="339">
        <f>H378</f>
        <v/>
      </c>
      <c r="F782" s="338" t="n">
        <v>0</v>
      </c>
      <c r="G782" s="338" t="n">
        <v>0</v>
      </c>
      <c r="H782" s="576">
        <f>+F782+G782</f>
        <v/>
      </c>
      <c r="I782" s="340">
        <f>+AM782</f>
        <v/>
      </c>
      <c r="J782" s="341">
        <f>+H782+I782</f>
        <v/>
      </c>
      <c r="K782" s="584">
        <f>+(D782+E782)-(J782)</f>
        <v/>
      </c>
      <c r="L782" s="253" t="n">
        <v>22</v>
      </c>
      <c r="M782" s="254" t="inlineStr">
        <is>
          <t>PAPELERIA</t>
        </is>
      </c>
      <c r="N782" s="254" t="inlineStr">
        <is>
          <t>Imprenta Nacional de Colombia</t>
        </is>
      </c>
      <c r="O782" s="1183" t="inlineStr">
        <is>
          <t>31/12/2030</t>
        </is>
      </c>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v>0</v>
      </c>
      <c r="AA782" s="648" t="n">
        <v>0</v>
      </c>
      <c r="AB782" s="649">
        <f>+Z782+AA782</f>
        <v/>
      </c>
      <c r="AC782" s="648" t="n">
        <v>0</v>
      </c>
      <c r="AD782" s="648" t="n">
        <v>0</v>
      </c>
      <c r="AE782" s="648" t="n">
        <v>0</v>
      </c>
      <c r="AF782" s="648" t="n">
        <v>0</v>
      </c>
      <c r="AG782" s="648" t="n">
        <v>0</v>
      </c>
      <c r="AH782" s="648" t="n">
        <v>0</v>
      </c>
      <c r="AI782" s="648" t="n">
        <v>0</v>
      </c>
      <c r="AJ782" s="648" t="n">
        <v>0</v>
      </c>
      <c r="AK782" s="648" t="n">
        <v>0</v>
      </c>
      <c r="AL782" s="648" t="n">
        <v>0</v>
      </c>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413">
        <f>ABRIL!K783</f>
        <v/>
      </c>
      <c r="E783" s="339">
        <f>H379</f>
        <v/>
      </c>
      <c r="F783" s="338" t="n">
        <v>0</v>
      </c>
      <c r="G783" s="338" t="n">
        <v>0</v>
      </c>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v>0</v>
      </c>
      <c r="AA783" s="648" t="n">
        <v>0</v>
      </c>
      <c r="AB783" s="649">
        <f>+Z783+AA783</f>
        <v/>
      </c>
      <c r="AC783" s="648" t="n">
        <v>0</v>
      </c>
      <c r="AD783" s="648" t="n">
        <v>0</v>
      </c>
      <c r="AE783" s="648" t="n">
        <v>0</v>
      </c>
      <c r="AF783" s="648" t="n">
        <v>0</v>
      </c>
      <c r="AG783" s="648" t="n">
        <v>0</v>
      </c>
      <c r="AH783" s="648" t="n">
        <v>0</v>
      </c>
      <c r="AI783" s="648" t="n">
        <v>0</v>
      </c>
      <c r="AJ783" s="648" t="n">
        <v>0</v>
      </c>
      <c r="AK783" s="648" t="n">
        <v>0</v>
      </c>
      <c r="AL783" s="648" t="n">
        <v>0</v>
      </c>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569" t="inlineStr">
        <is>
          <t>ÍTEM</t>
        </is>
      </c>
      <c r="B785" s="569" t="inlineStr">
        <is>
          <t>VACUNA COVID-19</t>
        </is>
      </c>
      <c r="C785" s="965" t="n"/>
      <c r="D785" s="1231" t="inlineStr">
        <is>
          <t>SALDO MES ANTERIOR</t>
        </is>
      </c>
      <c r="E785" s="961" t="inlineStr">
        <is>
          <t>BIOLÓGICO RECIBIDO DEL CENTRO DE ACOPIO DEPARTAMENTAL / DISTRITAL</t>
        </is>
      </c>
      <c r="F785" s="1231" t="inlineStr">
        <is>
          <t>DOSIS APLICADAS</t>
        </is>
      </c>
      <c r="G785" s="967" t="n"/>
      <c r="H785" s="1232" t="inlineStr">
        <is>
          <t>TOTAL DOSIS APLICADAS</t>
        </is>
      </c>
      <c r="I785" s="961" t="inlineStr">
        <is>
          <t>DOSIS PERDIDAS</t>
        </is>
      </c>
      <c r="J785" s="1231" t="inlineStr">
        <is>
          <t>TOTAL DOSIS ÚTILIZADAS EN EL MES</t>
        </is>
      </c>
      <c r="K785" s="623" t="inlineStr">
        <is>
          <t>SALDO QUE INICIA EL MES SIGUIENTE (SOLO MUNICIPIOS)</t>
        </is>
      </c>
      <c r="L785" s="623" t="n"/>
      <c r="M785" s="623" t="n"/>
      <c r="N785" s="623" t="n"/>
      <c r="O785" s="623" t="n"/>
      <c r="P785" s="623" t="inlineStr">
        <is>
          <t>SEMAFORIZACION VIDA  ÚTIL DEL BIOLÓGICO</t>
        </is>
      </c>
      <c r="Q785" s="623" t="inlineStr">
        <is>
          <t>CONDICIÓN FINAL DEL BIOLÓGICO, DILUYENTE Y CARNET</t>
        </is>
      </c>
      <c r="R785" s="613" t="inlineStr">
        <is>
          <t>DOSIS EN CUARENTENA</t>
        </is>
      </c>
      <c r="S785" s="613" t="inlineStr">
        <is>
          <t>LABORATORIO</t>
        </is>
      </c>
      <c r="T785" s="613" t="inlineStr">
        <is>
          <t>No. LOTE</t>
        </is>
      </c>
      <c r="U785" s="613" t="inlineStr">
        <is>
          <t>FECHA DE VENCIMEINTO</t>
        </is>
      </c>
      <c r="V785" s="613" t="inlineStr">
        <is>
          <t>FECHA DE INICIO CUARENTENA</t>
        </is>
      </c>
      <c r="W785" s="613" t="inlineStr">
        <is>
          <t>OBSERVACIONES</t>
        </is>
      </c>
      <c r="X785" s="351" t="n"/>
      <c r="Y785" s="232" t="n"/>
      <c r="Z785" s="1221" t="inlineStr">
        <is>
          <t>MOTIVOS DE NO USO DE VACUNAS CONTRA LA COVID-19
RESOLUCIÓN 0118 DEL 27 DE ENERO DE 2026
DISPONIBLE EN EL SIGUIENTE LINK: https://www.minsalud.gov.co/Normatividad_Nuevo/Resolucion%20No%20118%20de%202026.pdf</t>
        </is>
      </c>
      <c r="AA785" s="968" t="n"/>
      <c r="AB785" s="968" t="n"/>
      <c r="AC785" s="968" t="n"/>
      <c r="AD785" s="968" t="n"/>
      <c r="AE785" s="968" t="n"/>
      <c r="AF785" s="968" t="n"/>
      <c r="AG785" s="968" t="n"/>
      <c r="AH785" s="968" t="n"/>
      <c r="AI785" s="968" t="n"/>
      <c r="AJ785" s="968" t="n"/>
      <c r="AK785" s="968" t="n"/>
      <c r="AL785" s="967" t="n"/>
      <c r="AM785" s="532" t="inlineStr">
        <is>
          <t xml:space="preserve">TOTAL DOSIS PERDIDAS        </t>
        </is>
      </c>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inlineStr">
        <is>
          <t>POLÍTICA DE FRASCOS ABIERTO</t>
        </is>
      </c>
      <c r="AA787" s="967" t="n"/>
      <c r="AB787" s="1222" t="inlineStr">
        <is>
          <t>INTERRUPCIÓN DE LA CADENA DE FRÍO</t>
        </is>
      </c>
      <c r="AC787" s="537" t="inlineStr">
        <is>
          <t>CONTAMINACIÓN DEL BIOLÓGICO</t>
        </is>
      </c>
      <c r="AD787" s="1222" t="inlineStr">
        <is>
          <t>ERROR EN LA MANIPULACIÓN</t>
        </is>
      </c>
      <c r="AE787" s="537" t="inlineStr">
        <is>
          <t>ERROR EN LA RECONSTITUCIÓN/DILUCIÓN</t>
        </is>
      </c>
      <c r="AF787" s="1222" t="inlineStr">
        <is>
          <t>ERROR EN LA DOSIFICACIÓN</t>
        </is>
      </c>
      <c r="AG787" s="537" t="inlineStr">
        <is>
          <t>VACUNA QUE EXCEDE EL TIEMPO DE ALMACENAMIENTO EN REFRIGERACIÓN</t>
        </is>
      </c>
      <c r="AH787" s="1222" t="inlineStr">
        <is>
          <t>VENCIMIENTO DEL BIOLÓGICO</t>
        </is>
      </c>
      <c r="AI787" s="537" t="inlineStr">
        <is>
          <t>FRASCO VIAL ROTO</t>
        </is>
      </c>
      <c r="AJ787" s="1222" t="inlineStr">
        <is>
          <t>FALLAS DE FABRICACIÓN/CALIDAD</t>
        </is>
      </c>
      <c r="AK787" s="537" t="inlineStr">
        <is>
          <t>SINIESTRO / ACCIDENTE</t>
        </is>
      </c>
      <c r="AL787" s="1222" t="inlineStr">
        <is>
          <t>ROBO/HURTO BIOLÓGICO</t>
        </is>
      </c>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inlineStr">
        <is>
          <t>INSTITUCIONAL</t>
        </is>
      </c>
      <c r="AA788" s="497" t="inlineStr">
        <is>
          <t>EXTRAMURAL</t>
        </is>
      </c>
      <c r="AB788" s="975" t="n"/>
      <c r="AC788" s="975" t="n"/>
      <c r="AD788" s="975" t="n"/>
      <c r="AE788" s="975" t="n"/>
      <c r="AF788" s="975" t="n"/>
      <c r="AG788" s="975" t="n"/>
      <c r="AH788" s="975" t="n"/>
      <c r="AI788" s="975" t="n"/>
      <c r="AJ788" s="975" t="n"/>
      <c r="AK788" s="975" t="n"/>
      <c r="AL788" s="975" t="n"/>
      <c r="AM788" s="975" t="n"/>
      <c r="AN788" s="368" t="n"/>
      <c r="AO788" s="368" t="n"/>
      <c r="AP788" s="416" t="n"/>
      <c r="AQ788" s="546" t="inlineStr">
        <is>
          <t>PORCENTAJE DE PERDIDA DEL MES
%</t>
        </is>
      </c>
      <c r="AR788" s="546" t="inlineStr">
        <is>
          <t>FACTOR DE PERDIDA DEL MES</t>
        </is>
      </c>
      <c r="AS788" s="420" t="inlineStr">
        <is>
          <t>% DE PERDIDA DEL MSPS</t>
        </is>
      </c>
      <c r="AT788" s="420" t="inlineStr">
        <is>
          <t>DOSIS POR VIAL</t>
        </is>
      </c>
      <c r="AV788" s="1240" t="n"/>
      <c r="AW788" s="1240" t="n"/>
    </row>
    <row r="789" ht="19.5" customHeight="1">
      <c r="A789" s="585" t="n">
        <v>1</v>
      </c>
      <c r="B789" s="1249" t="inlineStr">
        <is>
          <t>MODERNA ADULTO</t>
        </is>
      </c>
      <c r="C789" s="965" t="n"/>
      <c r="D789" s="496">
        <f>ABRIL!K789</f>
        <v/>
      </c>
      <c r="E789" s="339">
        <f>H385</f>
        <v/>
      </c>
      <c r="F789" s="731" t="n">
        <v>30</v>
      </c>
      <c r="G789" s="731" t="n">
        <v>0</v>
      </c>
      <c r="H789" s="1235">
        <f>SUM(F789,G789)</f>
        <v/>
      </c>
      <c r="I789" s="340">
        <f>+AM789</f>
        <v/>
      </c>
      <c r="J789" s="341">
        <f>+H789+I789</f>
        <v/>
      </c>
      <c r="K789" s="583">
        <f>+(D789+E789)-(J789)</f>
        <v/>
      </c>
      <c r="L789" s="486" t="n">
        <v>80</v>
      </c>
      <c r="M789" s="487" t="inlineStr">
        <is>
          <t>3058112</t>
        </is>
      </c>
      <c r="N789" s="487" t="inlineStr">
        <is>
          <t>Moderna Biotech</t>
        </is>
      </c>
      <c r="O789" s="1223" t="n">
        <v>46326</v>
      </c>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v>0</v>
      </c>
      <c r="AA789" s="648" t="n">
        <v>0</v>
      </c>
      <c r="AB789" s="648" t="n"/>
      <c r="AC789" s="648" t="n">
        <v>0</v>
      </c>
      <c r="AD789" s="648" t="n">
        <v>0</v>
      </c>
      <c r="AE789" s="648" t="n">
        <v>0</v>
      </c>
      <c r="AF789" s="648" t="n">
        <v>0</v>
      </c>
      <c r="AG789" s="648" t="n">
        <v>0</v>
      </c>
      <c r="AH789" s="648" t="n">
        <v>0</v>
      </c>
      <c r="AI789" s="648" t="n">
        <v>0</v>
      </c>
      <c r="AJ789" s="648" t="n">
        <v>0</v>
      </c>
      <c r="AK789" s="648" t="n">
        <v>0</v>
      </c>
      <c r="AL789" s="648" t="n">
        <v>0</v>
      </c>
      <c r="AM789" s="573">
        <f>SUM(Z789:AL792)</f>
        <v/>
      </c>
      <c r="AN789" s="693" t="n"/>
      <c r="AO789" s="485" t="n"/>
      <c r="AP789" s="416" t="n"/>
      <c r="AQ789" s="1238">
        <f>IFERROR(I789/J789*100,"0")</f>
        <v/>
      </c>
      <c r="AR789" s="1238">
        <f>IFERROR(1/(1-(AQ789/100)),"0")</f>
        <v/>
      </c>
      <c r="AS789" s="1238" t="n">
        <v>0</v>
      </c>
      <c r="AT789" s="345" t="n">
        <v>5</v>
      </c>
      <c r="AU789" s="1240" t="n"/>
      <c r="AV789" s="1240" t="n"/>
    </row>
    <row r="790" ht="19.5" customHeight="1">
      <c r="A790" s="973" t="n"/>
      <c r="B790" s="971" t="n"/>
      <c r="C790" s="972" t="n"/>
      <c r="D790" s="973"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73"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73"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75" t="n"/>
      <c r="E793" s="975" t="n"/>
      <c r="F793" s="998" t="n"/>
      <c r="G793" s="998" t="n"/>
      <c r="H793" s="975" t="n"/>
      <c r="I793" s="975" t="n"/>
      <c r="J793" s="975" t="n"/>
      <c r="K793" s="1189">
        <f>K789=L793</f>
        <v/>
      </c>
      <c r="L793" s="491">
        <f>SUM(L789:L792)</f>
        <v/>
      </c>
      <c r="M793" s="1190" t="n"/>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496">
        <f>ABRIL!K794</f>
        <v/>
      </c>
      <c r="E794" s="339">
        <f>H390</f>
        <v/>
      </c>
      <c r="F794" s="731" t="n">
        <v>0</v>
      </c>
      <c r="G794" s="731" t="n">
        <v>0</v>
      </c>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v>0</v>
      </c>
      <c r="AA794" s="648" t="n">
        <v>0</v>
      </c>
      <c r="AB794" s="648" t="n"/>
      <c r="AC794" s="648" t="n">
        <v>0</v>
      </c>
      <c r="AD794" s="648" t="n">
        <v>0</v>
      </c>
      <c r="AE794" s="648" t="n">
        <v>0</v>
      </c>
      <c r="AF794" s="648" t="n">
        <v>0</v>
      </c>
      <c r="AG794" s="648" t="n">
        <v>0</v>
      </c>
      <c r="AH794" s="648" t="n">
        <v>0</v>
      </c>
      <c r="AI794" s="648" t="n">
        <v>0</v>
      </c>
      <c r="AJ794" s="648" t="n">
        <v>0</v>
      </c>
      <c r="AK794" s="648" t="n">
        <v>0</v>
      </c>
      <c r="AL794" s="648" t="n">
        <v>0</v>
      </c>
      <c r="AM794" s="573">
        <f>SUM(Z794:AL797)</f>
        <v/>
      </c>
      <c r="AN794" s="693" t="n"/>
      <c r="AO794" s="485" t="n"/>
      <c r="AP794" s="416" t="n"/>
      <c r="AQ794" s="1238">
        <f>IFERROR(I794/J794*100,"0")</f>
        <v/>
      </c>
      <c r="AR794" s="1238">
        <f>IFERROR(1/(1-(AQ794/100)),"0")</f>
        <v/>
      </c>
      <c r="AS794" s="1238" t="n">
        <v>0</v>
      </c>
      <c r="AT794" s="345" t="n">
        <v>10</v>
      </c>
      <c r="AU794" s="1240" t="n"/>
      <c r="AV794" s="1240" t="n"/>
    </row>
    <row r="795" ht="19.5" customHeight="1">
      <c r="A795" s="973" t="n"/>
      <c r="B795" s="971" t="n"/>
      <c r="C795" s="972" t="n"/>
      <c r="D795" s="973"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73"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73"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75" t="n"/>
      <c r="E798" s="975" t="n"/>
      <c r="F798" s="998" t="n"/>
      <c r="G798" s="998" t="n"/>
      <c r="H798" s="975" t="n"/>
      <c r="I798" s="975" t="n"/>
      <c r="J798" s="975" t="n"/>
      <c r="K798" s="1189">
        <f>K794=L798</f>
        <v/>
      </c>
      <c r="L798" s="491">
        <f>SUM(L794:L797)</f>
        <v/>
      </c>
      <c r="M798" s="1190" t="n"/>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496">
        <f>ABRIL!K799</f>
        <v/>
      </c>
      <c r="E799" s="339">
        <f>H395</f>
        <v/>
      </c>
      <c r="F799" s="731" t="n">
        <v>20</v>
      </c>
      <c r="G799" s="731" t="n">
        <v>0</v>
      </c>
      <c r="H799" s="1235">
        <f>SUM(F799,G799)</f>
        <v/>
      </c>
      <c r="I799" s="340">
        <f>+AM799</f>
        <v/>
      </c>
      <c r="J799" s="341">
        <f>+H799+I799</f>
        <v/>
      </c>
      <c r="K799" s="583">
        <f>+(D799+E799)-(J799)</f>
        <v/>
      </c>
      <c r="L799" s="486" t="n">
        <v>66</v>
      </c>
      <c r="M799" s="487" t="inlineStr">
        <is>
          <t>MT6633</t>
        </is>
      </c>
      <c r="N799" s="487" t="inlineStr">
        <is>
          <t>PFIZER</t>
        </is>
      </c>
      <c r="O799" s="1223" t="n">
        <v>46387</v>
      </c>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v>10</v>
      </c>
      <c r="AA799" s="648" t="n">
        <v>0</v>
      </c>
      <c r="AB799" s="648" t="n"/>
      <c r="AC799" s="648" t="n">
        <v>0</v>
      </c>
      <c r="AD799" s="648" t="n">
        <v>0</v>
      </c>
      <c r="AE799" s="648" t="n">
        <v>0</v>
      </c>
      <c r="AF799" s="648" t="n">
        <v>0</v>
      </c>
      <c r="AG799" s="648" t="n">
        <v>0</v>
      </c>
      <c r="AH799" s="648" t="n">
        <v>0</v>
      </c>
      <c r="AI799" s="648" t="n">
        <v>0</v>
      </c>
      <c r="AJ799" s="648" t="n">
        <v>0</v>
      </c>
      <c r="AK799" s="648" t="n">
        <v>0</v>
      </c>
      <c r="AL799" s="648" t="n">
        <v>0</v>
      </c>
      <c r="AM799" s="573">
        <f>SUM(Z799:AL802)</f>
        <v/>
      </c>
      <c r="AN799" s="693" t="n"/>
      <c r="AO799" s="485" t="n"/>
      <c r="AP799" s="416" t="n"/>
      <c r="AQ799" s="1238">
        <f>IFERROR(I799/J799*100,"0")</f>
        <v/>
      </c>
      <c r="AR799" s="1238">
        <f>IFERROR(1/(1-(AQ799/100)),"0")</f>
        <v/>
      </c>
      <c r="AS799" s="1238" t="n">
        <v>0</v>
      </c>
      <c r="AT799" s="345" t="n">
        <v>6</v>
      </c>
      <c r="AU799" s="1240" t="n"/>
      <c r="AV799" s="1240" t="n"/>
    </row>
    <row r="800" ht="19.5" customHeight="1">
      <c r="A800" s="973" t="n"/>
      <c r="B800" s="971" t="n"/>
      <c r="C800" s="972" t="n"/>
      <c r="D800" s="973"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73"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73"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75" t="n"/>
      <c r="E803" s="975" t="n"/>
      <c r="F803" s="998" t="n"/>
      <c r="G803" s="998" t="n"/>
      <c r="H803" s="975" t="n"/>
      <c r="I803" s="975" t="n"/>
      <c r="J803" s="975" t="n"/>
      <c r="K803" s="1189">
        <f>K799=L803</f>
        <v/>
      </c>
      <c r="L803" s="491">
        <f>SUM(L799:L802)</f>
        <v/>
      </c>
      <c r="M803" s="1190" t="n"/>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496">
        <f>ABRIL!K804</f>
        <v/>
      </c>
      <c r="E804" s="339">
        <f>H400</f>
        <v/>
      </c>
      <c r="F804" s="731" t="n">
        <v>0</v>
      </c>
      <c r="G804" s="731" t="n">
        <v>0</v>
      </c>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v>0</v>
      </c>
      <c r="AA804" s="648" t="n">
        <v>0</v>
      </c>
      <c r="AB804" s="648" t="n"/>
      <c r="AC804" s="648" t="n">
        <v>0</v>
      </c>
      <c r="AD804" s="648" t="n">
        <v>0</v>
      </c>
      <c r="AE804" s="648" t="n">
        <v>0</v>
      </c>
      <c r="AF804" s="648" t="n">
        <v>0</v>
      </c>
      <c r="AG804" s="648" t="n">
        <v>0</v>
      </c>
      <c r="AH804" s="648" t="n">
        <v>0</v>
      </c>
      <c r="AI804" s="648" t="n">
        <v>0</v>
      </c>
      <c r="AJ804" s="648" t="n">
        <v>0</v>
      </c>
      <c r="AK804" s="648" t="n">
        <v>0</v>
      </c>
      <c r="AL804" s="648" t="n">
        <v>0</v>
      </c>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73"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73"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73"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75" t="n"/>
      <c r="E808" s="975" t="n"/>
      <c r="F808" s="998" t="n"/>
      <c r="G808" s="998" t="n"/>
      <c r="H808" s="975" t="n"/>
      <c r="I808" s="975" t="n"/>
      <c r="J808" s="975" t="n"/>
      <c r="K808" s="1189">
        <f>K804=L808</f>
        <v/>
      </c>
      <c r="L808" s="491">
        <f>SUM(L804:L807)</f>
        <v/>
      </c>
      <c r="M808" s="1190" t="n"/>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496">
        <f>ABRIL!K809</f>
        <v/>
      </c>
      <c r="E809" s="339">
        <f>H405</f>
        <v/>
      </c>
      <c r="F809" s="731" t="n">
        <v>0</v>
      </c>
      <c r="G809" s="731" t="n">
        <v>0</v>
      </c>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v>0</v>
      </c>
      <c r="AA809" s="648" t="n">
        <v>0</v>
      </c>
      <c r="AB809" s="648" t="n"/>
      <c r="AC809" s="648" t="n">
        <v>0</v>
      </c>
      <c r="AD809" s="648" t="n">
        <v>0</v>
      </c>
      <c r="AE809" s="648" t="n">
        <v>0</v>
      </c>
      <c r="AF809" s="648" t="n">
        <v>0</v>
      </c>
      <c r="AG809" s="648" t="n">
        <v>0</v>
      </c>
      <c r="AH809" s="648" t="n">
        <v>0</v>
      </c>
      <c r="AI809" s="648" t="n">
        <v>0</v>
      </c>
      <c r="AJ809" s="648" t="n">
        <v>0</v>
      </c>
      <c r="AK809" s="648" t="n">
        <v>0</v>
      </c>
      <c r="AL809" s="648" t="n">
        <v>0</v>
      </c>
      <c r="AM809" s="573">
        <f>SUM(Z809:AL812)</f>
        <v/>
      </c>
      <c r="AN809" s="693" t="n"/>
      <c r="AO809" s="485" t="n"/>
      <c r="AP809" s="416" t="n"/>
      <c r="AQ809" s="1238">
        <f>IFERROR(I809/J809*100,"0")</f>
        <v/>
      </c>
      <c r="AR809" s="1238">
        <f>IFERROR(1/(1-(AQ809/100)),"0")</f>
        <v/>
      </c>
      <c r="AS809" s="1238" t="n">
        <v>0</v>
      </c>
      <c r="AT809" s="345" t="n"/>
      <c r="AU809" s="1240" t="n"/>
      <c r="AV809" s="1240" t="n"/>
    </row>
    <row r="810" ht="19.5" customHeight="1">
      <c r="A810" s="973" t="n"/>
      <c r="B810" s="971" t="n"/>
      <c r="C810" s="972" t="n"/>
      <c r="D810" s="973"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73"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73"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75" t="n"/>
      <c r="E813" s="975" t="n"/>
      <c r="F813" s="998" t="n"/>
      <c r="G813" s="998" t="n"/>
      <c r="H813" s="975" t="n"/>
      <c r="I813" s="975" t="n"/>
      <c r="J813" s="975" t="n"/>
      <c r="K813" s="1189">
        <f>K809=L813</f>
        <v/>
      </c>
      <c r="L813" s="491">
        <f>SUM(L809:L812)</f>
        <v/>
      </c>
      <c r="M813" s="1190" t="n"/>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569" t="inlineStr">
        <is>
          <t>ÍTEM</t>
        </is>
      </c>
      <c r="B817" s="569" t="inlineStr">
        <is>
          <t>INSUMOS</t>
        </is>
      </c>
      <c r="C817" s="965" t="n"/>
      <c r="D817" s="552" t="inlineStr">
        <is>
          <t>SALDO MES ANTERIOR</t>
        </is>
      </c>
      <c r="E817" s="961" t="inlineStr">
        <is>
          <t xml:space="preserve">BIOLÓGICO RECIBIDO POR MSPS O ET </t>
        </is>
      </c>
      <c r="F817" s="545" t="inlineStr">
        <is>
          <t>DOSIS APLICADAS</t>
        </is>
      </c>
      <c r="G817" s="967" t="n"/>
      <c r="H817" s="1232" t="inlineStr">
        <is>
          <t>TOTAL DE DOSIS APLICADAS</t>
        </is>
      </c>
      <c r="I817" s="961" t="inlineStr">
        <is>
          <t>DOSIS PERDIDAS</t>
        </is>
      </c>
      <c r="J817" s="1231" t="inlineStr">
        <is>
          <t>TOTAL DE DOSIS UTILIZADAS EN EL MES</t>
        </is>
      </c>
      <c r="K817" s="961" t="inlineStr">
        <is>
          <t>DOSIS TRASLADADAS A OTROS DEPARTAMENTOS, DISTRITOS O RETORNO AL MSPS</t>
        </is>
      </c>
      <c r="L817" s="1253" t="inlineStr">
        <is>
          <t xml:space="preserve">TOTAL SALDO QUE INICIA EL MES </t>
        </is>
      </c>
      <c r="M817" s="1232" t="inlineStr">
        <is>
          <t xml:space="preserve">SALDO CON QUE EL CA DEPARTAMENTAL INICIA </t>
        </is>
      </c>
      <c r="N817" s="1231" t="inlineStr">
        <is>
          <t xml:space="preserve">SALDO CON QUE LOS MUNICIPIOS O IPS INICIAN </t>
        </is>
      </c>
      <c r="O817" s="1232" t="inlineStr">
        <is>
          <t>MESES DISPONIBLES SEGÚN DOSIS UTILIZADAS EN EL MES</t>
        </is>
      </c>
      <c r="P817" s="544" t="inlineStr">
        <is>
          <t>DOSIS EN CUARENTENA</t>
        </is>
      </c>
      <c r="Q817" s="544" t="inlineStr">
        <is>
          <t>LABORATORIO</t>
        </is>
      </c>
      <c r="R817" s="544" t="inlineStr">
        <is>
          <t>No. LOTE</t>
        </is>
      </c>
      <c r="S817" s="544" t="inlineStr">
        <is>
          <t>FECHA DE VENCIMEINTO</t>
        </is>
      </c>
      <c r="T817" s="544" t="inlineStr">
        <is>
          <t>CONDICIÓN FINAL DEL BIOLÓGICO O INSUMO</t>
        </is>
      </c>
      <c r="U817" s="561" t="n"/>
      <c r="V817" s="1254" t="n"/>
      <c r="X817" s="366" t="n"/>
      <c r="Y817" s="232" t="n"/>
      <c r="Z817" s="400" t="inlineStr">
        <is>
          <t>CAUSAS PERDIDA DE BIOLÓGICOS (Remítase a la primera hoja donde se especifica la clasificación de las perdidas)</t>
        </is>
      </c>
      <c r="AA817" s="400" t="n"/>
      <c r="AB817" s="400" t="n"/>
      <c r="AC817" s="400" t="n"/>
      <c r="AD817" s="400" t="n"/>
      <c r="AE817" s="400" t="n"/>
      <c r="AF817" s="400" t="n"/>
      <c r="AG817" s="400" t="n"/>
      <c r="AH817" s="400" t="n"/>
      <c r="AI817" s="400" t="n"/>
      <c r="AJ817" s="400" t="n"/>
      <c r="AK817" s="400" t="n"/>
      <c r="AL817" s="400" t="n"/>
      <c r="AM817" s="1181" t="inlineStr">
        <is>
          <t xml:space="preserve">TOTAL DOSIS PERDIDAS        </t>
        </is>
      </c>
      <c r="AN817" s="367" t="n"/>
      <c r="AO817" s="368" t="n"/>
    </row>
    <row r="818" ht="21.75" customHeight="1">
      <c r="A818" s="973" t="n"/>
      <c r="B818" s="971" t="n"/>
      <c r="C818" s="972" t="n"/>
      <c r="D818" s="973" t="n"/>
      <c r="E818" s="973" t="n"/>
      <c r="F818" s="552" t="inlineStr">
        <is>
          <t>DOSIS APLICADAS
COLOMBIANOS</t>
        </is>
      </c>
      <c r="G818" s="552" t="inlineStr">
        <is>
          <t>DOSIS APLICADAS EXTRANJEROS</t>
        </is>
      </c>
      <c r="H818" s="973" t="n"/>
      <c r="I818" s="973" t="n"/>
      <c r="J818" s="973" t="n"/>
      <c r="K818" s="973" t="n"/>
      <c r="L818" s="973" t="n"/>
      <c r="M818" s="973" t="n"/>
      <c r="N818" s="973" t="n"/>
      <c r="O818" s="973" t="n"/>
      <c r="P818" s="973" t="n"/>
      <c r="Q818" s="973" t="n"/>
      <c r="R818" s="973" t="n"/>
      <c r="S818" s="973" t="n"/>
      <c r="T818" s="973" t="n"/>
      <c r="X818" s="366" t="n"/>
      <c r="Y818" s="232" t="n"/>
      <c r="Z818" s="533" t="n">
        <v>1</v>
      </c>
      <c r="AA818" s="968" t="n"/>
      <c r="AB818" s="967" t="n"/>
      <c r="AC818" s="330" t="n">
        <v>2</v>
      </c>
      <c r="AD818" s="566" t="n">
        <v>3</v>
      </c>
      <c r="AE818" s="533" t="n">
        <v>4</v>
      </c>
      <c r="AF818" s="566" t="n">
        <v>5</v>
      </c>
      <c r="AG818" s="533" t="n">
        <v>6</v>
      </c>
      <c r="AH818" s="566" t="n">
        <v>7</v>
      </c>
      <c r="AI818" s="533" t="n">
        <v>8</v>
      </c>
      <c r="AJ818" s="533" t="n">
        <v>9</v>
      </c>
      <c r="AK818" s="533" t="n">
        <v>10</v>
      </c>
      <c r="AL818" s="566" t="n">
        <v>11</v>
      </c>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X819" s="366" t="n"/>
      <c r="Y819" s="232" t="n"/>
      <c r="Z819" s="533" t="inlineStr">
        <is>
          <t>POLÍTICA DE FRASCOS ABIERTO</t>
        </is>
      </c>
      <c r="AA819" s="968" t="n"/>
      <c r="AB819" s="967" t="n"/>
      <c r="AC819" s="330" t="inlineStr">
        <is>
          <t>INTERRUPCIÓN DE CADENA DE FRÍO</t>
        </is>
      </c>
      <c r="AD819" s="566" t="inlineStr">
        <is>
          <t>CONTAMINACION DEL BIOLÓGICO/DISPOSITIVO MÉDICO</t>
        </is>
      </c>
      <c r="AE819" s="533" t="inlineStr">
        <is>
          <t>VIAL ROTO</t>
        </is>
      </c>
      <c r="AF819" s="566" t="inlineStr">
        <is>
          <t>ERRORES EN LA MANIPULACIÓN</t>
        </is>
      </c>
      <c r="AG819" s="533" t="inlineStr">
        <is>
          <t>VENCIMIENTO DEL BIOLÓGICO O JERINGA</t>
        </is>
      </c>
      <c r="AH819" s="566" t="inlineStr">
        <is>
          <t>FARMACOVIGILANCIA / TECNOVIGILANCIA</t>
        </is>
      </c>
      <c r="AI819" s="533" t="inlineStr">
        <is>
          <t>VOMITO FRANCO</t>
        </is>
      </c>
      <c r="AJ819" s="533" t="inlineStr">
        <is>
          <t>APLICACIÓN FUERA DE LA EDAD</t>
        </is>
      </c>
      <c r="AK819" s="533" t="inlineStr">
        <is>
          <t>POR DECISIÓN FINAL DEL PACIENTE DE NO VACUNACIÓN</t>
        </is>
      </c>
      <c r="AL819" s="566" t="inlineStr">
        <is>
          <t>SINIESTRO O ROBO</t>
        </is>
      </c>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X820" s="366" t="n"/>
      <c r="Y820" s="232" t="n"/>
      <c r="Z820" s="533" t="inlineStr">
        <is>
          <t>INSTITUCIONAL</t>
        </is>
      </c>
      <c r="AA820" s="533" t="inlineStr">
        <is>
          <t>EXTRAMURAL</t>
        </is>
      </c>
      <c r="AB820" s="533" t="inlineStr">
        <is>
          <t>TOTAL</t>
        </is>
      </c>
      <c r="AC820" s="975" t="n"/>
      <c r="AD820" s="975" t="n"/>
      <c r="AE820" s="975" t="n"/>
      <c r="AF820" s="975" t="n"/>
      <c r="AG820" s="975" t="n"/>
      <c r="AH820" s="975" t="n"/>
      <c r="AI820" s="975" t="n"/>
      <c r="AJ820" s="975" t="n"/>
      <c r="AK820" s="975" t="n"/>
      <c r="AL820" s="975" t="n"/>
      <c r="AM820" s="975" t="n"/>
      <c r="AN820" s="333" t="n"/>
      <c r="AO820" s="368" t="n"/>
      <c r="AQ820" s="370" t="inlineStr">
        <is>
          <t>PORCENTAJE DE PERDIDA DEL MES
%</t>
        </is>
      </c>
      <c r="AR820" s="370" t="inlineStr">
        <is>
          <t>FACTOR DE PERDIDA DEL MES</t>
        </is>
      </c>
      <c r="AS820" s="371" t="inlineStr">
        <is>
          <t>% DE PERDIDA DEL MSPS</t>
        </is>
      </c>
      <c r="AT820" s="371" t="inlineStr">
        <is>
          <t>DOSIS POR VIAL</t>
        </is>
      </c>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v>65</v>
      </c>
      <c r="AT821" s="345" t="n">
        <v>10</v>
      </c>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v>0</v>
      </c>
      <c r="AT823" s="345" t="n">
        <v>0</v>
      </c>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v>15</v>
      </c>
      <c r="AT824" s="345" t="n">
        <v>5</v>
      </c>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v>0</v>
      </c>
      <c r="AT825" s="345" t="n">
        <v>0</v>
      </c>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v>0</v>
      </c>
      <c r="AT826" s="345" t="n">
        <v>0</v>
      </c>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v>0</v>
      </c>
      <c r="AT827" s="345" t="n">
        <v>0</v>
      </c>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v>0</v>
      </c>
      <c r="AT829" s="345" t="n">
        <v>1</v>
      </c>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v>0</v>
      </c>
      <c r="AT830" s="345" t="n">
        <v>1</v>
      </c>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v>0</v>
      </c>
      <c r="AT831" s="345" t="n">
        <v>1</v>
      </c>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v>0</v>
      </c>
      <c r="AT832" s="345" t="n">
        <v>1</v>
      </c>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v>0</v>
      </c>
      <c r="AT833" s="345" t="n">
        <v>1</v>
      </c>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v>0</v>
      </c>
      <c r="AT835" s="345" t="n">
        <v>1</v>
      </c>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v>0</v>
      </c>
      <c r="AT836" s="345" t="n">
        <v>1</v>
      </c>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v>0</v>
      </c>
      <c r="AT837" s="345" t="n">
        <v>1</v>
      </c>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v>25</v>
      </c>
      <c r="AT838" s="345" t="n">
        <v>5</v>
      </c>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v>0</v>
      </c>
      <c r="AT839" s="345" t="n">
        <v>1</v>
      </c>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v>70</v>
      </c>
      <c r="AT841" s="345" t="n">
        <v>10</v>
      </c>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v>0</v>
      </c>
      <c r="AT842" s="345" t="n">
        <v>1</v>
      </c>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v>0</v>
      </c>
      <c r="AT843" s="345" t="n">
        <v>1</v>
      </c>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v>0</v>
      </c>
      <c r="AT844" s="345" t="n">
        <v>1</v>
      </c>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v>10</v>
      </c>
      <c r="AT845" s="345" t="n">
        <v>10</v>
      </c>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v>10</v>
      </c>
      <c r="AT847" s="345" t="n">
        <v>20</v>
      </c>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v>10</v>
      </c>
      <c r="AT848" s="345" t="n">
        <v>10</v>
      </c>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v>0</v>
      </c>
      <c r="AT849" s="345" t="n">
        <v>1</v>
      </c>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v>0</v>
      </c>
      <c r="AT850" s="345" t="n">
        <v>1</v>
      </c>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v>0</v>
      </c>
      <c r="AT851" s="345" t="n">
        <v>1</v>
      </c>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v>0</v>
      </c>
      <c r="AT853" s="345" t="n">
        <v>1</v>
      </c>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v>0</v>
      </c>
      <c r="AT854" s="345" t="n">
        <v>1</v>
      </c>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v>0</v>
      </c>
      <c r="AT855" s="345" t="n">
        <v>1</v>
      </c>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v>0</v>
      </c>
      <c r="AT856" s="345" t="n">
        <v>1</v>
      </c>
    </row>
    <row r="857" ht="28.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7"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inlineStr">
        <is>
          <t>SALDO MES ANTERIOR</t>
        </is>
      </c>
      <c r="E889" s="961" t="inlineStr">
        <is>
          <t xml:space="preserve">BIOLÓGICO RECIBIDO POR MSPS O ET </t>
        </is>
      </c>
      <c r="F889" s="545" t="inlineStr">
        <is>
          <t>DOSIS APLICADAS</t>
        </is>
      </c>
      <c r="G889" s="967" t="n"/>
      <c r="H889" s="1232" t="inlineStr">
        <is>
          <t>TOTAL DE DOSIS APLICADAS</t>
        </is>
      </c>
      <c r="I889" s="961" t="inlineStr">
        <is>
          <t>DOSIS PERDIDAS</t>
        </is>
      </c>
      <c r="J889" s="1231" t="inlineStr">
        <is>
          <t>TOTAL DE DOSIS UTILIZADAS EN EL MES</t>
        </is>
      </c>
      <c r="K889" s="961" t="inlineStr">
        <is>
          <t>DOSIS TRASLADADAS A OTROS DEPARTAMENTOS, DISTRITOS O RETORNO AL MSPS</t>
        </is>
      </c>
      <c r="L889" s="1253" t="inlineStr">
        <is>
          <t xml:space="preserve">TOTAL SALDO QUE INICIA EL MES </t>
        </is>
      </c>
      <c r="M889" s="1232" t="inlineStr">
        <is>
          <t xml:space="preserve">SALDO CON QUE EL CA DEPARTAMENTAL INICIA </t>
        </is>
      </c>
      <c r="N889" s="1231" t="inlineStr">
        <is>
          <t xml:space="preserve">SALDO CON QUE LOS MUNICIPIOS O IPS INICIAN </t>
        </is>
      </c>
      <c r="O889" s="1232" t="inlineStr">
        <is>
          <t>MESES DISPONIBLES SEGÚN DOSIS UTILIZADAS EN EL MES</t>
        </is>
      </c>
      <c r="P889" s="544" t="inlineStr">
        <is>
          <t>DOSIS EN CUARENTENA</t>
        </is>
      </c>
      <c r="Q889" s="544" t="inlineStr">
        <is>
          <t>LABORATORIO</t>
        </is>
      </c>
      <c r="R889" s="544" t="inlineStr">
        <is>
          <t>No. LOTE</t>
        </is>
      </c>
      <c r="S889" s="544" t="inlineStr">
        <is>
          <t>FECHA DE VENCIMEINTO</t>
        </is>
      </c>
      <c r="T889" s="544" t="inlineStr">
        <is>
          <t>CONDICIÓN FINAL DEL BIOLÓGICO O INSUMO</t>
        </is>
      </c>
      <c r="U889" s="561" t="n"/>
      <c r="V889" s="1254" t="n"/>
      <c r="Y889" s="232" t="n"/>
      <c r="Z889" s="1221" t="inlineStr">
        <is>
          <t>MOTIVOS DE NO USO DE VACUNAS CONTRA LA COVID-19
RESOLUCIÓN 0118 DEL 27 DE ENERO DE 2026
DISPONIBLE EN EL SIGUIENTE LINK: https://www.minsalud.gov.co/Normatividad_Nuevo/Resolucion%20No%20118%20de%202026.pdf</t>
        </is>
      </c>
      <c r="AA889" s="968" t="n"/>
      <c r="AB889" s="968" t="n"/>
      <c r="AC889" s="968" t="n"/>
      <c r="AD889" s="968" t="n"/>
      <c r="AE889" s="968" t="n"/>
      <c r="AF889" s="968" t="n"/>
      <c r="AG889" s="968" t="n"/>
      <c r="AH889" s="968" t="n"/>
      <c r="AI889" s="968" t="n"/>
      <c r="AJ889" s="968" t="n"/>
      <c r="AK889" s="968" t="n"/>
      <c r="AL889" s="967" t="n"/>
      <c r="AM889" s="532" t="inlineStr">
        <is>
          <t xml:space="preserve">TOTAL DOSIS PERDIDAS        </t>
        </is>
      </c>
      <c r="AP889" s="416" t="n"/>
      <c r="AQ889" s="416" t="n"/>
      <c r="AR889" s="416" t="n"/>
      <c r="AS889" s="416" t="n"/>
      <c r="AT889" s="416" t="n"/>
      <c r="AU889" s="1240" t="n"/>
      <c r="AV889" s="1240" t="n"/>
    </row>
    <row r="890" ht="22.5" customHeight="1">
      <c r="A890" s="971" t="n"/>
      <c r="C890" s="972" t="n"/>
      <c r="D890" s="973" t="n"/>
      <c r="E890" s="973" t="n"/>
      <c r="F890" s="552" t="inlineStr">
        <is>
          <t>DOSIS APLICADAS
COLOMBIANOS</t>
        </is>
      </c>
      <c r="G890" s="552" t="inlineStr">
        <is>
          <t>DOSIS APLICADAS EXTRANJEROS</t>
        </is>
      </c>
      <c r="H890" s="973" t="n"/>
      <c r="I890" s="973" t="n"/>
      <c r="J890" s="973" t="n"/>
      <c r="K890" s="973" t="n"/>
      <c r="L890" s="973" t="n"/>
      <c r="M890" s="973" t="n"/>
      <c r="N890" s="973" t="n"/>
      <c r="O890" s="973" t="n"/>
      <c r="P890" s="973" t="n"/>
      <c r="Q890" s="973" t="n"/>
      <c r="R890" s="973" t="n"/>
      <c r="S890" s="973" t="n"/>
      <c r="T890" s="973" t="n"/>
      <c r="Y890" s="232" t="n"/>
      <c r="Z890" s="533" t="n">
        <v>1</v>
      </c>
      <c r="AA890" s="967" t="n"/>
      <c r="AB890" s="533" t="n">
        <v>2</v>
      </c>
      <c r="AC890" s="533" t="n">
        <v>3</v>
      </c>
      <c r="AD890" s="533" t="n">
        <v>4</v>
      </c>
      <c r="AE890" s="533" t="n">
        <v>5</v>
      </c>
      <c r="AF890" s="533" t="n">
        <v>6</v>
      </c>
      <c r="AG890" s="533" t="n">
        <v>7</v>
      </c>
      <c r="AH890" s="533" t="n">
        <v>8</v>
      </c>
      <c r="AI890" s="533" t="n">
        <v>9</v>
      </c>
      <c r="AJ890" s="533" t="n">
        <v>10</v>
      </c>
      <c r="AK890" s="533" t="n">
        <v>11</v>
      </c>
      <c r="AL890" s="533" t="n">
        <v>12</v>
      </c>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inlineStr">
        <is>
          <t>POLÍTICA DE FRASCOS ABIERTO</t>
        </is>
      </c>
      <c r="AA891" s="967" t="n"/>
      <c r="AB891" s="1222" t="inlineStr">
        <is>
          <t>INTERRUPCIÓN DE LA CADENA DE FRÍO</t>
        </is>
      </c>
      <c r="AC891" s="537" t="inlineStr">
        <is>
          <t>CONTAMINACIÓN DEL BIOLÓGICO</t>
        </is>
      </c>
      <c r="AD891" s="1222" t="inlineStr">
        <is>
          <t>ERROR EN LA MANIPULACIÓN</t>
        </is>
      </c>
      <c r="AE891" s="537" t="inlineStr">
        <is>
          <t>ERROR EN LA RECONSTITUCIÓN/DILUCIÓN</t>
        </is>
      </c>
      <c r="AF891" s="1222" t="inlineStr">
        <is>
          <t>ERROR EN LA DOSIFICACIÓN</t>
        </is>
      </c>
      <c r="AG891" s="537" t="inlineStr">
        <is>
          <t>VACUNA QUE EXCEDE EL TIEMPO DE ALMACENAMIENTO EN REFRIGERACIÓN</t>
        </is>
      </c>
      <c r="AH891" s="1222" t="inlineStr">
        <is>
          <t>VENCIMIENTO DEL BIOLÓGICO</t>
        </is>
      </c>
      <c r="AI891" s="537" t="inlineStr">
        <is>
          <t>FRASCO VIAL ROTO</t>
        </is>
      </c>
      <c r="AJ891" s="1222" t="inlineStr">
        <is>
          <t>FALLAS DE FABRICACIÓN/CALIDAD</t>
        </is>
      </c>
      <c r="AK891" s="537" t="inlineStr">
        <is>
          <t>SINIESTRO / ACCIDENTE</t>
        </is>
      </c>
      <c r="AL891" s="1222" t="inlineStr">
        <is>
          <t>ROBO/HURTO BIOLÓGICO</t>
        </is>
      </c>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inlineStr">
        <is>
          <t>INSTITUCIONAL</t>
        </is>
      </c>
      <c r="AA892" s="497" t="inlineStr">
        <is>
          <t>EXTRAMURAL</t>
        </is>
      </c>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inlineStr">
        <is>
          <t>Observación</t>
        </is>
      </c>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VhgZ3Yvz4BVBeYOxdEmp/g==" formatRows="1" sort="1" spinCount="100000" hashValue="MQHJfMSR5Bfrv8wDCh6RMnooOSvQh8tLsC1RZbH45nlisCkV+Vz35uSmTf7Dw3KonuC5AEEAFVWnj5IK3cWIOA=="/>
  <mergeCells count="3720">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AC25:AC29"/>
    <mergeCell ref="I133:I138"/>
    <mergeCell ref="B181:C186"/>
    <mergeCell ref="AI352:AI357"/>
    <mergeCell ref="D413:D416"/>
    <mergeCell ref="AL787:AL788"/>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AH11:AH12"/>
    <mergeCell ref="E31:E36"/>
    <mergeCell ref="I435:I440"/>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Z11:AB11"/>
    <mergeCell ref="AG211:AG215"/>
    <mergeCell ref="W742:W748"/>
    <mergeCell ref="AN163:AN167"/>
    <mergeCell ref="D236:D241"/>
    <mergeCell ref="J465:J470"/>
    <mergeCell ref="AV465:AV469"/>
    <mergeCell ref="B507:C512"/>
    <mergeCell ref="Z223:Z227"/>
    <mergeCell ref="D359:D365"/>
    <mergeCell ref="A525:A530"/>
    <mergeCell ref="B778:C778"/>
    <mergeCell ref="I609:I614"/>
    <mergeCell ref="AF230:AF234"/>
    <mergeCell ref="K115:K119"/>
    <mergeCell ref="AF537:AF541"/>
    <mergeCell ref="AC79:AC83"/>
    <mergeCell ref="U9:U12"/>
    <mergeCell ref="AC73:AC77"/>
    <mergeCell ref="J272:J277"/>
    <mergeCell ref="K543:K547"/>
    <mergeCell ref="F652:F657"/>
    <mergeCell ref="K579:K583"/>
    <mergeCell ref="B37:C42"/>
    <mergeCell ref="AA615:AA619"/>
    <mergeCell ref="AK664:AK668"/>
    <mergeCell ref="AH296:AH300"/>
    <mergeCell ref="AH303:AH308"/>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E61:AE65"/>
    <mergeCell ref="AJ441:AJ445"/>
    <mergeCell ref="AF714:AF719"/>
    <mergeCell ref="B121:C126"/>
    <mergeCell ref="E272:E277"/>
    <mergeCell ref="AH676:AH680"/>
    <mergeCell ref="AD543:AD547"/>
    <mergeCell ref="G459:G464"/>
    <mergeCell ref="E735:E741"/>
    <mergeCell ref="D634:D639"/>
    <mergeCell ref="AE519:AE523"/>
    <mergeCell ref="H441:H446"/>
    <mergeCell ref="J199:J204"/>
    <mergeCell ref="B579:C584"/>
    <mergeCell ref="AG11:AG12"/>
    <mergeCell ref="AE891:AE892"/>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I193:I198"/>
    <mergeCell ref="AG296:AG300"/>
    <mergeCell ref="AG303:AG308"/>
    <mergeCell ref="AD804:AD807"/>
    <mergeCell ref="AI489:AI493"/>
    <mergeCell ref="K513:K517"/>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H85:H90"/>
    <mergeCell ref="AC187:AC191"/>
    <mergeCell ref="I175:I180"/>
    <mergeCell ref="AM809:AM812"/>
    <mergeCell ref="AI405:AI408"/>
    <mergeCell ref="AR441:AR445"/>
    <mergeCell ref="AB555:AB559"/>
    <mergeCell ref="H303:H309"/>
    <mergeCell ref="AB549:AB553"/>
    <mergeCell ref="AM97:AM101"/>
    <mergeCell ref="AE721:AE726"/>
    <mergeCell ref="AD749:AD754"/>
    <mergeCell ref="AL423:AL427"/>
    <mergeCell ref="AE591:AE595"/>
    <mergeCell ref="AV447:AV451"/>
    <mergeCell ref="D103:D108"/>
    <mergeCell ref="H507:H512"/>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AA55:AA59"/>
    <mergeCell ref="AT525:AT529"/>
    <mergeCell ref="B782:C782"/>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J284:J289"/>
    <mergeCell ref="K585:K5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K103:AK107"/>
    <mergeCell ref="AA37:AA41"/>
    <mergeCell ref="AL139:AL143"/>
    <mergeCell ref="J749:J755"/>
    <mergeCell ref="AA73:AA77"/>
    <mergeCell ref="AH338:AH343"/>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AI25:AI29"/>
    <mergeCell ref="K211:K215"/>
    <mergeCell ref="B290:C295"/>
    <mergeCell ref="AI181:AI185"/>
    <mergeCell ref="B826:C826"/>
    <mergeCell ref="AW609:AW613"/>
    <mergeCell ref="I278:I283"/>
    <mergeCell ref="AQ441:AQ445"/>
    <mergeCell ref="F531:F536"/>
    <mergeCell ref="AF756:AF761"/>
    <mergeCell ref="B785:C788"/>
    <mergeCell ref="K763:K768"/>
    <mergeCell ref="A187:A192"/>
    <mergeCell ref="AN290:AN294"/>
    <mergeCell ref="AT477:AT481"/>
    <mergeCell ref="AD591:AD595"/>
    <mergeCell ref="AC794:AC797"/>
    <mergeCell ref="B828:C828"/>
    <mergeCell ref="B853:C853"/>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E352:AE357"/>
    <mergeCell ref="E169:E174"/>
    <mergeCell ref="K331:K336"/>
    <mergeCell ref="D501:D506"/>
    <mergeCell ref="I573:I578"/>
    <mergeCell ref="AM603:AM607"/>
    <mergeCell ref="AL664:AL668"/>
    <mergeCell ref="AB390:AB393"/>
    <mergeCell ref="AH787:AH78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Z139:Z143"/>
    <mergeCell ref="G345:G351"/>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565:C565"/>
    <mergeCell ref="Z799:Z802"/>
    <mergeCell ref="B894:C894"/>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AR447:AR451"/>
    <mergeCell ref="D507:D512"/>
    <mergeCell ref="H205:H210"/>
    <mergeCell ref="AK609:AK613"/>
    <mergeCell ref="A682:A687"/>
    <mergeCell ref="R889:R892"/>
    <mergeCell ref="F413:G413"/>
    <mergeCell ref="AA714:AA719"/>
    <mergeCell ref="K278:K282"/>
    <mergeCell ref="H634:H639"/>
    <mergeCell ref="I735:I741"/>
    <mergeCell ref="AF694:AF698"/>
    <mergeCell ref="H31:H36"/>
    <mergeCell ref="AL272:AL27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AN345:AN350"/>
    <mergeCell ref="Z381:AL381"/>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AC248:AC252"/>
    <mergeCell ref="AA175:AA179"/>
    <mergeCell ref="J447:J452"/>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T561:AT565"/>
    <mergeCell ref="AD700:AD704"/>
    <mergeCell ref="AD891:AD892"/>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A109:A114"/>
    <mergeCell ref="H382:H38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Z609:Z613"/>
    <mergeCell ref="B862:C862"/>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W429:AW433"/>
    <mergeCell ref="AL435:AL439"/>
    <mergeCell ref="AG543:AG547"/>
    <mergeCell ref="AG537:AG541"/>
    <mergeCell ref="AA646:AA650"/>
    <mergeCell ref="J459:J464"/>
    <mergeCell ref="A567:A572"/>
    <mergeCell ref="N817:N820"/>
    <mergeCell ref="A561:A566"/>
    <mergeCell ref="K157:K161"/>
    <mergeCell ref="I91:I96"/>
    <mergeCell ref="Z549:Z553"/>
    <mergeCell ref="AF728:AF733"/>
    <mergeCell ref="AK67:AK71"/>
    <mergeCell ref="AN395:AN398"/>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I417:I422"/>
    <mergeCell ref="B781:C781"/>
    <mergeCell ref="I531:I536"/>
    <mergeCell ref="D317:D323"/>
    <mergeCell ref="D187:D192"/>
    <mergeCell ref="AF794:AF797"/>
    <mergeCell ref="D912:G912"/>
    <mergeCell ref="F103:F108"/>
    <mergeCell ref="B571:C571"/>
    <mergeCell ref="AI199:AI203"/>
    <mergeCell ref="J230:J235"/>
    <mergeCell ref="AE395:AE398"/>
    <mergeCell ref="AH561:AH565"/>
    <mergeCell ref="K501:K505"/>
    <mergeCell ref="Z417:Z421"/>
    <mergeCell ref="B871:C871"/>
    <mergeCell ref="Z199:Z203"/>
    <mergeCell ref="J652:J657"/>
    <mergeCell ref="AL85:AL89"/>
    <mergeCell ref="J400:J404"/>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AK133:AK137"/>
    <mergeCell ref="V817:V820"/>
    <mergeCell ref="I799:I803"/>
    <mergeCell ref="B804:C808"/>
    <mergeCell ref="A199:A204"/>
    <mergeCell ref="AV429:AV433"/>
    <mergeCell ref="Z652:Z656"/>
    <mergeCell ref="Z646:Z650"/>
    <mergeCell ref="B145:C150"/>
    <mergeCell ref="AW555:AW559"/>
    <mergeCell ref="AF211:AF215"/>
    <mergeCell ref="AR423:AR427"/>
    <mergeCell ref="Z43:Z47"/>
    <mergeCell ref="A331:A337"/>
    <mergeCell ref="H91:H96"/>
    <mergeCell ref="G513:G518"/>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AK459:AK463"/>
    <mergeCell ref="I519:I524"/>
    <mergeCell ref="AD621:AD625"/>
    <mergeCell ref="B163:C168"/>
    <mergeCell ref="B794:C798"/>
    <mergeCell ref="K242:K246"/>
    <mergeCell ref="Z61:Z65"/>
    <mergeCell ref="K236:K240"/>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D615:D620"/>
    <mergeCell ref="B413:C416"/>
    <mergeCell ref="B395:C399"/>
    <mergeCell ref="Z889:AL889"/>
    <mergeCell ref="B779:C779"/>
    <mergeCell ref="AL181:AL185"/>
    <mergeCell ref="D272:D277"/>
    <mergeCell ref="B543:C548"/>
    <mergeCell ref="AM447:AM451"/>
    <mergeCell ref="Z818:AB818"/>
    <mergeCell ref="AA483:AA487"/>
    <mergeCell ref="AF609:AF613"/>
    <mergeCell ref="K799:K802"/>
    <mergeCell ref="AA694:AA698"/>
    <mergeCell ref="AJ133:AJ137"/>
    <mergeCell ref="AH646:AH650"/>
    <mergeCell ref="H567:H572"/>
    <mergeCell ref="U817:U820"/>
    <mergeCell ref="H561:H566"/>
    <mergeCell ref="B839:C839"/>
    <mergeCell ref="AM573:AM577"/>
    <mergeCell ref="AB471:AB475"/>
    <mergeCell ref="A573:A578"/>
    <mergeCell ref="AB507:AB511"/>
    <mergeCell ref="E429:E434"/>
    <mergeCell ref="J317:J323"/>
    <mergeCell ref="AL163:AL167"/>
    <mergeCell ref="Q381:Q384"/>
    <mergeCell ref="H465:H470"/>
    <mergeCell ref="E97:E102"/>
    <mergeCell ref="AI345:AI350"/>
    <mergeCell ref="B707:C713"/>
    <mergeCell ref="AT465:AT469"/>
    <mergeCell ref="AL199:AL203"/>
    <mergeCell ref="AK531:AK535"/>
    <mergeCell ref="B378:C378"/>
    <mergeCell ref="AD579:AD583"/>
    <mergeCell ref="AK525:AK529"/>
    <mergeCell ref="B115:C120"/>
    <mergeCell ref="AE809:AE812"/>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Z441:Z445"/>
    <mergeCell ref="H489:H494"/>
    <mergeCell ref="AH61:AH65"/>
    <mergeCell ref="AM284:AM288"/>
    <mergeCell ref="A284:A289"/>
    <mergeCell ref="AF331:AF336"/>
    <mergeCell ref="U413:U416"/>
    <mergeCell ref="AJ459:AJ463"/>
    <mergeCell ref="E151:E156"/>
    <mergeCell ref="H193:H198"/>
    <mergeCell ref="AF296:AF300"/>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AK157:AK161"/>
    <mergeCell ref="G385:G389"/>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C67:AC71"/>
    <mergeCell ref="AL278:AL282"/>
    <mergeCell ref="D682:D687"/>
    <mergeCell ref="AH441:AH445"/>
    <mergeCell ref="U889:U892"/>
    <mergeCell ref="AD317:AD322"/>
    <mergeCell ref="AC97:AC101"/>
    <mergeCell ref="AE290:AE294"/>
    <mergeCell ref="K567:K571"/>
    <mergeCell ref="K561:K565"/>
    <mergeCell ref="E459:E464"/>
    <mergeCell ref="AL115:AL119"/>
    <mergeCell ref="J181:J186"/>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E317:E323"/>
    <mergeCell ref="D97:D102"/>
    <mergeCell ref="G465:G470"/>
    <mergeCell ref="AB447:AB451"/>
    <mergeCell ref="AJ531:AJ535"/>
    <mergeCell ref="K714:K719"/>
    <mergeCell ref="K139:K143"/>
    <mergeCell ref="AF248:AF252"/>
    <mergeCell ref="AL477:AL481"/>
    <mergeCell ref="AM567:AM571"/>
    <mergeCell ref="AT435:AT439"/>
    <mergeCell ref="AC537:AC541"/>
    <mergeCell ref="AN331:AN336"/>
    <mergeCell ref="AW585:AW589"/>
    <mergeCell ref="H217:H222"/>
    <mergeCell ref="A707:A713"/>
    <mergeCell ref="J817:J820"/>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AK395:AK398"/>
    <mergeCell ref="B832:C832"/>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Z127:Z131"/>
    <mergeCell ref="AM763:AM768"/>
    <mergeCell ref="H175:H180"/>
    <mergeCell ref="B845:C845"/>
    <mergeCell ref="AJ447:AJ451"/>
    <mergeCell ref="AL205:AL209"/>
    <mergeCell ref="AE682:AE686"/>
    <mergeCell ref="AH405:AH408"/>
    <mergeCell ref="AC609:AC613"/>
    <mergeCell ref="AR531:AR535"/>
    <mergeCell ref="AR525:AR529"/>
    <mergeCell ref="F525:F530"/>
    <mergeCell ref="W423:W428"/>
    <mergeCell ref="AG19:AG23"/>
    <mergeCell ref="Z181:Z185"/>
    <mergeCell ref="AD272:AD276"/>
    <mergeCell ref="AK537:AK541"/>
    <mergeCell ref="AG133:AG137"/>
    <mergeCell ref="AA447:AA451"/>
    <mergeCell ref="R817:R820"/>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K591:K595"/>
    <mergeCell ref="AF891:AF892"/>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AJ97:AJ101"/>
    <mergeCell ref="I465:I470"/>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M477:AM481"/>
    <mergeCell ref="P9:P12"/>
    <mergeCell ref="A477:A482"/>
    <mergeCell ref="K670:K674"/>
    <mergeCell ref="D809:D813"/>
    <mergeCell ref="AM652:AM656"/>
    <mergeCell ref="AL67:AL71"/>
    <mergeCell ref="A79:A84"/>
    <mergeCell ref="E483:E488"/>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AH447:AH451"/>
    <mergeCell ref="B477:C482"/>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L97:AL101"/>
    <mergeCell ref="A317:A323"/>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W465:AW469"/>
    <mergeCell ref="AL345:AL350"/>
    <mergeCell ref="AG579:AG583"/>
    <mergeCell ref="AD405:AD408"/>
    <mergeCell ref="F91:F96"/>
    <mergeCell ref="AN254:AN258"/>
    <mergeCell ref="B375:C375"/>
    <mergeCell ref="AG423:AG427"/>
    <mergeCell ref="K483:K487"/>
    <mergeCell ref="A290:A295"/>
    <mergeCell ref="AI385:AI388"/>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AN157:AN161"/>
    <mergeCell ref="AA272:AA276"/>
    <mergeCell ref="J385:J389"/>
    <mergeCell ref="D555:D560"/>
    <mergeCell ref="AV417:AV421"/>
    <mergeCell ref="AA735:AA740"/>
    <mergeCell ref="AI688:AI692"/>
    <mergeCell ref="AB248:AB252"/>
    <mergeCell ref="Z31:Z35"/>
    <mergeCell ref="H79:H84"/>
    <mergeCell ref="K400:K403"/>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J109:J114"/>
    <mergeCell ref="AH290:AH29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D181:AD185"/>
    <mergeCell ref="AC366:AC371"/>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AB133:AB137"/>
    <mergeCell ref="M817:M820"/>
    <mergeCell ref="AL799:AL802"/>
    <mergeCell ref="J585:J590"/>
    <mergeCell ref="W646:W651"/>
    <mergeCell ref="J382:J384"/>
    <mergeCell ref="F31:F36"/>
    <mergeCell ref="AH310:AH315"/>
    <mergeCell ref="AB477:AB481"/>
    <mergeCell ref="AG236:AG240"/>
    <mergeCell ref="J789:J793"/>
    <mergeCell ref="AI423:AI427"/>
    <mergeCell ref="AD331:AD336"/>
    <mergeCell ref="AN400:AN403"/>
    <mergeCell ref="J193:J198"/>
    <mergeCell ref="S413:S416"/>
    <mergeCell ref="Z352:Z357"/>
    <mergeCell ref="I390:I394"/>
    <mergeCell ref="AI640:AI644"/>
    <mergeCell ref="B531:C536"/>
    <mergeCell ref="AG664:AG668"/>
    <mergeCell ref="AV483:AV487"/>
    <mergeCell ref="AG707:AG712"/>
    <mergeCell ref="T381:T384"/>
    <mergeCell ref="AD507:AD511"/>
    <mergeCell ref="AH205:AH209"/>
    <mergeCell ref="AM714:AM719"/>
    <mergeCell ref="A714:A720"/>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V435:AV439"/>
    <mergeCell ref="AJ477:AJ481"/>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M400:AM403"/>
    <mergeCell ref="A400:A404"/>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D13:D18"/>
    <mergeCell ref="AM115:AM119"/>
    <mergeCell ref="J175:J180"/>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K794:K797"/>
    <mergeCell ref="P413:P416"/>
    <mergeCell ref="T817:T820"/>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AB310:AB315"/>
    <mergeCell ref="J331:J337"/>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AN49:AN53"/>
    <mergeCell ref="I248:I253"/>
    <mergeCell ref="F809:F813"/>
    <mergeCell ref="B835:C835"/>
    <mergeCell ref="B829:C829"/>
    <mergeCell ref="E85:E90"/>
    <mergeCell ref="AA199:AA203"/>
    <mergeCell ref="AN260:AN264"/>
    <mergeCell ref="AK345:AK350"/>
    <mergeCell ref="AV615:AV619"/>
    <mergeCell ref="J615:J620"/>
    <mergeCell ref="F211:F216"/>
    <mergeCell ref="I676:I681"/>
    <mergeCell ref="AG513:AG517"/>
    <mergeCell ref="AH91:AH95"/>
    <mergeCell ref="AM749:AM754"/>
    <mergeCell ref="AK223:AK227"/>
    <mergeCell ref="AA395:AA398"/>
    <mergeCell ref="AS447:AS451"/>
    <mergeCell ref="A621:A626"/>
    <mergeCell ref="AH385:AH388"/>
    <mergeCell ref="F763:F769"/>
    <mergeCell ref="Z254:Z258"/>
    <mergeCell ref="S889:S892"/>
    <mergeCell ref="AA103:AA107"/>
    <mergeCell ref="Z248:Z252"/>
    <mergeCell ref="AB317:AB322"/>
    <mergeCell ref="AM742:AM747"/>
    <mergeCell ref="B830:C830"/>
    <mergeCell ref="D19:D24"/>
    <mergeCell ref="AB441:AB445"/>
    <mergeCell ref="E109:E114"/>
    <mergeCell ref="AC290:AC294"/>
    <mergeCell ref="J43:J48"/>
    <mergeCell ref="Z465:Z469"/>
    <mergeCell ref="AB223:AB227"/>
    <mergeCell ref="J489:J494"/>
    <mergeCell ref="E145:E150"/>
    <mergeCell ref="W413:W416"/>
    <mergeCell ref="K640:K644"/>
    <mergeCell ref="E139:E144"/>
    <mergeCell ref="O785:O788"/>
    <mergeCell ref="J700:J705"/>
    <mergeCell ref="AM615:AM619"/>
    <mergeCell ref="AJ157:AJ161"/>
    <mergeCell ref="AJ151:AJ155"/>
    <mergeCell ref="AM193:AM197"/>
    <mergeCell ref="AA217:AA221"/>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Z151:Z155"/>
    <mergeCell ref="K366:K371"/>
    <mergeCell ref="AA543:AA547"/>
    <mergeCell ref="AR435:AR439"/>
    <mergeCell ref="B193:C198"/>
    <mergeCell ref="AK236:AK240"/>
    <mergeCell ref="AF477:AF481"/>
    <mergeCell ref="A809:A813"/>
    <mergeCell ref="H817:H820"/>
    <mergeCell ref="AR555:AR559"/>
    <mergeCell ref="E585:E590"/>
    <mergeCell ref="AE67:AE71"/>
    <mergeCell ref="AB242:AB246"/>
    <mergeCell ref="AQ789:AQ792"/>
    <mergeCell ref="AJ597:AJ601"/>
    <mergeCell ref="E789:E793"/>
    <mergeCell ref="AD429:AD433"/>
    <mergeCell ref="I109:I114"/>
    <mergeCell ref="W573:W578"/>
    <mergeCell ref="G352:G358"/>
    <mergeCell ref="AI400:AI403"/>
    <mergeCell ref="E193:E198"/>
    <mergeCell ref="N413:N416"/>
    <mergeCell ref="B570:C570"/>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E400:E404"/>
    <mergeCell ref="D585:D590"/>
    <mergeCell ref="AD67:AD71"/>
    <mergeCell ref="AL640:AL644"/>
    <mergeCell ref="G818:G820"/>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M9:AM12"/>
    <mergeCell ref="AD97:AD101"/>
    <mergeCell ref="AI223:AI227"/>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AJ260:AJ264"/>
    <mergeCell ref="B390:C394"/>
    <mergeCell ref="E676:E681"/>
    <mergeCell ref="J804:J808"/>
    <mergeCell ref="AV471:AV475"/>
    <mergeCell ref="J471:J476"/>
    <mergeCell ref="AD91:AD95"/>
    <mergeCell ref="G13:G18"/>
    <mergeCell ref="AK37:AK41"/>
    <mergeCell ref="I324:I330"/>
    <mergeCell ref="AD385:AD388"/>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G151:G156"/>
    <mergeCell ref="AE230:AE234"/>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AN151:AN155"/>
    <mergeCell ref="E489:E494"/>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AM230:AM234"/>
    <mergeCell ref="E61:E66"/>
    <mergeCell ref="H429:H4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D109:D114"/>
    <mergeCell ref="S381:S38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B841:C841"/>
    <mergeCell ref="AK91:AK95"/>
    <mergeCell ref="H573:H578"/>
    <mergeCell ref="B373:C373"/>
    <mergeCell ref="K804:K807"/>
    <mergeCell ref="AM278:AM282"/>
    <mergeCell ref="A278:A283"/>
    <mergeCell ref="G49:G54"/>
    <mergeCell ref="AK385:AK388"/>
    <mergeCell ref="AC254:AC258"/>
    <mergeCell ref="AJ453:AJ457"/>
    <mergeCell ref="K471:K475"/>
    <mergeCell ref="AE317:AE322"/>
    <mergeCell ref="AL809:AL812"/>
    <mergeCell ref="AW603:AW607"/>
    <mergeCell ref="AC465:AC469"/>
    <mergeCell ref="G303:G309"/>
    <mergeCell ref="Z97:Z101"/>
    <mergeCell ref="AE223:AE227"/>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AD242:AD246"/>
    <mergeCell ref="AD217:AD221"/>
    <mergeCell ref="AL519:AL523"/>
    <mergeCell ref="AG585:AG589"/>
    <mergeCell ref="B846:C846"/>
    <mergeCell ref="AH682:AH686"/>
    <mergeCell ref="A609:A614"/>
    <mergeCell ref="AL891:AL892"/>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F223:F228"/>
    <mergeCell ref="K324:K329"/>
    <mergeCell ref="AE345:AE350"/>
    <mergeCell ref="AK567:AK571"/>
    <mergeCell ref="I591:I596"/>
    <mergeCell ref="Z19:Z23"/>
    <mergeCell ref="A640:A645"/>
    <mergeCell ref="AE670:AE674"/>
    <mergeCell ref="AT794:AT797"/>
    <mergeCell ref="AL405:AL408"/>
    <mergeCell ref="H794:H798"/>
    <mergeCell ref="B849:C849"/>
    <mergeCell ref="AB627:AB631"/>
    <mergeCell ref="G395:G399"/>
    <mergeCell ref="AJ799:AJ802"/>
    <mergeCell ref="AL230:AL234"/>
    <mergeCell ref="AM79:AM83"/>
    <mergeCell ref="AV561:AV565"/>
    <mergeCell ref="H585:H590"/>
    <mergeCell ref="G890:G892"/>
    <mergeCell ref="AI73:AI77"/>
    <mergeCell ref="AE242:AE246"/>
    <mergeCell ref="Z477:Z481"/>
    <mergeCell ref="AE236:AE240"/>
    <mergeCell ref="A633:C633"/>
    <mergeCell ref="H789:H793"/>
    <mergeCell ref="K217:K221"/>
    <mergeCell ref="B303:C309"/>
    <mergeCell ref="D25:D30"/>
    <mergeCell ref="AI187:AI191"/>
    <mergeCell ref="B296:C301"/>
    <mergeCell ref="AG429:AG433"/>
    <mergeCell ref="AB331:AB336"/>
    <mergeCell ref="AB85:AB89"/>
    <mergeCell ref="I284:I289"/>
    <mergeCell ref="J133:J138"/>
    <mergeCell ref="J352:J358"/>
    <mergeCell ref="AG770:AG775"/>
    <mergeCell ref="I785:I788"/>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AA133:AA137"/>
    <mergeCell ref="H413:H416"/>
    <mergeCell ref="B860:C860"/>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K175:AK179"/>
    <mergeCell ref="A248:A253"/>
    <mergeCell ref="AQ501:AQ505"/>
    <mergeCell ref="W489:W494"/>
    <mergeCell ref="AL157:AL161"/>
    <mergeCell ref="AC345:AC350"/>
    <mergeCell ref="AF260:AF264"/>
    <mergeCell ref="H700:H705"/>
    <mergeCell ref="F181:F186"/>
    <mergeCell ref="AA459:AA463"/>
    <mergeCell ref="H115:H120"/>
    <mergeCell ref="AC217:AC221"/>
    <mergeCell ref="B317:C323"/>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AS794:AS797"/>
    <mergeCell ref="Z205:Z209"/>
    <mergeCell ref="G794:G798"/>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AT459:AT463"/>
    <mergeCell ref="F519:F524"/>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AS809:AS812"/>
    <mergeCell ref="AJ465:AJ469"/>
    <mergeCell ref="AL223:AL227"/>
    <mergeCell ref="G809:G813"/>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AE266:AE270"/>
    <mergeCell ref="L785:L788"/>
    <mergeCell ref="AB345:AB350"/>
    <mergeCell ref="AE260:AE264"/>
    <mergeCell ref="AM770:AM775"/>
    <mergeCell ref="E181:E186"/>
    <mergeCell ref="B858:C85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G405:G409"/>
    <mergeCell ref="AK603:AK607"/>
    <mergeCell ref="B817:C820"/>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Z310:Z315"/>
    <mergeCell ref="H331:H337"/>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AK324:AK329"/>
    <mergeCell ref="AF11:AF12"/>
    <mergeCell ref="D513:D518"/>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AL13:AL17"/>
    <mergeCell ref="AM49:AM53"/>
    <mergeCell ref="H248:H253"/>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AK676:AK680"/>
    <mergeCell ref="W555:W560"/>
    <mergeCell ref="AK670:AK674"/>
    <mergeCell ref="B260:C265"/>
    <mergeCell ref="B827:C827"/>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M55:AM59"/>
    <mergeCell ref="AB205:AB20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AK13:AK17"/>
    <mergeCell ref="AL49:AL53"/>
    <mergeCell ref="G248:G253"/>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AG809:AG812"/>
    <mergeCell ref="AR603:AR607"/>
    <mergeCell ref="B895:C895"/>
    <mergeCell ref="AB721:AB726"/>
    <mergeCell ref="AM501:AM505"/>
    <mergeCell ref="G272:G277"/>
    <mergeCell ref="AL400:AL403"/>
    <mergeCell ref="B471:C476"/>
    <mergeCell ref="AK615:AK619"/>
    <mergeCell ref="AH157:AH161"/>
    <mergeCell ref="I459:I464"/>
    <mergeCell ref="D115:D120"/>
    <mergeCell ref="AG519:AG523"/>
    <mergeCell ref="A405:A409"/>
    <mergeCell ref="AC682:AC686"/>
    <mergeCell ref="AJ390:AJ393"/>
    <mergeCell ref="AI11:AI12"/>
    <mergeCell ref="J435:J440"/>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G109:G114"/>
    <mergeCell ref="F324:F330"/>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AH223:AH227"/>
    <mergeCell ref="J303:J309"/>
    <mergeCell ref="AC640:AC644"/>
    <mergeCell ref="I525:I530"/>
    <mergeCell ref="AG591:AG595"/>
    <mergeCell ref="J507:J512"/>
    <mergeCell ref="G489:G494"/>
    <mergeCell ref="B109:C114"/>
    <mergeCell ref="AG217:AG221"/>
    <mergeCell ref="D905:G905"/>
    <mergeCell ref="AD417:AD421"/>
    <mergeCell ref="AA49:AA53"/>
    <mergeCell ref="W567:W572"/>
    <mergeCell ref="AL501:AL505"/>
    <mergeCell ref="B564:C564"/>
    <mergeCell ref="AK400:AK403"/>
    <mergeCell ref="AI383:AI384"/>
    <mergeCell ref="AA266:AA270"/>
    <mergeCell ref="AA260:AA264"/>
    <mergeCell ref="H459:H464"/>
    <mergeCell ref="AN109:AN113"/>
    <mergeCell ref="A181:A186"/>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AG603:AG607"/>
    <mergeCell ref="W721:W727"/>
    <mergeCell ref="F817:G817"/>
    <mergeCell ref="AD145:AD149"/>
    <mergeCell ref="G67:G72"/>
    <mergeCell ref="J395:J399"/>
    <mergeCell ref="J429:J434"/>
    <mergeCell ref="G61:G66"/>
    <mergeCell ref="E756:E762"/>
    <mergeCell ref="AM799:AM802"/>
    <mergeCell ref="A799:A803"/>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K405:K408"/>
    <mergeCell ref="F597:F602"/>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B67:C72"/>
    <mergeCell ref="AG324:AG329"/>
    <mergeCell ref="J573:J578"/>
    <mergeCell ref="W640:W645"/>
    <mergeCell ref="E9:G9"/>
    <mergeCell ref="AJ55:AJ59"/>
    <mergeCell ref="I49:I54"/>
    <mergeCell ref="AM385:AM388"/>
    <mergeCell ref="AE254:AE258"/>
    <mergeCell ref="AN61:AN65"/>
    <mergeCell ref="AB97:AB101"/>
    <mergeCell ref="I303:I309"/>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AH199:AH203"/>
    <mergeCell ref="I181:I186"/>
    <mergeCell ref="H381:J381"/>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G352:AG357"/>
    <mergeCell ref="AL471:AL475"/>
    <mergeCell ref="AJ787:AJ788"/>
    <mergeCell ref="AL145:AL149"/>
    <mergeCell ref="A359:A365"/>
    <mergeCell ref="AE483:AE487"/>
    <mergeCell ref="AB115:AB119"/>
    <mergeCell ref="J163:J168"/>
    <mergeCell ref="J794:J798"/>
    <mergeCell ref="AK507:AK511"/>
    <mergeCell ref="AG676:AG680"/>
    <mergeCell ref="B537:C542"/>
    <mergeCell ref="AG670:AG674"/>
    <mergeCell ref="AN405:AN408"/>
    <mergeCell ref="AW441:AW445"/>
    <mergeCell ref="D735:D741"/>
    <mergeCell ref="F67:F72"/>
    <mergeCell ref="I395:I399"/>
    <mergeCell ref="AN230:AN234"/>
    <mergeCell ref="AD519:AD523"/>
    <mergeCell ref="G435:G440"/>
    <mergeCell ref="AA501:AA505"/>
    <mergeCell ref="AK79:AK83"/>
    <mergeCell ref="AK73:AK77"/>
    <mergeCell ref="AG242:AG246"/>
    <mergeCell ref="AQ573:AQ577"/>
    <mergeCell ref="K459:K463"/>
    <mergeCell ref="A266:A271"/>
    <mergeCell ref="F25:F30"/>
    <mergeCell ref="AI429:AI433"/>
    <mergeCell ref="A260:A265"/>
    <mergeCell ref="D603:D608"/>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Z121:Z125"/>
    <mergeCell ref="J242:J247"/>
    <mergeCell ref="B374:C374"/>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AA242:AA246"/>
    <mergeCell ref="H471:H476"/>
    <mergeCell ref="B609:C614"/>
    <mergeCell ref="B847:C847"/>
    <mergeCell ref="E13:E18"/>
    <mergeCell ref="AB385:AB388"/>
    <mergeCell ref="AF352:AF357"/>
    <mergeCell ref="AI787:AI788"/>
    <mergeCell ref="AC809:AC812"/>
    <mergeCell ref="A664:A669"/>
    <mergeCell ref="AK145:AK149"/>
    <mergeCell ref="I728:I734"/>
    <mergeCell ref="K531:K535"/>
    <mergeCell ref="AA115:AA119"/>
    <mergeCell ref="AI501:AI505"/>
    <mergeCell ref="Z447:Z451"/>
    <mergeCell ref="K525:K529"/>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AC405:AC408"/>
    <mergeCell ref="AN199:AN203"/>
    <mergeCell ref="J728:J734"/>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A187:AA191"/>
    <mergeCell ref="AD555:AD559"/>
    <mergeCell ref="AN248:AN252"/>
    <mergeCell ref="AN352:AN357"/>
    <mergeCell ref="AD400:AD403"/>
    <mergeCell ref="AJ579:AJ583"/>
    <mergeCell ref="AK770:AK775"/>
    <mergeCell ref="AV603:AV607"/>
    <mergeCell ref="AS804:AS807"/>
    <mergeCell ref="AB465:AB469"/>
    <mergeCell ref="AD223:AD227"/>
    <mergeCell ref="F303:F309"/>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AG400:AG403"/>
    <mergeCell ref="L413:L416"/>
    <mergeCell ref="AF615:AF619"/>
    <mergeCell ref="AC157:AC161"/>
    <mergeCell ref="AV627:AV631"/>
    <mergeCell ref="J627:J632"/>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AD278:AD282"/>
    <mergeCell ref="B844:C844"/>
    <mergeCell ref="Z145:Z149"/>
    <mergeCell ref="AM756:AM761"/>
    <mergeCell ref="B838:C838"/>
    <mergeCell ref="AK230:AK234"/>
    <mergeCell ref="F429:F434"/>
    <mergeCell ref="D338:D344"/>
    <mergeCell ref="I290:I295"/>
    <mergeCell ref="AJ163:AJ167"/>
    <mergeCell ref="AK441:AK445"/>
    <mergeCell ref="AH73:AH77"/>
    <mergeCell ref="Q413:Q416"/>
    <mergeCell ref="F890:F892"/>
    <mergeCell ref="AC175:AC179"/>
    <mergeCell ref="D157:D162"/>
    <mergeCell ref="AH400:AH403"/>
    <mergeCell ref="A603:A608"/>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G115:G120"/>
    <mergeCell ref="AB217:AB221"/>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C352:AC357"/>
    <mergeCell ref="AH471:AH475"/>
    <mergeCell ref="AA193:AA197"/>
    <mergeCell ref="AF787:AF788"/>
    <mergeCell ref="AJ664:AJ668"/>
    <mergeCell ref="I756:I762"/>
    <mergeCell ref="K597:K601"/>
    <mergeCell ref="H236:H241"/>
    <mergeCell ref="F163:F168"/>
    <mergeCell ref="AI567:AI571"/>
    <mergeCell ref="F794:F798"/>
    <mergeCell ref="AR794:AR797"/>
    <mergeCell ref="AJ405:AJ408"/>
    <mergeCell ref="AS441:AS445"/>
    <mergeCell ref="AQ525:AQ529"/>
    <mergeCell ref="E525:E530"/>
    <mergeCell ref="AM248:AM252"/>
    <mergeCell ref="AL735:AL740"/>
    <mergeCell ref="E395:E399"/>
    <mergeCell ref="AJ230:AJ234"/>
    <mergeCell ref="AT567:AT571"/>
    <mergeCell ref="B874:C874"/>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B700:C705"/>
    <mergeCell ref="AL296:AL300"/>
    <mergeCell ref="D127:D132"/>
    <mergeCell ref="AL303:AL308"/>
    <mergeCell ref="G495:G500"/>
    <mergeCell ref="AN359:AN364"/>
    <mergeCell ref="I688:I693"/>
    <mergeCell ref="Z786:AA786"/>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7:F713"/>
    <mergeCell ref="F700:F705"/>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B352:AB357"/>
    <mergeCell ref="F573:F578"/>
    <mergeCell ref="AE787:AE78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K303:AK308"/>
    <mergeCell ref="AM338:AM343"/>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I169:I174"/>
    <mergeCell ref="AH284:AH288"/>
    <mergeCell ref="AI133:AI137"/>
    <mergeCell ref="Z414:AB414"/>
    <mergeCell ref="H9:J9"/>
    <mergeCell ref="W597:W602"/>
    <mergeCell ref="AD819:AD820"/>
    <mergeCell ref="AN25:AN29"/>
    <mergeCell ref="B338:C344"/>
    <mergeCell ref="AA296:AA300"/>
    <mergeCell ref="AA303:AA308"/>
    <mergeCell ref="D579:D584"/>
    <mergeCell ref="AQ809:AQ812"/>
    <mergeCell ref="AM405:AM408"/>
    <mergeCell ref="AV441:AV445"/>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AC266:AC270"/>
    <mergeCell ref="AB417:AB421"/>
    <mergeCell ref="H714:H720"/>
    <mergeCell ref="J785:J788"/>
    <mergeCell ref="G382:G384"/>
    <mergeCell ref="AJ352:AJ357"/>
    <mergeCell ref="Z400:Z403"/>
    <mergeCell ref="E413:E416"/>
    <mergeCell ref="AJ127:AJ131"/>
    <mergeCell ref="AG390:AG393"/>
    <mergeCell ref="I495:I500"/>
    <mergeCell ref="E664:E669"/>
    <mergeCell ref="D597:D602"/>
    <mergeCell ref="AH483:AH487"/>
    <mergeCell ref="AL415:AL416"/>
    <mergeCell ref="AD359:AD364"/>
    <mergeCell ref="AI609:AI613"/>
    <mergeCell ref="B79:C84"/>
    <mergeCell ref="I67:I72"/>
    <mergeCell ref="G804:G808"/>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391" operator="containsText" dxfId="325" text="VERDE">
      <formula>NOT(ISERROR(SEARCH("VERDE",D229)))</formula>
    </cfRule>
    <cfRule type="containsText" priority="392" operator="containsText" dxfId="324" text="AMARILLO">
      <formula>NOT(ISERROR(SEARCH("AMARILLO",D229)))</formula>
    </cfRule>
    <cfRule type="containsText" priority="393" operator="containsText" dxfId="323" text="ROJO">
      <formula>NOT(ISERROR(SEARCH("ROJO",D229)))</formula>
    </cfRule>
  </conditionalFormatting>
  <conditionalFormatting sqref="D821:D856">
    <cfRule type="cellIs" priority="389" operator="lessThan" dxfId="0" stopIfTrue="1">
      <formula>0</formula>
    </cfRule>
  </conditionalFormatting>
  <conditionalFormatting sqref="D858:D869">
    <cfRule type="cellIs" priority="388" operator="lessThan" dxfId="0" stopIfTrue="1">
      <formula>0</formula>
    </cfRule>
  </conditionalFormatting>
  <conditionalFormatting sqref="D871:D888">
    <cfRule type="cellIs" priority="387" operator="lessThan" dxfId="0" stopIfTrue="1">
      <formula>0</formula>
    </cfRule>
  </conditionalFormatting>
  <conditionalFormatting sqref="D893:D894">
    <cfRule type="cellIs" priority="390" operator="lessThan" dxfId="0" stopIfTrue="1">
      <formula>0</formula>
    </cfRule>
  </conditionalFormatting>
  <conditionalFormatting sqref="D566">
    <cfRule type="cellIs" priority="386" operator="lessThan" dxfId="384" stopIfTrue="1">
      <formula>0</formula>
    </cfRule>
  </conditionalFormatting>
  <conditionalFormatting sqref="D572">
    <cfRule type="cellIs" priority="385" operator="lessThan" dxfId="384" stopIfTrue="1">
      <formula>0</formula>
    </cfRule>
  </conditionalFormatting>
  <conditionalFormatting sqref="D895:D897">
    <cfRule type="cellIs" priority="384" operator="lessThan" dxfId="0" stopIfTrue="1">
      <formula>0</formula>
    </cfRule>
  </conditionalFormatting>
  <conditionalFormatting sqref="E229 P410">
    <cfRule type="containsText" priority="376" operator="containsText" dxfId="325" text="VERDE">
      <formula>NOT(ISERROR(SEARCH("VERDE",E229)))</formula>
    </cfRule>
    <cfRule type="containsText" priority="377" operator="containsText" dxfId="324" text="AMARILLO">
      <formula>NOT(ISERROR(SEARCH("AMARILLO",E229)))</formula>
    </cfRule>
    <cfRule type="containsText" priority="378" operator="containsText" dxfId="323" text="ROJO">
      <formula>NOT(ISERROR(SEARCH("ROJO",E229)))</formula>
    </cfRule>
  </conditionalFormatting>
  <conditionalFormatting sqref="E821:I856">
    <cfRule type="cellIs" priority="253" operator="lessThan" dxfId="0" stopIfTrue="1">
      <formula>0</formula>
    </cfRule>
  </conditionalFormatting>
  <conditionalFormatting sqref="E858:I869">
    <cfRule type="cellIs" priority="252" operator="lessThan" dxfId="0" stopIfTrue="1">
      <formula>0</formula>
    </cfRule>
  </conditionalFormatting>
  <conditionalFormatting sqref="E871:I888">
    <cfRule type="cellIs" priority="251" operator="lessThan" dxfId="0" stopIfTrue="1">
      <formula>0</formula>
    </cfRule>
  </conditionalFormatting>
  <conditionalFormatting sqref="E893:I893 E894:G894 H894:I897">
    <cfRule type="cellIs" priority="369" operator="lessThan" dxfId="0" stopIfTrue="1">
      <formula>0</formula>
    </cfRule>
  </conditionalFormatting>
  <conditionalFormatting sqref="K13:K17">
    <cfRule type="cellIs" priority="379" operator="lessThan" dxfId="0" stopIfTrue="1">
      <formula>0</formula>
    </cfRule>
  </conditionalFormatting>
  <conditionalFormatting sqref="K303:K308 K777:K783">
    <cfRule type="cellIs" priority="365" operator="lessThan" dxfId="0" stopIfTrue="1">
      <formula>0</formula>
    </cfRule>
  </conditionalFormatting>
  <conditionalFormatting sqref="K309">
    <cfRule type="containsText" priority="375" operator="containsText" dxfId="8" text="Falso">
      <formula>NOT(ISERROR(SEARCH("Falso",K309)))</formula>
    </cfRule>
  </conditionalFormatting>
  <conditionalFormatting sqref="K373:K380">
    <cfRule type="cellIs" priority="372" operator="lessThan" dxfId="0" stopIfTrue="1">
      <formula>0</formula>
    </cfRule>
  </conditionalFormatting>
  <conditionalFormatting sqref="K385:K388">
    <cfRule type="cellIs" priority="380" operator="lessThan" dxfId="0" stopIfTrue="1">
      <formula>0</formula>
    </cfRule>
  </conditionalFormatting>
  <conditionalFormatting sqref="K389">
    <cfRule type="containsText" priority="381" operator="containsText" dxfId="8" text="Falso">
      <formula>NOT(ISERROR(SEARCH("Falso",K389)))</formula>
    </cfRule>
  </conditionalFormatting>
  <conditionalFormatting sqref="K394">
    <cfRule type="containsText" priority="371" operator="containsText" dxfId="8" text="Falso">
      <formula>NOT(ISERROR(SEARCH("Falso",K394)))</formula>
    </cfRule>
  </conditionalFormatting>
  <conditionalFormatting sqref="K399 K404 K409">
    <cfRule type="containsText" priority="370" operator="containsText" dxfId="8" text="Falso">
      <formula>NOT(ISERROR(SEARCH("Falso",K399)))</formula>
    </cfRule>
  </conditionalFormatting>
  <conditionalFormatting sqref="K714:K719 K721:K726">
    <cfRule type="cellIs" priority="273" operator="lessThan" dxfId="0" stopIfTrue="1">
      <formula>0</formula>
    </cfRule>
  </conditionalFormatting>
  <conditionalFormatting sqref="K634:K638">
    <cfRule type="cellIs" priority="279" operator="lessThan" dxfId="0" stopIfTrue="1">
      <formula>0</formula>
    </cfRule>
  </conditionalFormatting>
  <conditionalFormatting sqref="K749:K754 K756:K761">
    <cfRule type="cellIs" priority="271" operator="lessThan" dxfId="0" stopIfTrue="1">
      <formula>0</formula>
    </cfRule>
  </conditionalFormatting>
  <conditionalFormatting sqref="K763:K768">
    <cfRule type="cellIs" priority="270" operator="lessThan" dxfId="0" stopIfTrue="1">
      <formula>0</formula>
    </cfRule>
  </conditionalFormatting>
  <conditionalFormatting sqref="K770:K775">
    <cfRule type="cellIs" priority="269" operator="lessThan" dxfId="0" stopIfTrue="1">
      <formula>0</formula>
    </cfRule>
  </conditionalFormatting>
  <conditionalFormatting sqref="K707:K712">
    <cfRule type="cellIs" priority="278" operator="lessThan" dxfId="0" stopIfTrue="1">
      <formula>0</formula>
    </cfRule>
  </conditionalFormatting>
  <conditionalFormatting sqref="K728:K733 K735:K740 K742:K747">
    <cfRule type="cellIs" priority="272" operator="lessThan" dxfId="0" stopIfTrue="1">
      <formula>0</formula>
    </cfRule>
  </conditionalFormatting>
  <conditionalFormatting sqref="K821:K856 M821:O856">
    <cfRule type="cellIs" priority="250" operator="lessThan" dxfId="0" stopIfTrue="1">
      <formula>0</formula>
    </cfRule>
  </conditionalFormatting>
  <conditionalFormatting sqref="K858:K869 M858:N869">
    <cfRule type="cellIs" priority="249" operator="lessThan" dxfId="0" stopIfTrue="1">
      <formula>0</formula>
    </cfRule>
  </conditionalFormatting>
  <conditionalFormatting sqref="K871:K888 M871:N887 M888:O888">
    <cfRule type="cellIs" priority="248" operator="lessThan" dxfId="0" stopIfTrue="1">
      <formula>0</formula>
    </cfRule>
  </conditionalFormatting>
  <conditionalFormatting sqref="K893:K894 M893:N894">
    <cfRule type="cellIs" priority="247" operator="lessThan" dxfId="0" stopIfTrue="1">
      <formula>0</formula>
    </cfRule>
  </conditionalFormatting>
  <conditionalFormatting sqref="P13:P17 P303:P308">
    <cfRule type="containsText" priority="361" operator="containsText" dxfId="131" text="VENCIDO">
      <formula>NOT(ISERROR(SEARCH("VENCIDO",P13)))</formula>
    </cfRule>
    <cfRule type="containsText" priority="362" operator="containsText" dxfId="130" text="VERDE">
      <formula>NOT(ISERROR(SEARCH("VERDE",P13)))</formula>
    </cfRule>
    <cfRule type="containsText" priority="363" operator="containsText" dxfId="129" stopIfTrue="1" text="AMARILLO">
      <formula>NOT(ISERROR(SEARCH("AMARILLO",P13)))</formula>
    </cfRule>
    <cfRule type="containsText" priority="364" operator="containsText" dxfId="128" text="ROJO">
      <formula>NOT(ISERROR(SEARCH("ROJO",P13)))</formula>
    </cfRule>
  </conditionalFormatting>
  <conditionalFormatting sqref="P373:P379">
    <cfRule type="containsText" priority="357" operator="containsText" dxfId="131" text="VENCIDO">
      <formula>NOT(ISERROR(SEARCH("VENCIDO",P373)))</formula>
    </cfRule>
    <cfRule type="containsText" priority="358" operator="containsText" dxfId="130" text="VERDE">
      <formula>NOT(ISERROR(SEARCH("VERDE",P373)))</formula>
    </cfRule>
    <cfRule type="containsText" priority="359" operator="containsText" dxfId="129" stopIfTrue="1" text="AMARILLO">
      <formula>NOT(ISERROR(SEARCH("AMARILLO",P373)))</formula>
    </cfRule>
    <cfRule type="containsText" priority="360" operator="containsText" dxfId="128" text="ROJO">
      <formula>NOT(ISERROR(SEARCH("ROJO",P373)))</formula>
    </cfRule>
  </conditionalFormatting>
  <conditionalFormatting sqref="P385:P388">
    <cfRule type="containsText" priority="353" operator="containsText" dxfId="131" text="VENCIDO">
      <formula>NOT(ISERROR(SEARCH("VENCIDO",P385)))</formula>
    </cfRule>
    <cfRule type="containsText" priority="354" operator="containsText" dxfId="130" text="VERDE">
      <formula>NOT(ISERROR(SEARCH("VERDE",P385)))</formula>
    </cfRule>
    <cfRule type="containsText" priority="355" operator="containsText" dxfId="129" stopIfTrue="1" text="AMARILLO">
      <formula>NOT(ISERROR(SEARCH("AMARILLO",P385)))</formula>
    </cfRule>
    <cfRule type="containsText" priority="356" operator="containsText" dxfId="128" text="ROJO">
      <formula>NOT(ISERROR(SEARCH("ROJO",P385)))</formula>
    </cfRule>
  </conditionalFormatting>
  <conditionalFormatting sqref="P417:P421">
    <cfRule type="containsText" priority="346" operator="containsText" dxfId="131" text="VENCIDO">
      <formula>NOT(ISERROR(SEARCH("VENCIDO",P417)))</formula>
    </cfRule>
    <cfRule type="containsText" priority="347" operator="containsText" dxfId="130" text="VERDE">
      <formula>NOT(ISERROR(SEARCH("VERDE",P417)))</formula>
    </cfRule>
    <cfRule type="containsText" priority="348" operator="containsText" dxfId="129" stopIfTrue="1" text="AMARILLO">
      <formula>NOT(ISERROR(SEARCH("AMARILLO",P417)))</formula>
    </cfRule>
    <cfRule type="containsText" priority="349" operator="containsText" dxfId="128" text="ROJO">
      <formula>NOT(ISERROR(SEARCH("ROJO",P417)))</formula>
    </cfRule>
  </conditionalFormatting>
  <conditionalFormatting sqref="P561:P565">
    <cfRule type="containsText" priority="342" operator="containsText" dxfId="131" text="VENCIDO">
      <formula>NOT(ISERROR(SEARCH("VENCIDO",P561)))</formula>
    </cfRule>
    <cfRule type="containsText" priority="343" operator="containsText" dxfId="130" text="VERDE">
      <formula>NOT(ISERROR(SEARCH("VERDE",P561)))</formula>
    </cfRule>
    <cfRule type="containsText" priority="344" operator="containsText" dxfId="129" stopIfTrue="1" text="AMARILLO">
      <formula>NOT(ISERROR(SEARCH("AMARILLO",P561)))</formula>
    </cfRule>
    <cfRule type="containsText" priority="345" operator="containsText" dxfId="128" text="ROJO">
      <formula>NOT(ISERROR(SEARCH("ROJO",P561)))</formula>
    </cfRule>
  </conditionalFormatting>
  <conditionalFormatting sqref="P707:P712">
    <cfRule type="containsText" priority="274" operator="containsText" dxfId="131" text="VENCIDO">
      <formula>NOT(ISERROR(SEARCH("VENCIDO",P707)))</formula>
    </cfRule>
    <cfRule type="containsText" priority="275" operator="containsText" dxfId="130" text="VERDE">
      <formula>NOT(ISERROR(SEARCH("VERDE",P707)))</formula>
    </cfRule>
    <cfRule type="containsText" priority="276" operator="containsText" dxfId="129" stopIfTrue="1" text="AMARILLO">
      <formula>NOT(ISERROR(SEARCH("AMARILLO",P707)))</formula>
    </cfRule>
    <cfRule type="containsText" priority="277" operator="containsText" dxfId="128" text="ROJO">
      <formula>NOT(ISERROR(SEARCH("ROJO",P707)))</formula>
    </cfRule>
  </conditionalFormatting>
  <conditionalFormatting sqref="P777:P783">
    <cfRule type="containsText" priority="265" operator="containsText" dxfId="131" text="VENCIDO">
      <formula>NOT(ISERROR(SEARCH("VENCIDO",P777)))</formula>
    </cfRule>
    <cfRule type="containsText" priority="266" operator="containsText" dxfId="130" text="VERDE">
      <formula>NOT(ISERROR(SEARCH("VERDE",P777)))</formula>
    </cfRule>
    <cfRule type="containsText" priority="267" operator="containsText" dxfId="129" stopIfTrue="1" text="AMARILLO">
      <formula>NOT(ISERROR(SEARCH("AMARILLO",P777)))</formula>
    </cfRule>
    <cfRule type="containsText" priority="268" operator="containsText" dxfId="128" text="ROJO">
      <formula>NOT(ISERROR(SEARCH("ROJO",P777)))</formula>
    </cfRule>
  </conditionalFormatting>
  <conditionalFormatting sqref="Q833:Q848">
    <cfRule type="containsText" priority="259" operator="containsText" dxfId="325" text="VERDE">
      <formula>NOT(ISERROR(SEARCH("VERDE",Q833)))</formula>
    </cfRule>
    <cfRule type="containsText" priority="260" operator="containsText" dxfId="324" text="AMARILLO">
      <formula>NOT(ISERROR(SEARCH("AMARILLO",Q833)))</formula>
    </cfRule>
    <cfRule type="containsText" priority="261" operator="containsText" dxfId="323" text="ROJO">
      <formula>NOT(ISERROR(SEARCH("ROJO",Q833)))</formula>
    </cfRule>
  </conditionalFormatting>
  <conditionalFormatting sqref="Q821:R832">
    <cfRule type="containsText" priority="350" operator="containsText" dxfId="325" text="VERDE">
      <formula>NOT(ISERROR(SEARCH("VERDE",Q821)))</formula>
    </cfRule>
    <cfRule type="containsText" priority="351" operator="containsText" dxfId="324" text="AMARILLO">
      <formula>NOT(ISERROR(SEARCH("AMARILLO",Q821)))</formula>
    </cfRule>
    <cfRule type="containsText" priority="352" operator="containsText" dxfId="323" text="ROJO">
      <formula>NOT(ISERROR(SEARCH("ROJO",Q821)))</formula>
    </cfRule>
  </conditionalFormatting>
  <conditionalFormatting sqref="AO821:AO827 AO838:AO860 AO868:AO871 AO873 AO875:AO887">
    <cfRule type="expression" priority="366" dxfId="314">
      <formula>$AO821&lt;&gt;#REF!</formula>
    </cfRule>
  </conditionalFormatting>
  <conditionalFormatting sqref="AO828:AO835">
    <cfRule type="expression" priority="382" dxfId="314">
      <formula>$AO828&lt;&gt;#REF!</formula>
    </cfRule>
  </conditionalFormatting>
  <conditionalFormatting sqref="AO836:AO837">
    <cfRule type="expression" priority="264" dxfId="314">
      <formula>$AO836&lt;&gt;#REF!</formula>
    </cfRule>
  </conditionalFormatting>
  <conditionalFormatting sqref="AO861">
    <cfRule type="expression" priority="258" dxfId="314">
      <formula>$AO861&lt;&gt;#REF!</formula>
    </cfRule>
  </conditionalFormatting>
  <conditionalFormatting sqref="AO862:AO866">
    <cfRule type="expression" priority="257" dxfId="314">
      <formula>$AO862&lt;&gt;#REF!</formula>
    </cfRule>
  </conditionalFormatting>
  <conditionalFormatting sqref="AO867">
    <cfRule type="expression" priority="256" dxfId="314">
      <formula>$AO867&lt;&gt;#REF!</formula>
    </cfRule>
  </conditionalFormatting>
  <conditionalFormatting sqref="AO872">
    <cfRule type="expression" priority="255" dxfId="314">
      <formula>$AO872&lt;&gt;#REF!</formula>
    </cfRule>
  </conditionalFormatting>
  <conditionalFormatting sqref="AO874">
    <cfRule type="expression" priority="254" dxfId="314">
      <formula>$AO874&lt;&gt;#REF!</formula>
    </cfRule>
  </conditionalFormatting>
  <conditionalFormatting sqref="AO888">
    <cfRule type="expression" priority="383" dxfId="314">
      <formula>$AO888&lt;&gt;$L888</formula>
    </cfRule>
  </conditionalFormatting>
  <conditionalFormatting sqref="AS417">
    <cfRule type="cellIs" priority="368" operator="greaterThan" dxfId="8">
      <formula>1</formula>
    </cfRule>
  </conditionalFormatting>
  <conditionalFormatting sqref="AS423">
    <cfRule type="cellIs" priority="341" operator="greaterThan" dxfId="8">
      <formula>1</formula>
    </cfRule>
  </conditionalFormatting>
  <conditionalFormatting sqref="AS429">
    <cfRule type="cellIs" priority="339" operator="greaterThan" dxfId="8">
      <formula>1</formula>
    </cfRule>
  </conditionalFormatting>
  <conditionalFormatting sqref="AS435">
    <cfRule type="cellIs" priority="337" operator="greaterThan" dxfId="8">
      <formula>1</formula>
    </cfRule>
  </conditionalFormatting>
  <conditionalFormatting sqref="AS441">
    <cfRule type="cellIs" priority="335" operator="greaterThan" dxfId="8">
      <formula>1</formula>
    </cfRule>
  </conditionalFormatting>
  <conditionalFormatting sqref="AS447">
    <cfRule type="cellIs" priority="333" operator="greaterThan" dxfId="8">
      <formula>1</formula>
    </cfRule>
  </conditionalFormatting>
  <conditionalFormatting sqref="AS453">
    <cfRule type="cellIs" priority="331" operator="greaterThan" dxfId="8">
      <formula>1</formula>
    </cfRule>
  </conditionalFormatting>
  <conditionalFormatting sqref="AS459">
    <cfRule type="cellIs" priority="329" operator="greaterThan" dxfId="8">
      <formula>1</formula>
    </cfRule>
  </conditionalFormatting>
  <conditionalFormatting sqref="AS465">
    <cfRule type="cellIs" priority="327" operator="greaterThan" dxfId="8">
      <formula>1</formula>
    </cfRule>
  </conditionalFormatting>
  <conditionalFormatting sqref="AS471">
    <cfRule type="cellIs" priority="325" operator="greaterThan" dxfId="8">
      <formula>1</formula>
    </cfRule>
  </conditionalFormatting>
  <conditionalFormatting sqref="AS477">
    <cfRule type="cellIs" priority="323" operator="greaterThan" dxfId="8">
      <formula>1</formula>
    </cfRule>
  </conditionalFormatting>
  <conditionalFormatting sqref="AS483">
    <cfRule type="cellIs" priority="321" operator="greaterThan" dxfId="8">
      <formula>1</formula>
    </cfRule>
  </conditionalFormatting>
  <conditionalFormatting sqref="AS489">
    <cfRule type="cellIs" priority="319" operator="greaterThan" dxfId="8">
      <formula>1</formula>
    </cfRule>
  </conditionalFormatting>
  <conditionalFormatting sqref="AS495">
    <cfRule type="cellIs" priority="317" operator="greaterThan" dxfId="8">
      <formula>1</formula>
    </cfRule>
  </conditionalFormatting>
  <conditionalFormatting sqref="AS501">
    <cfRule type="cellIs" priority="315" operator="greaterThan" dxfId="8">
      <formula>1</formula>
    </cfRule>
  </conditionalFormatting>
  <conditionalFormatting sqref="AS507">
    <cfRule type="cellIs" priority="313" operator="greaterThan" dxfId="8">
      <formula>1</formula>
    </cfRule>
  </conditionalFormatting>
  <conditionalFormatting sqref="AS513">
    <cfRule type="cellIs" priority="311" operator="greaterThan" dxfId="8">
      <formula>1</formula>
    </cfRule>
  </conditionalFormatting>
  <conditionalFormatting sqref="AS519">
    <cfRule type="cellIs" priority="309" operator="greaterThan" dxfId="8">
      <formula>1</formula>
    </cfRule>
  </conditionalFormatting>
  <conditionalFormatting sqref="AS525">
    <cfRule type="cellIs" priority="307" operator="greaterThan" dxfId="8">
      <formula>1</formula>
    </cfRule>
  </conditionalFormatting>
  <conditionalFormatting sqref="AS531">
    <cfRule type="cellIs" priority="305" operator="greaterThan" dxfId="8">
      <formula>1</formula>
    </cfRule>
  </conditionalFormatting>
  <conditionalFormatting sqref="AS537">
    <cfRule type="cellIs" priority="303" operator="greaterThan" dxfId="8">
      <formula>1</formula>
    </cfRule>
  </conditionalFormatting>
  <conditionalFormatting sqref="AS543">
    <cfRule type="cellIs" priority="301" operator="greaterThan" dxfId="8">
      <formula>1</formula>
    </cfRule>
  </conditionalFormatting>
  <conditionalFormatting sqref="AS549">
    <cfRule type="cellIs" priority="299" operator="greaterThan" dxfId="8">
      <formula>1</formula>
    </cfRule>
  </conditionalFormatting>
  <conditionalFormatting sqref="AS555">
    <cfRule type="cellIs" priority="297" operator="greaterThan" dxfId="8">
      <formula>1</formula>
    </cfRule>
  </conditionalFormatting>
  <conditionalFormatting sqref="AS561">
    <cfRule type="cellIs" priority="295" operator="greaterThan" dxfId="8">
      <formula>1</formula>
    </cfRule>
  </conditionalFormatting>
  <conditionalFormatting sqref="AS567">
    <cfRule type="cellIs" priority="293" operator="greaterThan" dxfId="8">
      <formula>1</formula>
    </cfRule>
  </conditionalFormatting>
  <conditionalFormatting sqref="AS573">
    <cfRule type="cellIs" priority="288" operator="greaterThan" dxfId="8">
      <formula>1</formula>
    </cfRule>
  </conditionalFormatting>
  <conditionalFormatting sqref="AS579">
    <cfRule type="cellIs" priority="290" operator="greaterThan" dxfId="8">
      <formula>1</formula>
    </cfRule>
  </conditionalFormatting>
  <conditionalFormatting sqref="AS585">
    <cfRule type="cellIs" priority="287" operator="greaterThan" dxfId="8">
      <formula>1</formula>
    </cfRule>
  </conditionalFormatting>
  <conditionalFormatting sqref="AS591">
    <cfRule type="cellIs" priority="285" operator="greaterThan" dxfId="8">
      <formula>1</formula>
    </cfRule>
  </conditionalFormatting>
  <conditionalFormatting sqref="AS597 AS603">
    <cfRule type="cellIs" priority="283" operator="greaterThan" dxfId="8">
      <formula>1</formula>
    </cfRule>
  </conditionalFormatting>
  <conditionalFormatting sqref="AS609 AS615 AS621 AS627">
    <cfRule type="cellIs" priority="281" operator="greaterThan" dxfId="8">
      <formula>1</formula>
    </cfRule>
  </conditionalFormatting>
  <conditionalFormatting sqref="AS780:AS787">
    <cfRule type="cellIs" priority="374" operator="greaterThan" dxfId="8">
      <formula>1</formula>
    </cfRule>
  </conditionalFormatting>
  <conditionalFormatting sqref="AS821:AS856">
    <cfRule type="cellIs" priority="263" operator="greaterThan" dxfId="8">
      <formula>1</formula>
    </cfRule>
  </conditionalFormatting>
  <conditionalFormatting sqref="AT417">
    <cfRule type="cellIs" priority="367" operator="greaterThan" dxfId="121">
      <formula>1</formula>
    </cfRule>
  </conditionalFormatting>
  <conditionalFormatting sqref="AT423">
    <cfRule type="cellIs" priority="340" operator="greaterThan" dxfId="121">
      <formula>1</formula>
    </cfRule>
  </conditionalFormatting>
  <conditionalFormatting sqref="AT429">
    <cfRule type="cellIs" priority="338" operator="greaterThan" dxfId="121">
      <formula>1</formula>
    </cfRule>
  </conditionalFormatting>
  <conditionalFormatting sqref="AT435">
    <cfRule type="cellIs" priority="336" operator="greaterThan" dxfId="121">
      <formula>1</formula>
    </cfRule>
  </conditionalFormatting>
  <conditionalFormatting sqref="AT441">
    <cfRule type="cellIs" priority="334" operator="greaterThan" dxfId="121">
      <formula>1</formula>
    </cfRule>
  </conditionalFormatting>
  <conditionalFormatting sqref="AT447">
    <cfRule type="cellIs" priority="332" operator="greaterThan" dxfId="121">
      <formula>1</formula>
    </cfRule>
  </conditionalFormatting>
  <conditionalFormatting sqref="AT453">
    <cfRule type="cellIs" priority="330" operator="greaterThan" dxfId="121">
      <formula>1</formula>
    </cfRule>
  </conditionalFormatting>
  <conditionalFormatting sqref="AT459">
    <cfRule type="cellIs" priority="328" operator="greaterThan" dxfId="121">
      <formula>1</formula>
    </cfRule>
  </conditionalFormatting>
  <conditionalFormatting sqref="AT465">
    <cfRule type="cellIs" priority="326" operator="greaterThan" dxfId="121">
      <formula>1</formula>
    </cfRule>
  </conditionalFormatting>
  <conditionalFormatting sqref="AT471">
    <cfRule type="cellIs" priority="324" operator="greaterThan" dxfId="121">
      <formula>1</formula>
    </cfRule>
  </conditionalFormatting>
  <conditionalFormatting sqref="AT477">
    <cfRule type="cellIs" priority="322" operator="greaterThan" dxfId="121">
      <formula>1</formula>
    </cfRule>
  </conditionalFormatting>
  <conditionalFormatting sqref="AT483">
    <cfRule type="cellIs" priority="320" operator="greaterThan" dxfId="121">
      <formula>1</formula>
    </cfRule>
  </conditionalFormatting>
  <conditionalFormatting sqref="AT489">
    <cfRule type="cellIs" priority="318" operator="greaterThan" dxfId="121">
      <formula>1</formula>
    </cfRule>
  </conditionalFormatting>
  <conditionalFormatting sqref="AT495">
    <cfRule type="cellIs" priority="316" operator="greaterThan" dxfId="121">
      <formula>1</formula>
    </cfRule>
  </conditionalFormatting>
  <conditionalFormatting sqref="AT501">
    <cfRule type="cellIs" priority="314" operator="greaterThan" dxfId="121">
      <formula>1</formula>
    </cfRule>
  </conditionalFormatting>
  <conditionalFormatting sqref="AT507">
    <cfRule type="cellIs" priority="312" operator="greaterThan" dxfId="121">
      <formula>1</formula>
    </cfRule>
  </conditionalFormatting>
  <conditionalFormatting sqref="AT513">
    <cfRule type="cellIs" priority="310" operator="greaterThan" dxfId="121">
      <formula>1</formula>
    </cfRule>
  </conditionalFormatting>
  <conditionalFormatting sqref="AT519">
    <cfRule type="cellIs" priority="308" operator="greaterThan" dxfId="121">
      <formula>1</formula>
    </cfRule>
  </conditionalFormatting>
  <conditionalFormatting sqref="AT525">
    <cfRule type="cellIs" priority="306" operator="greaterThan" dxfId="121">
      <formula>1</formula>
    </cfRule>
  </conditionalFormatting>
  <conditionalFormatting sqref="AT531">
    <cfRule type="cellIs" priority="304" operator="greaterThan" dxfId="121">
      <formula>1</formula>
    </cfRule>
  </conditionalFormatting>
  <conditionalFormatting sqref="AT537">
    <cfRule type="cellIs" priority="302" operator="greaterThan" dxfId="121">
      <formula>1</formula>
    </cfRule>
  </conditionalFormatting>
  <conditionalFormatting sqref="AT543">
    <cfRule type="cellIs" priority="300" operator="greaterThan" dxfId="121">
      <formula>1</formula>
    </cfRule>
  </conditionalFormatting>
  <conditionalFormatting sqref="AT549">
    <cfRule type="cellIs" priority="298" operator="greaterThan" dxfId="121">
      <formula>1</formula>
    </cfRule>
  </conditionalFormatting>
  <conditionalFormatting sqref="AT555">
    <cfRule type="cellIs" priority="296" operator="greaterThan" dxfId="121">
      <formula>1</formula>
    </cfRule>
  </conditionalFormatting>
  <conditionalFormatting sqref="AT561">
    <cfRule type="cellIs" priority="294" operator="greaterThan" dxfId="121">
      <formula>1</formula>
    </cfRule>
  </conditionalFormatting>
  <conditionalFormatting sqref="AT567">
    <cfRule type="cellIs" priority="292" operator="greaterThan" dxfId="121">
      <formula>1</formula>
    </cfRule>
  </conditionalFormatting>
  <conditionalFormatting sqref="AT573">
    <cfRule type="cellIs" priority="291" operator="greaterThan" dxfId="121">
      <formula>1</formula>
    </cfRule>
  </conditionalFormatting>
  <conditionalFormatting sqref="AT579">
    <cfRule type="cellIs" priority="289" operator="greaterThan" dxfId="121">
      <formula>1</formula>
    </cfRule>
  </conditionalFormatting>
  <conditionalFormatting sqref="AT585">
    <cfRule type="cellIs" priority="286" operator="greaterThan" dxfId="121">
      <formula>1</formula>
    </cfRule>
  </conditionalFormatting>
  <conditionalFormatting sqref="AT591">
    <cfRule type="cellIs" priority="284" operator="greaterThan" dxfId="121">
      <formula>1</formula>
    </cfRule>
  </conditionalFormatting>
  <conditionalFormatting sqref="AT597 AT603">
    <cfRule type="cellIs" priority="282" operator="greaterThan" dxfId="121">
      <formula>1</formula>
    </cfRule>
  </conditionalFormatting>
  <conditionalFormatting sqref="AT609 AT615 AT621 AT627">
    <cfRule type="cellIs" priority="280" operator="greaterThan" dxfId="121">
      <formula>1</formula>
    </cfRule>
  </conditionalFormatting>
  <conditionalFormatting sqref="AT780:AT787">
    <cfRule type="cellIs" priority="373" operator="greaterThan" dxfId="121">
      <formula>1</formula>
    </cfRule>
  </conditionalFormatting>
  <conditionalFormatting sqref="AT821:AT856">
    <cfRule type="cellIs" priority="262" operator="greaterThan" dxfId="121">
      <formula>1</formula>
    </cfRule>
  </conditionalFormatting>
  <conditionalFormatting sqref="K561:K565">
    <cfRule type="cellIs" priority="246" operator="lessThan" dxfId="0" stopIfTrue="1">
      <formula>0</formula>
    </cfRule>
  </conditionalFormatting>
  <conditionalFormatting sqref="K417:K421">
    <cfRule type="cellIs" priority="245" operator="lessThan" dxfId="0" stopIfTrue="1">
      <formula>0</formula>
    </cfRule>
  </conditionalFormatting>
  <conditionalFormatting sqref="K405:K408">
    <cfRule type="cellIs" priority="244" operator="lessThan" dxfId="0" stopIfTrue="1">
      <formula>0</formula>
    </cfRule>
  </conditionalFormatting>
  <conditionalFormatting sqref="K395:K398">
    <cfRule type="cellIs" priority="243" operator="lessThan" dxfId="0" stopIfTrue="1">
      <formula>0</formula>
    </cfRule>
  </conditionalFormatting>
  <conditionalFormatting sqref="K400:K403">
    <cfRule type="cellIs" priority="242" operator="lessThan" dxfId="0" stopIfTrue="1">
      <formula>0</formula>
    </cfRule>
  </conditionalFormatting>
  <conditionalFormatting sqref="K390:K393">
    <cfRule type="cellIs" priority="241" operator="lessThan" dxfId="0" stopIfTrue="1">
      <formula>0</formula>
    </cfRule>
  </conditionalFormatting>
  <conditionalFormatting sqref="P390:P393">
    <cfRule type="containsText" priority="237" operator="containsText" dxfId="131" text="VENCIDO">
      <formula>NOT(ISERROR(SEARCH("VENCIDO",P390)))</formula>
    </cfRule>
    <cfRule type="containsText" priority="238" operator="containsText" dxfId="130" text="VERDE">
      <formula>NOT(ISERROR(SEARCH("VERDE",P390)))</formula>
    </cfRule>
    <cfRule type="containsText" priority="239" operator="containsText" dxfId="129" stopIfTrue="1" text="AMARILLO">
      <formula>NOT(ISERROR(SEARCH("AMARILLO",P390)))</formula>
    </cfRule>
    <cfRule type="containsText" priority="240" operator="containsText" dxfId="128" text="ROJO">
      <formula>NOT(ISERROR(SEARCH("ROJO",P390)))</formula>
    </cfRule>
  </conditionalFormatting>
  <conditionalFormatting sqref="P395:P398">
    <cfRule type="containsText" priority="233" operator="containsText" dxfId="131" text="VENCIDO">
      <formula>NOT(ISERROR(SEARCH("VENCIDO",P395)))</formula>
    </cfRule>
    <cfRule type="containsText" priority="234" operator="containsText" dxfId="130" text="VERDE">
      <formula>NOT(ISERROR(SEARCH("VERDE",P395)))</formula>
    </cfRule>
    <cfRule type="containsText" priority="235" operator="containsText" dxfId="129" stopIfTrue="1" text="AMARILLO">
      <formula>NOT(ISERROR(SEARCH("AMARILLO",P395)))</formula>
    </cfRule>
    <cfRule type="containsText" priority="236" operator="containsText" dxfId="128" text="ROJO">
      <formula>NOT(ISERROR(SEARCH("ROJO",P395)))</formula>
    </cfRule>
  </conditionalFormatting>
  <conditionalFormatting sqref="P400:P403">
    <cfRule type="containsText" priority="229" operator="containsText" dxfId="131" text="VENCIDO">
      <formula>NOT(ISERROR(SEARCH("VENCIDO",P400)))</formula>
    </cfRule>
    <cfRule type="containsText" priority="230" operator="containsText" dxfId="130" text="VERDE">
      <formula>NOT(ISERROR(SEARCH("VERDE",P400)))</formula>
    </cfRule>
    <cfRule type="containsText" priority="231" operator="containsText" dxfId="129" stopIfTrue="1" text="AMARILLO">
      <formula>NOT(ISERROR(SEARCH("AMARILLO",P400)))</formula>
    </cfRule>
    <cfRule type="containsText" priority="232" operator="containsText" dxfId="128" text="ROJO">
      <formula>NOT(ISERROR(SEARCH("ROJO",P400)))</formula>
    </cfRule>
  </conditionalFormatting>
  <conditionalFormatting sqref="P405:P408">
    <cfRule type="containsText" priority="225" operator="containsText" dxfId="131" text="VENCIDO">
      <formula>NOT(ISERROR(SEARCH("VENCIDO",P405)))</formula>
    </cfRule>
    <cfRule type="containsText" priority="226" operator="containsText" dxfId="130" text="VERDE">
      <formula>NOT(ISERROR(SEARCH("VERDE",P405)))</formula>
    </cfRule>
    <cfRule type="containsText" priority="227" operator="containsText" dxfId="129" stopIfTrue="1" text="AMARILLO">
      <formula>NOT(ISERROR(SEARCH("AMARILLO",P405)))</formula>
    </cfRule>
    <cfRule type="containsText" priority="228" operator="containsText" dxfId="128" text="ROJO">
      <formula>NOT(ISERROR(SEARCH("ROJO",P405)))</formula>
    </cfRule>
  </conditionalFormatting>
  <conditionalFormatting sqref="K640:K644 K646:K650 K652:K656 K658:K662 K664:K668 K670:K674 K676:K680 K682:K686 K688:K692 K694:K698 K700:K704">
    <cfRule type="cellIs" priority="181"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24"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20" operator="containsText" dxfId="131" text="VENCIDO">
      <formula>NOT(ISERROR(SEARCH("VENCIDO",P19)))</formula>
    </cfRule>
    <cfRule type="containsText" priority="221" operator="containsText" dxfId="130" text="VERDE">
      <formula>NOT(ISERROR(SEARCH("VERDE",P19)))</formula>
    </cfRule>
    <cfRule type="containsText" priority="222" operator="containsText" dxfId="129" stopIfTrue="1" text="AMARILLO">
      <formula>NOT(ISERROR(SEARCH("AMARILLO",P19)))</formula>
    </cfRule>
    <cfRule type="containsText" priority="223" operator="containsText" dxfId="128" text="ROJO">
      <formula>NOT(ISERROR(SEARCH("ROJO",P19)))</formula>
    </cfRule>
  </conditionalFormatting>
  <conditionalFormatting sqref="K230:K234 K236:K240 K242:K246 K248:K252 K254:K258 K260:K264 K266:K270 K272:K276 K278:K282 K284:K288 K290:K294 K296:K300">
    <cfRule type="cellIs" priority="219" operator="lessThan" dxfId="0" stopIfTrue="1">
      <formula>0</formula>
    </cfRule>
  </conditionalFormatting>
  <conditionalFormatting sqref="P230:P234 P236:P240 P242:P246 P248:P252 P254:P258 P260:P264 P266:P270 P272:P276 P278:P282 P284:P288 P290:P294 P296:P300">
    <cfRule type="containsText" priority="215" operator="containsText" dxfId="131" text="VENCIDO">
      <formula>NOT(ISERROR(SEARCH("VENCIDO",P230)))</formula>
    </cfRule>
    <cfRule type="containsText" priority="216" operator="containsText" dxfId="130" text="VERDE">
      <formula>NOT(ISERROR(SEARCH("VERDE",P230)))</formula>
    </cfRule>
    <cfRule type="containsText" priority="217" operator="containsText" dxfId="129" stopIfTrue="1" text="AMARILLO">
      <formula>NOT(ISERROR(SEARCH("AMARILLO",P230)))</formula>
    </cfRule>
    <cfRule type="containsText" priority="218" operator="containsText" dxfId="128" text="ROJO">
      <formula>NOT(ISERROR(SEARCH("ROJO",P230)))</formula>
    </cfRule>
  </conditionalFormatting>
  <conditionalFormatting sqref="K316 K323 K330 K337 K344 K351 K358 K365 K372">
    <cfRule type="containsText" priority="214" operator="containsText" dxfId="8" text="Falso">
      <formula>NOT(ISERROR(SEARCH("Falso",K316)))</formula>
    </cfRule>
  </conditionalFormatting>
  <conditionalFormatting sqref="P310:P315 P317:P322 P324:P329 P331:P336 P338:P343 P345:P350 P352:P357 P359:P364 P366:P371">
    <cfRule type="containsText" priority="210" operator="containsText" dxfId="131" text="VENCIDO">
      <formula>NOT(ISERROR(SEARCH("VENCIDO",P310)))</formula>
    </cfRule>
    <cfRule type="containsText" priority="211" operator="containsText" dxfId="130" text="VERDE">
      <formula>NOT(ISERROR(SEARCH("VERDE",P310)))</formula>
    </cfRule>
    <cfRule type="containsText" priority="212" operator="containsText" dxfId="129" stopIfTrue="1" text="AMARILLO">
      <formula>NOT(ISERROR(SEARCH("AMARILLO",P310)))</formula>
    </cfRule>
    <cfRule type="containsText" priority="213" operator="containsText" dxfId="128" text="ROJO">
      <formula>NOT(ISERROR(SEARCH("ROJO",P310)))</formula>
    </cfRule>
  </conditionalFormatting>
  <conditionalFormatting sqref="K310:K315">
    <cfRule type="cellIs" priority="209" operator="lessThan" dxfId="0" stopIfTrue="1">
      <formula>0</formula>
    </cfRule>
  </conditionalFormatting>
  <conditionalFormatting sqref="K317:K322">
    <cfRule type="cellIs" priority="208" operator="lessThan" dxfId="0" stopIfTrue="1">
      <formula>0</formula>
    </cfRule>
  </conditionalFormatting>
  <conditionalFormatting sqref="K324:K329">
    <cfRule type="cellIs" priority="207" operator="lessThan" dxfId="0" stopIfTrue="1">
      <formula>0</formula>
    </cfRule>
  </conditionalFormatting>
  <conditionalFormatting sqref="K331:K336">
    <cfRule type="cellIs" priority="206" operator="lessThan" dxfId="0" stopIfTrue="1">
      <formula>0</formula>
    </cfRule>
  </conditionalFormatting>
  <conditionalFormatting sqref="K338:K343">
    <cfRule type="cellIs" priority="205" operator="lessThan" dxfId="0" stopIfTrue="1">
      <formula>0</formula>
    </cfRule>
  </conditionalFormatting>
  <conditionalFormatting sqref="K345:K350">
    <cfRule type="cellIs" priority="204" operator="lessThan" dxfId="0" stopIfTrue="1">
      <formula>0</formula>
    </cfRule>
  </conditionalFormatting>
  <conditionalFormatting sqref="K352:K357">
    <cfRule type="cellIs" priority="203" operator="lessThan" dxfId="0" stopIfTrue="1">
      <formula>0</formula>
    </cfRule>
  </conditionalFormatting>
  <conditionalFormatting sqref="K359:K364">
    <cfRule type="cellIs" priority="202" operator="lessThan" dxfId="0" stopIfTrue="1">
      <formula>0</formula>
    </cfRule>
  </conditionalFormatting>
  <conditionalFormatting sqref="K366:K371">
    <cfRule type="cellIs" priority="201"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197" operator="containsText" dxfId="131" text="VENCIDO">
      <formula>NOT(ISERROR(SEARCH("VENCIDO",P423)))</formula>
    </cfRule>
    <cfRule type="containsText" priority="198" operator="containsText" dxfId="130" text="VERDE">
      <formula>NOT(ISERROR(SEARCH("VERDE",P423)))</formula>
    </cfRule>
    <cfRule type="containsText" priority="199" operator="containsText" dxfId="129" stopIfTrue="1" text="AMARILLO">
      <formula>NOT(ISERROR(SEARCH("AMARILLO",P423)))</formula>
    </cfRule>
    <cfRule type="containsText" priority="200"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196" operator="lessThan" dxfId="0" stopIfTrue="1">
      <formula>0</formula>
    </cfRule>
  </conditionalFormatting>
  <conditionalFormatting sqref="P567:P571">
    <cfRule type="containsText" priority="192" operator="containsText" dxfId="131" text="VENCIDO">
      <formula>NOT(ISERROR(SEARCH("VENCIDO",P567)))</formula>
    </cfRule>
    <cfRule type="containsText" priority="193" operator="containsText" dxfId="130" text="VERDE">
      <formula>NOT(ISERROR(SEARCH("VERDE",P567)))</formula>
    </cfRule>
    <cfRule type="containsText" priority="194" operator="containsText" dxfId="129" stopIfTrue="1" text="AMARILLO">
      <formula>NOT(ISERROR(SEARCH("AMARILLO",P567)))</formula>
    </cfRule>
    <cfRule type="containsText" priority="195" operator="containsText" dxfId="128" text="ROJO">
      <formula>NOT(ISERROR(SEARCH("ROJO",P567)))</formula>
    </cfRule>
  </conditionalFormatting>
  <conditionalFormatting sqref="K567:K571">
    <cfRule type="cellIs" priority="191" operator="lessThan" dxfId="0" stopIfTrue="1">
      <formula>0</formula>
    </cfRule>
  </conditionalFormatting>
  <conditionalFormatting sqref="P573:P577 P579:P583 P585:P589 P591:P595 P597:P601 P603:P607 P609:P613 P615:P619 P621:P625 P627:P631">
    <cfRule type="containsText" priority="187" operator="containsText" dxfId="131" text="VENCIDO">
      <formula>NOT(ISERROR(SEARCH("VENCIDO",P573)))</formula>
    </cfRule>
    <cfRule type="containsText" priority="188" operator="containsText" dxfId="130" text="VERDE">
      <formula>NOT(ISERROR(SEARCH("VERDE",P573)))</formula>
    </cfRule>
    <cfRule type="containsText" priority="189" operator="containsText" dxfId="129" stopIfTrue="1" text="AMARILLO">
      <formula>NOT(ISERROR(SEARCH("AMARILLO",P573)))</formula>
    </cfRule>
    <cfRule type="containsText" priority="190" operator="containsText" dxfId="128" text="ROJO">
      <formula>NOT(ISERROR(SEARCH("ROJO",P573)))</formula>
    </cfRule>
  </conditionalFormatting>
  <conditionalFormatting sqref="K573:K577 K579:K583 K585:K589 K591:K595 K597:K601 K603:K607 K609:K613 K615:K619 K621:K625 K627:K631">
    <cfRule type="cellIs" priority="186" operator="lessThan" dxfId="0" stopIfTrue="1">
      <formula>0</formula>
    </cfRule>
  </conditionalFormatting>
  <conditionalFormatting sqref="P634:P638">
    <cfRule type="containsText" priority="182" operator="containsText" dxfId="131" text="VENCIDO">
      <formula>NOT(ISERROR(SEARCH("VENCIDO",P634)))</formula>
    </cfRule>
    <cfRule type="containsText" priority="183" operator="containsText" dxfId="130" text="VERDE">
      <formula>NOT(ISERROR(SEARCH("VERDE",P634)))</formula>
    </cfRule>
    <cfRule type="containsText" priority="184" operator="containsText" dxfId="129" stopIfTrue="1" text="AMARILLO">
      <formula>NOT(ISERROR(SEARCH("AMARILLO",P634)))</formula>
    </cfRule>
    <cfRule type="containsText" priority="185" operator="containsText" dxfId="128" text="ROJO">
      <formula>NOT(ISERROR(SEARCH("ROJO",P634)))</formula>
    </cfRule>
  </conditionalFormatting>
  <conditionalFormatting sqref="P640:P644 P646:P650 P652:P656 P658:P662 P664:P668 P670:P674 P676:P680 P682:P686 P688:P692 P694:P698 P700:P704">
    <cfRule type="containsText" priority="177" operator="containsText" dxfId="131" text="VENCIDO">
      <formula>NOT(ISERROR(SEARCH("VENCIDO",P640)))</formula>
    </cfRule>
    <cfRule type="containsText" priority="178" operator="containsText" dxfId="130" text="VERDE">
      <formula>NOT(ISERROR(SEARCH("VERDE",P640)))</formula>
    </cfRule>
    <cfRule type="containsText" priority="179" operator="containsText" dxfId="129" stopIfTrue="1" text="AMARILLO">
      <formula>NOT(ISERROR(SEARCH("AMARILLO",P640)))</formula>
    </cfRule>
    <cfRule type="containsText" priority="180" operator="containsText" dxfId="128" text="ROJO">
      <formula>NOT(ISERROR(SEARCH("ROJO",P640)))</formula>
    </cfRule>
  </conditionalFormatting>
  <conditionalFormatting sqref="P714:P719">
    <cfRule type="containsText" priority="173" operator="containsText" dxfId="131" text="VENCIDO">
      <formula>NOT(ISERROR(SEARCH("VENCIDO",P714)))</formula>
    </cfRule>
    <cfRule type="containsText" priority="174" operator="containsText" dxfId="130" text="VERDE">
      <formula>NOT(ISERROR(SEARCH("VERDE",P714)))</formula>
    </cfRule>
    <cfRule type="containsText" priority="175" operator="containsText" dxfId="129" stopIfTrue="1" text="AMARILLO">
      <formula>NOT(ISERROR(SEARCH("AMARILLO",P714)))</formula>
    </cfRule>
    <cfRule type="containsText" priority="176" operator="containsText" dxfId="128" text="ROJO">
      <formula>NOT(ISERROR(SEARCH("ROJO",P714)))</formula>
    </cfRule>
  </conditionalFormatting>
  <conditionalFormatting sqref="P721:P726">
    <cfRule type="containsText" priority="169" operator="containsText" dxfId="131" text="VENCIDO">
      <formula>NOT(ISERROR(SEARCH("VENCIDO",P721)))</formula>
    </cfRule>
    <cfRule type="containsText" priority="170" operator="containsText" dxfId="130" text="VERDE">
      <formula>NOT(ISERROR(SEARCH("VERDE",P721)))</formula>
    </cfRule>
    <cfRule type="containsText" priority="171" operator="containsText" dxfId="129" stopIfTrue="1" text="AMARILLO">
      <formula>NOT(ISERROR(SEARCH("AMARILLO",P721)))</formula>
    </cfRule>
    <cfRule type="containsText" priority="172" operator="containsText" dxfId="128" text="ROJO">
      <formula>NOT(ISERROR(SEARCH("ROJO",P721)))</formula>
    </cfRule>
  </conditionalFormatting>
  <conditionalFormatting sqref="P728:P733">
    <cfRule type="containsText" priority="165" operator="containsText" dxfId="131" text="VENCIDO">
      <formula>NOT(ISERROR(SEARCH("VENCIDO",P728)))</formula>
    </cfRule>
    <cfRule type="containsText" priority="166" operator="containsText" dxfId="130" text="VERDE">
      <formula>NOT(ISERROR(SEARCH("VERDE",P728)))</formula>
    </cfRule>
    <cfRule type="containsText" priority="167" operator="containsText" dxfId="129" stopIfTrue="1" text="AMARILLO">
      <formula>NOT(ISERROR(SEARCH("AMARILLO",P728)))</formula>
    </cfRule>
    <cfRule type="containsText" priority="168" operator="containsText" dxfId="128" text="ROJO">
      <formula>NOT(ISERROR(SEARCH("ROJO",P728)))</formula>
    </cfRule>
  </conditionalFormatting>
  <conditionalFormatting sqref="P735:P740">
    <cfRule type="containsText" priority="161" operator="containsText" dxfId="131" text="VENCIDO">
      <formula>NOT(ISERROR(SEARCH("VENCIDO",P735)))</formula>
    </cfRule>
    <cfRule type="containsText" priority="162" operator="containsText" dxfId="130" text="VERDE">
      <formula>NOT(ISERROR(SEARCH("VERDE",P735)))</formula>
    </cfRule>
    <cfRule type="containsText" priority="163" operator="containsText" dxfId="129" stopIfTrue="1" text="AMARILLO">
      <formula>NOT(ISERROR(SEARCH("AMARILLO",P735)))</formula>
    </cfRule>
    <cfRule type="containsText" priority="164" operator="containsText" dxfId="128" text="ROJO">
      <formula>NOT(ISERROR(SEARCH("ROJO",P735)))</formula>
    </cfRule>
  </conditionalFormatting>
  <conditionalFormatting sqref="P742:P747">
    <cfRule type="containsText" priority="157" operator="containsText" dxfId="131" text="VENCIDO">
      <formula>NOT(ISERROR(SEARCH("VENCIDO",P742)))</formula>
    </cfRule>
    <cfRule type="containsText" priority="158" operator="containsText" dxfId="130" text="VERDE">
      <formula>NOT(ISERROR(SEARCH("VERDE",P742)))</formula>
    </cfRule>
    <cfRule type="containsText" priority="159" operator="containsText" dxfId="129" stopIfTrue="1" text="AMARILLO">
      <formula>NOT(ISERROR(SEARCH("AMARILLO",P742)))</formula>
    </cfRule>
    <cfRule type="containsText" priority="160" operator="containsText" dxfId="128" text="ROJO">
      <formula>NOT(ISERROR(SEARCH("ROJO",P742)))</formula>
    </cfRule>
  </conditionalFormatting>
  <conditionalFormatting sqref="P749:P754">
    <cfRule type="containsText" priority="153" operator="containsText" dxfId="131" text="VENCIDO">
      <formula>NOT(ISERROR(SEARCH("VENCIDO",P749)))</formula>
    </cfRule>
    <cfRule type="containsText" priority="154" operator="containsText" dxfId="130" text="VERDE">
      <formula>NOT(ISERROR(SEARCH("VERDE",P749)))</formula>
    </cfRule>
    <cfRule type="containsText" priority="155" operator="containsText" dxfId="129" stopIfTrue="1" text="AMARILLO">
      <formula>NOT(ISERROR(SEARCH("AMARILLO",P749)))</formula>
    </cfRule>
    <cfRule type="containsText" priority="156" operator="containsText" dxfId="128" text="ROJO">
      <formula>NOT(ISERROR(SEARCH("ROJO",P749)))</formula>
    </cfRule>
  </conditionalFormatting>
  <conditionalFormatting sqref="P756:P761">
    <cfRule type="containsText" priority="149" operator="containsText" dxfId="131" text="VENCIDO">
      <formula>NOT(ISERROR(SEARCH("VENCIDO",P756)))</formula>
    </cfRule>
    <cfRule type="containsText" priority="150" operator="containsText" dxfId="130" text="VERDE">
      <formula>NOT(ISERROR(SEARCH("VERDE",P756)))</formula>
    </cfRule>
    <cfRule type="containsText" priority="151" operator="containsText" dxfId="129" stopIfTrue="1" text="AMARILLO">
      <formula>NOT(ISERROR(SEARCH("AMARILLO",P756)))</formula>
    </cfRule>
    <cfRule type="containsText" priority="152" operator="containsText" dxfId="128" text="ROJO">
      <formula>NOT(ISERROR(SEARCH("ROJO",P756)))</formula>
    </cfRule>
  </conditionalFormatting>
  <conditionalFormatting sqref="P763:P768">
    <cfRule type="containsText" priority="145" operator="containsText" dxfId="131" text="VENCIDO">
      <formula>NOT(ISERROR(SEARCH("VENCIDO",P763)))</formula>
    </cfRule>
    <cfRule type="containsText" priority="146" operator="containsText" dxfId="130" text="VERDE">
      <formula>NOT(ISERROR(SEARCH("VERDE",P763)))</formula>
    </cfRule>
    <cfRule type="containsText" priority="147" operator="containsText" dxfId="129" stopIfTrue="1" text="AMARILLO">
      <formula>NOT(ISERROR(SEARCH("AMARILLO",P763)))</formula>
    </cfRule>
    <cfRule type="containsText" priority="148" operator="containsText" dxfId="128" text="ROJO">
      <formula>NOT(ISERROR(SEARCH("ROJO",P763)))</formula>
    </cfRule>
  </conditionalFormatting>
  <conditionalFormatting sqref="P770:P775">
    <cfRule type="containsText" priority="141" operator="containsText" dxfId="131" text="VENCIDO">
      <formula>NOT(ISERROR(SEARCH("VENCIDO",P770)))</formula>
    </cfRule>
    <cfRule type="containsText" priority="142" operator="containsText" dxfId="130" text="VERDE">
      <formula>NOT(ISERROR(SEARCH("VERDE",P770)))</formula>
    </cfRule>
    <cfRule type="containsText" priority="143" operator="containsText" dxfId="129" stopIfTrue="1" text="AMARILLO">
      <formula>NOT(ISERROR(SEARCH("AMARILLO",P770)))</formula>
    </cfRule>
    <cfRule type="containsText" priority="144" operator="containsText" dxfId="128" text="ROJO">
      <formula>NOT(ISERROR(SEARCH("ROJO",P770)))</formula>
    </cfRule>
  </conditionalFormatting>
  <conditionalFormatting sqref="P789:P792">
    <cfRule type="containsText" priority="137" operator="containsText" dxfId="131" text="VENCIDO">
      <formula>NOT(ISERROR(SEARCH("VENCIDO",P789)))</formula>
    </cfRule>
    <cfRule type="containsText" priority="138" operator="containsText" dxfId="130" text="VERDE">
      <formula>NOT(ISERROR(SEARCH("VERDE",P789)))</formula>
    </cfRule>
    <cfRule type="containsText" priority="139" operator="containsText" dxfId="129" stopIfTrue="1" text="AMARILLO">
      <formula>NOT(ISERROR(SEARCH("AMARILLO",P789)))</formula>
    </cfRule>
    <cfRule type="containsText" priority="140" operator="containsText" dxfId="128" text="ROJO">
      <formula>NOT(ISERROR(SEARCH("ROJO",P789)))</formula>
    </cfRule>
  </conditionalFormatting>
  <conditionalFormatting sqref="P794:P797">
    <cfRule type="containsText" priority="133" operator="containsText" dxfId="131" text="VENCIDO">
      <formula>NOT(ISERROR(SEARCH("VENCIDO",P794)))</formula>
    </cfRule>
    <cfRule type="containsText" priority="134" operator="containsText" dxfId="130" text="VERDE">
      <formula>NOT(ISERROR(SEARCH("VERDE",P794)))</formula>
    </cfRule>
    <cfRule type="containsText" priority="135" operator="containsText" dxfId="129" stopIfTrue="1" text="AMARILLO">
      <formula>NOT(ISERROR(SEARCH("AMARILLO",P794)))</formula>
    </cfRule>
    <cfRule type="containsText" priority="136" operator="containsText" dxfId="128" text="ROJO">
      <formula>NOT(ISERROR(SEARCH("ROJO",P794)))</formula>
    </cfRule>
  </conditionalFormatting>
  <conditionalFormatting sqref="P799:P802 P804:P807 P809:P812">
    <cfRule type="containsText" priority="129" operator="containsText" dxfId="131" text="VENCIDO">
      <formula>NOT(ISERROR(SEARCH("VENCIDO",P799)))</formula>
    </cfRule>
    <cfRule type="containsText" priority="130" operator="containsText" dxfId="130" text="VERDE">
      <formula>NOT(ISERROR(SEARCH("VERDE",P799)))</formula>
    </cfRule>
    <cfRule type="containsText" priority="131" operator="containsText" dxfId="129" stopIfTrue="1" text="AMARILLO">
      <formula>NOT(ISERROR(SEARCH("AMARILLO",P799)))</formula>
    </cfRule>
    <cfRule type="containsText" priority="132" operator="containsText" dxfId="128" text="ROJO">
      <formula>NOT(ISERROR(SEARCH("ROJO",P799)))</formula>
    </cfRule>
  </conditionalFormatting>
  <conditionalFormatting sqref="K789:K792">
    <cfRule type="cellIs" priority="128" operator="lessThan" dxfId="0" stopIfTrue="1">
      <formula>0</formula>
    </cfRule>
  </conditionalFormatting>
  <conditionalFormatting sqref="K794:K797">
    <cfRule type="cellIs" priority="127" operator="lessThan" dxfId="0" stopIfTrue="1">
      <formula>0</formula>
    </cfRule>
  </conditionalFormatting>
  <conditionalFormatting sqref="K799:K802">
    <cfRule type="cellIs" priority="126" operator="lessThan" dxfId="0" stopIfTrue="1">
      <formula>0</formula>
    </cfRule>
  </conditionalFormatting>
  <conditionalFormatting sqref="K804:K807">
    <cfRule type="cellIs" priority="125" operator="lessThan" dxfId="0" stopIfTrue="1">
      <formula>0</formula>
    </cfRule>
  </conditionalFormatting>
  <conditionalFormatting sqref="K809:K812">
    <cfRule type="cellIs" priority="124" operator="lessThan" dxfId="0" stopIfTrue="1">
      <formula>0</formula>
    </cfRule>
  </conditionalFormatting>
  <conditionalFormatting sqref="AT789">
    <cfRule type="cellIs" priority="123" operator="greaterThan" dxfId="121">
      <formula>1</formula>
    </cfRule>
  </conditionalFormatting>
  <conditionalFormatting sqref="AT794 AT799 AT804 AT809">
    <cfRule type="cellIs" priority="122" operator="greaterThan" dxfId="121">
      <formula>1</formula>
    </cfRule>
  </conditionalFormatting>
  <conditionalFormatting sqref="E895:G897">
    <cfRule type="cellIs" priority="121" operator="lessThan" dxfId="0" stopIfTrue="1">
      <formula>0</formula>
    </cfRule>
  </conditionalFormatting>
  <conditionalFormatting sqref="K895:K897 M895:N897">
    <cfRule type="cellIs" priority="120" operator="lessThan" dxfId="0" stopIfTrue="1">
      <formula>0</formula>
    </cfRule>
  </conditionalFormatting>
  <conditionalFormatting sqref="K301">
    <cfRule type="containsText" priority="119" operator="containsText" dxfId="8" text="Falso">
      <formula>NOT(ISERROR(SEARCH("Falso",K301)))</formula>
    </cfRule>
  </conditionalFormatting>
  <conditionalFormatting sqref="K295">
    <cfRule type="containsText" priority="118" operator="containsText" dxfId="8" text="Falso">
      <formula>NOT(ISERROR(SEARCH("Falso",K295)))</formula>
    </cfRule>
  </conditionalFormatting>
  <conditionalFormatting sqref="K289">
    <cfRule type="containsText" priority="117" operator="containsText" dxfId="8" text="Falso">
      <formula>NOT(ISERROR(SEARCH("Falso",K289)))</formula>
    </cfRule>
  </conditionalFormatting>
  <conditionalFormatting sqref="K283">
    <cfRule type="containsText" priority="116" operator="containsText" dxfId="8" text="Falso">
      <formula>NOT(ISERROR(SEARCH("Falso",K283)))</formula>
    </cfRule>
  </conditionalFormatting>
  <conditionalFormatting sqref="K277">
    <cfRule type="containsText" priority="115" operator="containsText" dxfId="8" text="Falso">
      <formula>NOT(ISERROR(SEARCH("Falso",K277)))</formula>
    </cfRule>
  </conditionalFormatting>
  <conditionalFormatting sqref="K271">
    <cfRule type="containsText" priority="114" operator="containsText" dxfId="8" text="Falso">
      <formula>NOT(ISERROR(SEARCH("Falso",K271)))</formula>
    </cfRule>
  </conditionalFormatting>
  <conditionalFormatting sqref="K265">
    <cfRule type="containsText" priority="113" operator="containsText" dxfId="8" text="Falso">
      <formula>NOT(ISERROR(SEARCH("Falso",K265)))</formula>
    </cfRule>
  </conditionalFormatting>
  <conditionalFormatting sqref="K259">
    <cfRule type="containsText" priority="112" operator="containsText" dxfId="8" text="Falso">
      <formula>NOT(ISERROR(SEARCH("Falso",K259)))</formula>
    </cfRule>
  </conditionalFormatting>
  <conditionalFormatting sqref="K253">
    <cfRule type="containsText" priority="111" operator="containsText" dxfId="8" text="Falso">
      <formula>NOT(ISERROR(SEARCH("Falso",K253)))</formula>
    </cfRule>
  </conditionalFormatting>
  <conditionalFormatting sqref="K247">
    <cfRule type="containsText" priority="110" operator="containsText" dxfId="8" text="Falso">
      <formula>NOT(ISERROR(SEARCH("Falso",K247)))</formula>
    </cfRule>
  </conditionalFormatting>
  <conditionalFormatting sqref="K235">
    <cfRule type="containsText" priority="109" operator="containsText" dxfId="8" text="Falso">
      <formula>NOT(ISERROR(SEARCH("Falso",K235)))</formula>
    </cfRule>
  </conditionalFormatting>
  <conditionalFormatting sqref="K241">
    <cfRule type="containsText" priority="108" operator="containsText" dxfId="8" text="Falso">
      <formula>NOT(ISERROR(SEARCH("Falso",K241)))</formula>
    </cfRule>
  </conditionalFormatting>
  <conditionalFormatting sqref="K228">
    <cfRule type="containsText" priority="107" operator="containsText" dxfId="8" text="Falso">
      <formula>NOT(ISERROR(SEARCH("Falso",K228)))</formula>
    </cfRule>
  </conditionalFormatting>
  <conditionalFormatting sqref="K222">
    <cfRule type="containsText" priority="106" operator="containsText" dxfId="8" text="Falso">
      <formula>NOT(ISERROR(SEARCH("Falso",K222)))</formula>
    </cfRule>
  </conditionalFormatting>
  <conditionalFormatting sqref="K216">
    <cfRule type="containsText" priority="105" operator="containsText" dxfId="8" text="Falso">
      <formula>NOT(ISERROR(SEARCH("Falso",K216)))</formula>
    </cfRule>
  </conditionalFormatting>
  <conditionalFormatting sqref="K210">
    <cfRule type="containsText" priority="104" operator="containsText" dxfId="8" text="Falso">
      <formula>NOT(ISERROR(SEARCH("Falso",K210)))</formula>
    </cfRule>
  </conditionalFormatting>
  <conditionalFormatting sqref="K204">
    <cfRule type="containsText" priority="103" operator="containsText" dxfId="8" text="Falso">
      <formula>NOT(ISERROR(SEARCH("Falso",K204)))</formula>
    </cfRule>
  </conditionalFormatting>
  <conditionalFormatting sqref="K198">
    <cfRule type="containsText" priority="102" operator="containsText" dxfId="8" text="Falso">
      <formula>NOT(ISERROR(SEARCH("Falso",K198)))</formula>
    </cfRule>
  </conditionalFormatting>
  <conditionalFormatting sqref="K192">
    <cfRule type="containsText" priority="101" operator="containsText" dxfId="8" text="Falso">
      <formula>NOT(ISERROR(SEARCH("Falso",K192)))</formula>
    </cfRule>
  </conditionalFormatting>
  <conditionalFormatting sqref="K186">
    <cfRule type="containsText" priority="100" operator="containsText" dxfId="8" text="Falso">
      <formula>NOT(ISERROR(SEARCH("Falso",K186)))</formula>
    </cfRule>
  </conditionalFormatting>
  <conditionalFormatting sqref="K180">
    <cfRule type="containsText" priority="99" operator="containsText" dxfId="8" text="Falso">
      <formula>NOT(ISERROR(SEARCH("Falso",K180)))</formula>
    </cfRule>
  </conditionalFormatting>
  <conditionalFormatting sqref="K174">
    <cfRule type="containsText" priority="98" operator="containsText" dxfId="8" text="Falso">
      <formula>NOT(ISERROR(SEARCH("Falso",K174)))</formula>
    </cfRule>
  </conditionalFormatting>
  <conditionalFormatting sqref="K168">
    <cfRule type="containsText" priority="97" operator="containsText" dxfId="8" text="Falso">
      <formula>NOT(ISERROR(SEARCH("Falso",K168)))</formula>
    </cfRule>
  </conditionalFormatting>
  <conditionalFormatting sqref="K162">
    <cfRule type="containsText" priority="96" operator="containsText" dxfId="8" text="Falso">
      <formula>NOT(ISERROR(SEARCH("Falso",K162)))</formula>
    </cfRule>
  </conditionalFormatting>
  <conditionalFormatting sqref="K156">
    <cfRule type="containsText" priority="95" operator="containsText" dxfId="8" text="Falso">
      <formula>NOT(ISERROR(SEARCH("Falso",K156)))</formula>
    </cfRule>
  </conditionalFormatting>
  <conditionalFormatting sqref="K150">
    <cfRule type="containsText" priority="94" operator="containsText" dxfId="8" text="Falso">
      <formula>NOT(ISERROR(SEARCH("Falso",K150)))</formula>
    </cfRule>
  </conditionalFormatting>
  <conditionalFormatting sqref="K144">
    <cfRule type="containsText" priority="93" operator="containsText" dxfId="8" text="Falso">
      <formula>NOT(ISERROR(SEARCH("Falso",K144)))</formula>
    </cfRule>
  </conditionalFormatting>
  <conditionalFormatting sqref="K138">
    <cfRule type="containsText" priority="92" operator="containsText" dxfId="8" text="Falso">
      <formula>NOT(ISERROR(SEARCH("Falso",K138)))</formula>
    </cfRule>
  </conditionalFormatting>
  <conditionalFormatting sqref="K132">
    <cfRule type="containsText" priority="91" operator="containsText" dxfId="8" text="Falso">
      <formula>NOT(ISERROR(SEARCH("Falso",K132)))</formula>
    </cfRule>
  </conditionalFormatting>
  <conditionalFormatting sqref="K126">
    <cfRule type="containsText" priority="90" operator="containsText" dxfId="8" text="Falso">
      <formula>NOT(ISERROR(SEARCH("Falso",K126)))</formula>
    </cfRule>
  </conditionalFormatting>
  <conditionalFormatting sqref="K120">
    <cfRule type="containsText" priority="89" operator="containsText" dxfId="8" text="Falso">
      <formula>NOT(ISERROR(SEARCH("Falso",K120)))</formula>
    </cfRule>
  </conditionalFormatting>
  <conditionalFormatting sqref="K114">
    <cfRule type="containsText" priority="88" operator="containsText" dxfId="8" text="Falso">
      <formula>NOT(ISERROR(SEARCH("Falso",K114)))</formula>
    </cfRule>
  </conditionalFormatting>
  <conditionalFormatting sqref="K108">
    <cfRule type="containsText" priority="87" operator="containsText" dxfId="8" text="Falso">
      <formula>NOT(ISERROR(SEARCH("Falso",K108)))</formula>
    </cfRule>
  </conditionalFormatting>
  <conditionalFormatting sqref="K102">
    <cfRule type="containsText" priority="86" operator="containsText" dxfId="8" text="Falso">
      <formula>NOT(ISERROR(SEARCH("Falso",K102)))</formula>
    </cfRule>
  </conditionalFormatting>
  <conditionalFormatting sqref="K96">
    <cfRule type="containsText" priority="85" operator="containsText" dxfId="8" text="Falso">
      <formula>NOT(ISERROR(SEARCH("Falso",K96)))</formula>
    </cfRule>
  </conditionalFormatting>
  <conditionalFormatting sqref="K90">
    <cfRule type="containsText" priority="84" operator="containsText" dxfId="8" text="Falso">
      <formula>NOT(ISERROR(SEARCH("Falso",K90)))</formula>
    </cfRule>
  </conditionalFormatting>
  <conditionalFormatting sqref="K84">
    <cfRule type="containsText" priority="83" operator="containsText" dxfId="8" text="Falso">
      <formula>NOT(ISERROR(SEARCH("Falso",K84)))</formula>
    </cfRule>
  </conditionalFormatting>
  <conditionalFormatting sqref="K78">
    <cfRule type="containsText" priority="82" operator="containsText" dxfId="8" text="Falso">
      <formula>NOT(ISERROR(SEARCH("Falso",K78)))</formula>
    </cfRule>
  </conditionalFormatting>
  <conditionalFormatting sqref="K72">
    <cfRule type="containsText" priority="81" operator="containsText" dxfId="8" text="Falso">
      <formula>NOT(ISERROR(SEARCH("Falso",K72)))</formula>
    </cfRule>
  </conditionalFormatting>
  <conditionalFormatting sqref="K66">
    <cfRule type="containsText" priority="80" operator="containsText" dxfId="8" text="Falso">
      <formula>NOT(ISERROR(SEARCH("Falso",K66)))</formula>
    </cfRule>
  </conditionalFormatting>
  <conditionalFormatting sqref="K60">
    <cfRule type="containsText" priority="79" operator="containsText" dxfId="8" text="Falso">
      <formula>NOT(ISERROR(SEARCH("Falso",K60)))</formula>
    </cfRule>
  </conditionalFormatting>
  <conditionalFormatting sqref="K54">
    <cfRule type="containsText" priority="78" operator="containsText" dxfId="8" text="Falso">
      <formula>NOT(ISERROR(SEARCH("Falso",K54)))</formula>
    </cfRule>
  </conditionalFormatting>
  <conditionalFormatting sqref="K48">
    <cfRule type="containsText" priority="77" operator="containsText" dxfId="8" text="Falso">
      <formula>NOT(ISERROR(SEARCH("Falso",K48)))</formula>
    </cfRule>
  </conditionalFormatting>
  <conditionalFormatting sqref="K42">
    <cfRule type="containsText" priority="76" operator="containsText" dxfId="8" text="Falso">
      <formula>NOT(ISERROR(SEARCH("Falso",K42)))</formula>
    </cfRule>
  </conditionalFormatting>
  <conditionalFormatting sqref="K36">
    <cfRule type="containsText" priority="75" operator="containsText" dxfId="8" text="Falso">
      <formula>NOT(ISERROR(SEARCH("Falso",K36)))</formula>
    </cfRule>
  </conditionalFormatting>
  <conditionalFormatting sqref="K30">
    <cfRule type="containsText" priority="74" operator="containsText" dxfId="8" text="Falso">
      <formula>NOT(ISERROR(SEARCH("Falso",K30)))</formula>
    </cfRule>
  </conditionalFormatting>
  <conditionalFormatting sqref="K24">
    <cfRule type="containsText" priority="73" operator="containsText" dxfId="8" text="Falso">
      <formula>NOT(ISERROR(SEARCH("Falso",K24)))</formula>
    </cfRule>
  </conditionalFormatting>
  <conditionalFormatting sqref="K18">
    <cfRule type="containsText" priority="72" operator="containsText" dxfId="8" text="Falso">
      <formula>NOT(ISERROR(SEARCH("Falso",K18)))</formula>
    </cfRule>
  </conditionalFormatting>
  <conditionalFormatting sqref="K422">
    <cfRule type="containsText" priority="71" operator="containsText" dxfId="8" text="Falso">
      <formula>NOT(ISERROR(SEARCH("Falso",K422)))</formula>
    </cfRule>
  </conditionalFormatting>
  <conditionalFormatting sqref="K428">
    <cfRule type="containsText" priority="70" operator="containsText" dxfId="8" text="Falso">
      <formula>NOT(ISERROR(SEARCH("Falso",K428)))</formula>
    </cfRule>
  </conditionalFormatting>
  <conditionalFormatting sqref="K434">
    <cfRule type="containsText" priority="69" operator="containsText" dxfId="8" text="Falso">
      <formula>NOT(ISERROR(SEARCH("Falso",K434)))</formula>
    </cfRule>
  </conditionalFormatting>
  <conditionalFormatting sqref="K440">
    <cfRule type="containsText" priority="68" operator="containsText" dxfId="8" text="Falso">
      <formula>NOT(ISERROR(SEARCH("Falso",K440)))</formula>
    </cfRule>
  </conditionalFormatting>
  <conditionalFormatting sqref="K446">
    <cfRule type="containsText" priority="67" operator="containsText" dxfId="8" text="Falso">
      <formula>NOT(ISERROR(SEARCH("Falso",K446)))</formula>
    </cfRule>
  </conditionalFormatting>
  <conditionalFormatting sqref="K452">
    <cfRule type="containsText" priority="66" operator="containsText" dxfId="8" text="Falso">
      <formula>NOT(ISERROR(SEARCH("Falso",K452)))</formula>
    </cfRule>
  </conditionalFormatting>
  <conditionalFormatting sqref="K458">
    <cfRule type="containsText" priority="65" operator="containsText" dxfId="8" text="Falso">
      <formula>NOT(ISERROR(SEARCH("Falso",K458)))</formula>
    </cfRule>
  </conditionalFormatting>
  <conditionalFormatting sqref="K464">
    <cfRule type="containsText" priority="64" operator="containsText" dxfId="8" text="Falso">
      <formula>NOT(ISERROR(SEARCH("Falso",K464)))</formula>
    </cfRule>
  </conditionalFormatting>
  <conditionalFormatting sqref="K470">
    <cfRule type="containsText" priority="63" operator="containsText" dxfId="8" text="Falso">
      <formula>NOT(ISERROR(SEARCH("Falso",K470)))</formula>
    </cfRule>
  </conditionalFormatting>
  <conditionalFormatting sqref="K476">
    <cfRule type="containsText" priority="62" operator="containsText" dxfId="8" text="Falso">
      <formula>NOT(ISERROR(SEARCH("Falso",K476)))</formula>
    </cfRule>
  </conditionalFormatting>
  <conditionalFormatting sqref="K482">
    <cfRule type="containsText" priority="61" operator="containsText" dxfId="8" text="Falso">
      <formula>NOT(ISERROR(SEARCH("Falso",K482)))</formula>
    </cfRule>
  </conditionalFormatting>
  <conditionalFormatting sqref="K488">
    <cfRule type="containsText" priority="60" operator="containsText" dxfId="8" text="Falso">
      <formula>NOT(ISERROR(SEARCH("Falso",K488)))</formula>
    </cfRule>
  </conditionalFormatting>
  <conditionalFormatting sqref="K494">
    <cfRule type="containsText" priority="59" operator="containsText" dxfId="8" text="Falso">
      <formula>NOT(ISERROR(SEARCH("Falso",K494)))</formula>
    </cfRule>
  </conditionalFormatting>
  <conditionalFormatting sqref="K500">
    <cfRule type="containsText" priority="58" operator="containsText" dxfId="8" text="Falso">
      <formula>NOT(ISERROR(SEARCH("Falso",K500)))</formula>
    </cfRule>
  </conditionalFormatting>
  <conditionalFormatting sqref="K506">
    <cfRule type="containsText" priority="57" operator="containsText" dxfId="8" text="Falso">
      <formula>NOT(ISERROR(SEARCH("Falso",K506)))</formula>
    </cfRule>
  </conditionalFormatting>
  <conditionalFormatting sqref="K512">
    <cfRule type="containsText" priority="56" operator="containsText" dxfId="8" text="Falso">
      <formula>NOT(ISERROR(SEARCH("Falso",K512)))</formula>
    </cfRule>
  </conditionalFormatting>
  <conditionalFormatting sqref="K518">
    <cfRule type="containsText" priority="55" operator="containsText" dxfId="8" text="Falso">
      <formula>NOT(ISERROR(SEARCH("Falso",K518)))</formula>
    </cfRule>
  </conditionalFormatting>
  <conditionalFormatting sqref="K524">
    <cfRule type="containsText" priority="54" operator="containsText" dxfId="8" text="Falso">
      <formula>NOT(ISERROR(SEARCH("Falso",K524)))</formula>
    </cfRule>
  </conditionalFormatting>
  <conditionalFormatting sqref="K530">
    <cfRule type="containsText" priority="53" operator="containsText" dxfId="8" text="Falso">
      <formula>NOT(ISERROR(SEARCH("Falso",K530)))</formula>
    </cfRule>
  </conditionalFormatting>
  <conditionalFormatting sqref="K536">
    <cfRule type="containsText" priority="52" operator="containsText" dxfId="8" text="Falso">
      <formula>NOT(ISERROR(SEARCH("Falso",K536)))</formula>
    </cfRule>
  </conditionalFormatting>
  <conditionalFormatting sqref="K542">
    <cfRule type="containsText" priority="51" operator="containsText" dxfId="8" text="Falso">
      <formula>NOT(ISERROR(SEARCH("Falso",K542)))</formula>
    </cfRule>
  </conditionalFormatting>
  <conditionalFormatting sqref="K548">
    <cfRule type="containsText" priority="50" operator="containsText" dxfId="8" text="Falso">
      <formula>NOT(ISERROR(SEARCH("Falso",K548)))</formula>
    </cfRule>
  </conditionalFormatting>
  <conditionalFormatting sqref="K554">
    <cfRule type="containsText" priority="49" operator="containsText" dxfId="8" text="Falso">
      <formula>NOT(ISERROR(SEARCH("Falso",K554)))</formula>
    </cfRule>
  </conditionalFormatting>
  <conditionalFormatting sqref="K560">
    <cfRule type="containsText" priority="48" operator="containsText" dxfId="8" text="Falso">
      <formula>NOT(ISERROR(SEARCH("Falso",K560)))</formula>
    </cfRule>
  </conditionalFormatting>
  <conditionalFormatting sqref="K566">
    <cfRule type="containsText" priority="47" operator="containsText" dxfId="8" text="Falso">
      <formula>NOT(ISERROR(SEARCH("Falso",K566)))</formula>
    </cfRule>
  </conditionalFormatting>
  <conditionalFormatting sqref="K572">
    <cfRule type="containsText" priority="46" operator="containsText" dxfId="8" text="Falso">
      <formula>NOT(ISERROR(SEARCH("Falso",K572)))</formula>
    </cfRule>
  </conditionalFormatting>
  <conditionalFormatting sqref="K578">
    <cfRule type="containsText" priority="45" operator="containsText" dxfId="8" text="Falso">
      <formula>NOT(ISERROR(SEARCH("Falso",K578)))</formula>
    </cfRule>
  </conditionalFormatting>
  <conditionalFormatting sqref="K584">
    <cfRule type="containsText" priority="44" operator="containsText" dxfId="8" text="Falso">
      <formula>NOT(ISERROR(SEARCH("Falso",K584)))</formula>
    </cfRule>
  </conditionalFormatting>
  <conditionalFormatting sqref="K590">
    <cfRule type="containsText" priority="43" operator="containsText" dxfId="8" text="Falso">
      <formula>NOT(ISERROR(SEARCH("Falso",K590)))</formula>
    </cfRule>
  </conditionalFormatting>
  <conditionalFormatting sqref="K596">
    <cfRule type="containsText" priority="42" operator="containsText" dxfId="8" text="Falso">
      <formula>NOT(ISERROR(SEARCH("Falso",K596)))</formula>
    </cfRule>
  </conditionalFormatting>
  <conditionalFormatting sqref="K602">
    <cfRule type="containsText" priority="41" operator="containsText" dxfId="8" text="Falso">
      <formula>NOT(ISERROR(SEARCH("Falso",K602)))</formula>
    </cfRule>
  </conditionalFormatting>
  <conditionalFormatting sqref="K608">
    <cfRule type="containsText" priority="40" operator="containsText" dxfId="8" text="Falso">
      <formula>NOT(ISERROR(SEARCH("Falso",K608)))</formula>
    </cfRule>
  </conditionalFormatting>
  <conditionalFormatting sqref="K614">
    <cfRule type="containsText" priority="39" operator="containsText" dxfId="8" text="Falso">
      <formula>NOT(ISERROR(SEARCH("Falso",K614)))</formula>
    </cfRule>
  </conditionalFormatting>
  <conditionalFormatting sqref="K620">
    <cfRule type="containsText" priority="38" operator="containsText" dxfId="8" text="Falso">
      <formula>NOT(ISERROR(SEARCH("Falso",K620)))</formula>
    </cfRule>
  </conditionalFormatting>
  <conditionalFormatting sqref="K626">
    <cfRule type="containsText" priority="37" operator="containsText" dxfId="8" text="Falso">
      <formula>NOT(ISERROR(SEARCH("Falso",K626)))</formula>
    </cfRule>
  </conditionalFormatting>
  <conditionalFormatting sqref="K632">
    <cfRule type="containsText" priority="36" operator="containsText" dxfId="8" text="Falso">
      <formula>NOT(ISERROR(SEARCH("Falso",K632)))</formula>
    </cfRule>
  </conditionalFormatting>
  <conditionalFormatting sqref="K639">
    <cfRule type="containsText" priority="35" operator="containsText" dxfId="8" text="Falso">
      <formula>NOT(ISERROR(SEARCH("Falso",K639)))</formula>
    </cfRule>
  </conditionalFormatting>
  <conditionalFormatting sqref="K645">
    <cfRule type="containsText" priority="34" operator="containsText" dxfId="8" text="Falso">
      <formula>NOT(ISERROR(SEARCH("Falso",K645)))</formula>
    </cfRule>
  </conditionalFormatting>
  <conditionalFormatting sqref="K651">
    <cfRule type="containsText" priority="33" operator="containsText" dxfId="8" text="Falso">
      <formula>NOT(ISERROR(SEARCH("Falso",K651)))</formula>
    </cfRule>
  </conditionalFormatting>
  <conditionalFormatting sqref="K657">
    <cfRule type="containsText" priority="32" operator="containsText" dxfId="8" text="Falso">
      <formula>NOT(ISERROR(SEARCH("Falso",K657)))</formula>
    </cfRule>
  </conditionalFormatting>
  <conditionalFormatting sqref="K663">
    <cfRule type="containsText" priority="31" operator="containsText" dxfId="8" text="Falso">
      <formula>NOT(ISERROR(SEARCH("Falso",K663)))</formula>
    </cfRule>
  </conditionalFormatting>
  <conditionalFormatting sqref="K669">
    <cfRule type="containsText" priority="30" operator="containsText" dxfId="8" text="Falso">
      <formula>NOT(ISERROR(SEARCH("Falso",K669)))</formula>
    </cfRule>
  </conditionalFormatting>
  <conditionalFormatting sqref="K675">
    <cfRule type="containsText" priority="29" operator="containsText" dxfId="8" text="Falso">
      <formula>NOT(ISERROR(SEARCH("Falso",K675)))</formula>
    </cfRule>
  </conditionalFormatting>
  <conditionalFormatting sqref="K681">
    <cfRule type="containsText" priority="28" operator="containsText" dxfId="8" text="Falso">
      <formula>NOT(ISERROR(SEARCH("Falso",K681)))</formula>
    </cfRule>
  </conditionalFormatting>
  <conditionalFormatting sqref="K687">
    <cfRule type="containsText" priority="27" operator="containsText" dxfId="8" text="Falso">
      <formula>NOT(ISERROR(SEARCH("Falso",K687)))</formula>
    </cfRule>
  </conditionalFormatting>
  <conditionalFormatting sqref="K693">
    <cfRule type="containsText" priority="26" operator="containsText" dxfId="8" text="Falso">
      <formula>NOT(ISERROR(SEARCH("Falso",K693)))</formula>
    </cfRule>
  </conditionalFormatting>
  <conditionalFormatting sqref="K699">
    <cfRule type="containsText" priority="25" operator="containsText" dxfId="8" text="Falso">
      <formula>NOT(ISERROR(SEARCH("Falso",K699)))</formula>
    </cfRule>
  </conditionalFormatting>
  <conditionalFormatting sqref="K705">
    <cfRule type="containsText" priority="24" operator="containsText" dxfId="8" text="Falso">
      <formula>NOT(ISERROR(SEARCH("Falso",K705)))</formula>
    </cfRule>
  </conditionalFormatting>
  <conditionalFormatting sqref="K713">
    <cfRule type="containsText" priority="23" operator="containsText" dxfId="8" text="Falso">
      <formula>NOT(ISERROR(SEARCH("Falso",K713)))</formula>
    </cfRule>
  </conditionalFormatting>
  <conditionalFormatting sqref="K720">
    <cfRule type="containsText" priority="22" operator="containsText" dxfId="8" text="Falso">
      <formula>NOT(ISERROR(SEARCH("Falso",K720)))</formula>
    </cfRule>
  </conditionalFormatting>
  <conditionalFormatting sqref="K727">
    <cfRule type="containsText" priority="21" operator="containsText" dxfId="8" text="Falso">
      <formula>NOT(ISERROR(SEARCH("Falso",K727)))</formula>
    </cfRule>
  </conditionalFormatting>
  <conditionalFormatting sqref="K734">
    <cfRule type="containsText" priority="20" operator="containsText" dxfId="8" text="Falso">
      <formula>NOT(ISERROR(SEARCH("Falso",K734)))</formula>
    </cfRule>
  </conditionalFormatting>
  <conditionalFormatting sqref="K741">
    <cfRule type="containsText" priority="19" operator="containsText" dxfId="8" text="Falso">
      <formula>NOT(ISERROR(SEARCH("Falso",K741)))</formula>
    </cfRule>
  </conditionalFormatting>
  <conditionalFormatting sqref="K748">
    <cfRule type="containsText" priority="18" operator="containsText" dxfId="8" text="Falso">
      <formula>NOT(ISERROR(SEARCH("Falso",K748)))</formula>
    </cfRule>
  </conditionalFormatting>
  <conditionalFormatting sqref="K755">
    <cfRule type="containsText" priority="17" operator="containsText" dxfId="8" text="Falso">
      <formula>NOT(ISERROR(SEARCH("Falso",K755)))</formula>
    </cfRule>
  </conditionalFormatting>
  <conditionalFormatting sqref="K762">
    <cfRule type="containsText" priority="16" operator="containsText" dxfId="8" text="Falso">
      <formula>NOT(ISERROR(SEARCH("Falso",K762)))</formula>
    </cfRule>
  </conditionalFormatting>
  <conditionalFormatting sqref="K769">
    <cfRule type="containsText" priority="15" operator="containsText" dxfId="8" text="Falso">
      <formula>NOT(ISERROR(SEARCH("Falso",K769)))</formula>
    </cfRule>
  </conditionalFormatting>
  <conditionalFormatting sqref="K776">
    <cfRule type="containsText" priority="14" operator="containsText" dxfId="8" text="Falso">
      <formula>NOT(ISERROR(SEARCH("Falso",K776)))</formula>
    </cfRule>
  </conditionalFormatting>
  <conditionalFormatting sqref="K793">
    <cfRule type="containsText" priority="13" operator="containsText" dxfId="8" text="Falso">
      <formula>NOT(ISERROR(SEARCH("Falso",K793)))</formula>
    </cfRule>
  </conditionalFormatting>
  <conditionalFormatting sqref="K798">
    <cfRule type="containsText" priority="12" operator="containsText" dxfId="8" text="Falso">
      <formula>NOT(ISERROR(SEARCH("Falso",K798)))</formula>
    </cfRule>
  </conditionalFormatting>
  <conditionalFormatting sqref="K803">
    <cfRule type="containsText" priority="11" operator="containsText" dxfId="8" text="Falso">
      <formula>NOT(ISERROR(SEARCH("Falso",K803)))</formula>
    </cfRule>
  </conditionalFormatting>
  <conditionalFormatting sqref="K808">
    <cfRule type="containsText" priority="10" operator="containsText" dxfId="8" text="Falso">
      <formula>NOT(ISERROR(SEARCH("Falso",K808)))</formula>
    </cfRule>
  </conditionalFormatting>
  <conditionalFormatting sqref="K813">
    <cfRule type="containsText" priority="9" operator="containsText" dxfId="8" text="Falso">
      <formula>NOT(ISERROR(SEARCH("Falso",K813)))</formula>
    </cfRule>
  </conditionalFormatting>
  <conditionalFormatting sqref="O858:O869">
    <cfRule type="cellIs" priority="8" operator="lessThan" dxfId="0" stopIfTrue="1">
      <formula>0</formula>
    </cfRule>
  </conditionalFormatting>
  <conditionalFormatting sqref="O871:O887">
    <cfRule type="cellIs" priority="7" operator="lessThan" dxfId="0" stopIfTrue="1">
      <formula>0</formula>
    </cfRule>
  </conditionalFormatting>
  <conditionalFormatting sqref="O893:O897">
    <cfRule type="cellIs" priority="6" operator="lessThan" dxfId="0" stopIfTrue="1">
      <formula>0</formula>
    </cfRule>
  </conditionalFormatting>
  <conditionalFormatting sqref="L888">
    <cfRule type="cellIs" priority="5" operator="lessThan" dxfId="0" stopIfTrue="1">
      <formula>0</formula>
    </cfRule>
  </conditionalFormatting>
  <conditionalFormatting sqref="L821:L856">
    <cfRule type="cellIs" priority="4" operator="lessThan" dxfId="0" stopIfTrue="1">
      <formula>0</formula>
    </cfRule>
  </conditionalFormatting>
  <conditionalFormatting sqref="L858:L869">
    <cfRule type="cellIs" priority="3" operator="lessThan" dxfId="0" stopIfTrue="1">
      <formula>0</formula>
    </cfRule>
  </conditionalFormatting>
  <conditionalFormatting sqref="L871:L887">
    <cfRule type="cellIs" priority="2" operator="lessThan" dxfId="0" stopIfTrue="1">
      <formula>0</formula>
    </cfRule>
  </conditionalFormatting>
  <conditionalFormatting sqref="L893:L897">
    <cfRule type="cellIs" priority="1" operator="lessThan" dxfId="0" stopIfTrue="1">
      <formula>0</formula>
    </cfRule>
  </conditionalFormatting>
  <dataValidations count="3">
    <dataValidation sqref="O278:O279 O284:O285 O292" showDropDown="0" showInputMessage="1" showErrorMessage="1" allowBlank="1" errorTitle="INGRESE LA FECHA" error="FECHA DE VENCIMIENTO" type="date" operator="greaterThan">
      <formula1>39083</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C903:C907 C912:C913" showDropDown="0" showInputMessage="1" showErrorMessage="1" allowBlank="1" type="list">
      <formula1>"SI,NO"</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xl/worksheets/sheet11.xml><?xml version="1.0" encoding="utf-8"?>
<worksheet xmlns="http://schemas.openxmlformats.org/spreadsheetml/2006/main">
  <sheetPr codeName="Hoja21">
    <tabColor theme="9" tint="0.3999755851924192"/>
    <outlinePr summaryBelow="1" summaryRight="1"/>
    <pageSetUpPr/>
  </sheetPr>
  <dimension ref="A1:AZ919"/>
  <sheetViews>
    <sheetView topLeftCell="A34" zoomScale="60" zoomScaleNormal="60" workbookViewId="0">
      <selection activeCell="F7" sqref="F7"/>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inlineStr">
        <is>
          <t>JUNIO</t>
        </is>
      </c>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748"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496">
        <f>MAYO!K13</f>
        <v/>
      </c>
      <c r="E13" s="731" t="n">
        <v>3000</v>
      </c>
      <c r="F13" s="731" t="n"/>
      <c r="G13" s="730">
        <f>E13+F13</f>
        <v/>
      </c>
      <c r="H13" s="731" t="n">
        <v>1800</v>
      </c>
      <c r="I13" s="731" t="n"/>
      <c r="J13" s="732">
        <f>AM13</f>
        <v/>
      </c>
      <c r="K13" s="738">
        <f>+(D13+G13)-(H13+I13+J13)</f>
        <v/>
      </c>
      <c r="L13" s="253" t="n">
        <v>3840</v>
      </c>
      <c r="M13" s="254" t="inlineStr">
        <is>
          <t>0374MA082</t>
        </is>
      </c>
      <c r="N13" s="254" t="inlineStr">
        <is>
          <t>Serum</t>
        </is>
      </c>
      <c r="O13" s="1183" t="inlineStr">
        <is>
          <t>31/01/2027</t>
        </is>
      </c>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inlineStr">
        <is>
          <t>AMAZONAS</t>
        </is>
      </c>
      <c r="AZ13" s="231" t="inlineStr">
        <is>
          <t>ENERO</t>
        </is>
      </c>
    </row>
    <row r="14" ht="18.75" customHeight="1">
      <c r="A14" s="973" t="n"/>
      <c r="B14" s="971" t="n"/>
      <c r="C14" s="972" t="n"/>
      <c r="D14" s="973" t="n"/>
      <c r="E14" s="994" t="n"/>
      <c r="F14" s="994" t="n"/>
      <c r="G14" s="973" t="n"/>
      <c r="H14" s="994" t="n"/>
      <c r="I14" s="994" t="n"/>
      <c r="J14" s="973" t="n"/>
      <c r="K14" s="973" t="n"/>
      <c r="L14" s="253" t="n">
        <v>3000</v>
      </c>
      <c r="M14" s="254" t="inlineStr">
        <is>
          <t>0375MA027</t>
        </is>
      </c>
      <c r="N14" s="254" t="inlineStr">
        <is>
          <t>Serum</t>
        </is>
      </c>
      <c r="O14" s="1183" t="inlineStr">
        <is>
          <t>30/06/2027</t>
        </is>
      </c>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inlineStr">
        <is>
          <t>ANTIOQUIA</t>
        </is>
      </c>
      <c r="AZ14" s="231" t="inlineStr">
        <is>
          <t>MAYO</t>
        </is>
      </c>
    </row>
    <row r="15" ht="18.75" customHeight="1">
      <c r="A15" s="973" t="n"/>
      <c r="B15" s="971" t="n"/>
      <c r="C15" s="972" t="n"/>
      <c r="D15" s="973" t="n"/>
      <c r="E15" s="994" t="n"/>
      <c r="F15" s="994" t="n"/>
      <c r="G15" s="973" t="n"/>
      <c r="H15" s="994" t="n"/>
      <c r="I15" s="994" t="n"/>
      <c r="J15" s="973" t="n"/>
      <c r="K15" s="973" t="n"/>
      <c r="L15" s="253" t="n"/>
      <c r="M15" s="254" t="n"/>
      <c r="N15" s="254" t="n"/>
      <c r="O15" s="1183" t="n"/>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73"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inlineStr">
        <is>
          <t>ATLANTICO</t>
        </is>
      </c>
      <c r="AZ16" s="231" t="inlineStr">
        <is>
          <t>MAYO</t>
        </is>
      </c>
    </row>
    <row r="17" ht="18.75" customHeight="1">
      <c r="A17" s="973" t="n"/>
      <c r="B17" s="971" t="n"/>
      <c r="C17" s="972" t="n"/>
      <c r="D17" s="973"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inlineStr">
        <is>
          <t>BARRANQUILLA</t>
        </is>
      </c>
      <c r="AZ17" s="231" t="inlineStr">
        <is>
          <t>MAYO</t>
        </is>
      </c>
    </row>
    <row r="18" ht="18.75" customHeight="1">
      <c r="A18" s="975" t="n"/>
      <c r="B18" s="1182" t="n"/>
      <c r="C18" s="1103" t="n"/>
      <c r="D18" s="975"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JUNIO</t>
        </is>
      </c>
    </row>
    <row r="19" ht="18.75" customHeight="1">
      <c r="A19" s="741">
        <f>A13+1</f>
        <v/>
      </c>
      <c r="B19" s="733" t="inlineStr">
        <is>
          <t>Vacuna de Hepatitis B Recombinante Pediátrica - Liquida</t>
        </is>
      </c>
      <c r="C19" s="965" t="n"/>
      <c r="D19" s="496">
        <f>MAYO!K19</f>
        <v/>
      </c>
      <c r="E19" s="731" t="n">
        <v>2000</v>
      </c>
      <c r="F19" s="731" t="n"/>
      <c r="G19" s="730">
        <f>E19+F19</f>
        <v/>
      </c>
      <c r="H19" s="731" t="n">
        <v>506</v>
      </c>
      <c r="I19" s="731" t="n"/>
      <c r="J19" s="732">
        <f>AM19</f>
        <v/>
      </c>
      <c r="K19" s="738">
        <f>+(D19+G19)-(H19+I19+J19)</f>
        <v/>
      </c>
      <c r="L19" s="253" t="n">
        <v>2</v>
      </c>
      <c r="M19" s="254" t="inlineStr">
        <is>
          <t>0324L013A</t>
        </is>
      </c>
      <c r="N19" s="254" t="inlineStr">
        <is>
          <t>Serum</t>
        </is>
      </c>
      <c r="O19" s="1183" t="inlineStr">
        <is>
          <t>30/11/2027</t>
        </is>
      </c>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inlineStr">
        <is>
          <t>BOLIVAR</t>
        </is>
      </c>
      <c r="AZ19" s="231" t="inlineStr">
        <is>
          <t>JULIO</t>
        </is>
      </c>
    </row>
    <row r="20" ht="18.75" customHeight="1">
      <c r="A20" s="973" t="n"/>
      <c r="B20" s="971" t="n"/>
      <c r="C20" s="972" t="n"/>
      <c r="D20" s="973" t="n"/>
      <c r="E20" s="994" t="n"/>
      <c r="F20" s="994" t="n"/>
      <c r="G20" s="973" t="n"/>
      <c r="H20" s="994" t="n"/>
      <c r="I20" s="994" t="n"/>
      <c r="J20" s="973" t="n"/>
      <c r="K20" s="973" t="n"/>
      <c r="L20" s="253" t="n">
        <v>24</v>
      </c>
      <c r="M20" s="254" t="inlineStr">
        <is>
          <t>0324L013B</t>
        </is>
      </c>
      <c r="N20" s="254" t="inlineStr">
        <is>
          <t>Serum</t>
        </is>
      </c>
      <c r="O20" s="1183" t="inlineStr">
        <is>
          <t>30/11/2027</t>
        </is>
      </c>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73" t="n"/>
      <c r="E21" s="994" t="n"/>
      <c r="F21" s="994" t="n"/>
      <c r="G21" s="973" t="n"/>
      <c r="H21" s="994" t="n"/>
      <c r="I21" s="994" t="n"/>
      <c r="J21" s="973" t="n"/>
      <c r="K21" s="973" t="n"/>
      <c r="L21" s="253" t="n">
        <v>7</v>
      </c>
      <c r="M21" s="254" t="inlineStr">
        <is>
          <t>0325Q010B</t>
        </is>
      </c>
      <c r="N21" s="254" t="inlineStr">
        <is>
          <t>Sinovac</t>
        </is>
      </c>
      <c r="O21" s="1183" t="inlineStr">
        <is>
          <t>25/04/2028</t>
        </is>
      </c>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inlineStr">
        <is>
          <t>CARTAGENA</t>
        </is>
      </c>
      <c r="AZ21" s="231" t="inlineStr">
        <is>
          <t>AGOSTO</t>
        </is>
      </c>
    </row>
    <row r="22" ht="18.75" customHeight="1">
      <c r="A22" s="973" t="n"/>
      <c r="B22" s="971" t="n"/>
      <c r="C22" s="972" t="n"/>
      <c r="D22" s="973" t="n"/>
      <c r="E22" s="994" t="n"/>
      <c r="F22" s="994" t="n"/>
      <c r="G22" s="973" t="n"/>
      <c r="H22" s="994" t="n"/>
      <c r="I22" s="994" t="n"/>
      <c r="J22" s="973" t="n"/>
      <c r="K22" s="973" t="n"/>
      <c r="L22" s="253" t="n">
        <v>1600</v>
      </c>
      <c r="M22" s="254" t="inlineStr">
        <is>
          <t>0325Q010C</t>
        </is>
      </c>
      <c r="N22" s="254" t="inlineStr">
        <is>
          <t>Serum</t>
        </is>
      </c>
      <c r="O22" s="1183" t="inlineStr">
        <is>
          <t>31/03/2028</t>
        </is>
      </c>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inlineStr">
        <is>
          <t>BOYACA</t>
        </is>
      </c>
      <c r="AZ22" s="231" t="inlineStr">
        <is>
          <t>SEPTIEMBRE</t>
        </is>
      </c>
    </row>
    <row r="23" ht="18.75" customHeight="1">
      <c r="A23" s="973" t="n"/>
      <c r="B23" s="971" t="n"/>
      <c r="C23" s="972" t="n"/>
      <c r="D23" s="973"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inlineStr">
        <is>
          <t>CAQUETA</t>
        </is>
      </c>
      <c r="AZ23" s="231" t="inlineStr">
        <is>
          <t>NOVIEMBRE</t>
        </is>
      </c>
    </row>
    <row r="24" ht="18.75" customHeight="1">
      <c r="A24" s="975" t="n"/>
      <c r="B24" s="1182" t="n"/>
      <c r="C24" s="1103" t="n"/>
      <c r="D24" s="975"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496">
        <f>MAYO!K25</f>
        <v/>
      </c>
      <c r="E25" s="731" t="n">
        <v>400</v>
      </c>
      <c r="F25" s="731" t="n"/>
      <c r="G25" s="730">
        <f>E25+F25</f>
        <v/>
      </c>
      <c r="H25" s="731" t="n">
        <v>318</v>
      </c>
      <c r="I25" s="731" t="n"/>
      <c r="J25" s="732">
        <f>AM25</f>
        <v/>
      </c>
      <c r="K25" s="738">
        <f>+(D25+G25)-(H25+I25+J25)</f>
        <v/>
      </c>
      <c r="L25" s="253" t="n">
        <v>82</v>
      </c>
      <c r="M25" s="254" t="inlineStr">
        <is>
          <t>0345L003B</t>
        </is>
      </c>
      <c r="N25" s="254" t="inlineStr">
        <is>
          <t>Serum</t>
        </is>
      </c>
      <c r="O25" s="1183" t="inlineStr">
        <is>
          <t>31/12/2027</t>
        </is>
      </c>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inlineStr">
        <is>
          <t>BOLIVAR</t>
        </is>
      </c>
    </row>
    <row r="26" ht="18.75" customHeight="1">
      <c r="A26" s="973" t="n"/>
      <c r="B26" s="971" t="n"/>
      <c r="C26" s="972" t="n"/>
      <c r="D26" s="973"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73"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inlineStr">
        <is>
          <t>CARTAGENA</t>
        </is>
      </c>
    </row>
    <row r="28" ht="18.75" customHeight="1">
      <c r="A28" s="973" t="n"/>
      <c r="B28" s="971" t="n"/>
      <c r="C28" s="972" t="n"/>
      <c r="D28" s="973"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inlineStr">
        <is>
          <t>BOYACA</t>
        </is>
      </c>
    </row>
    <row r="29" ht="18.75" customHeight="1">
      <c r="A29" s="973" t="n"/>
      <c r="B29" s="971" t="n"/>
      <c r="C29" s="972" t="n"/>
      <c r="D29" s="973"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inlineStr">
        <is>
          <t>CAQUETA</t>
        </is>
      </c>
    </row>
    <row r="30" ht="18.75" customHeight="1">
      <c r="A30" s="975" t="n"/>
      <c r="B30" s="1182" t="n"/>
      <c r="C30" s="1103" t="n"/>
      <c r="D30" s="975"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496">
        <f>MAYO!K31</f>
        <v/>
      </c>
      <c r="E31" s="731" t="n">
        <v>12000</v>
      </c>
      <c r="F31" s="731" t="n"/>
      <c r="G31" s="730">
        <f>E31+F31</f>
        <v/>
      </c>
      <c r="H31" s="731" t="n">
        <v>3000</v>
      </c>
      <c r="I31" s="731" t="n"/>
      <c r="J31" s="732">
        <f>AM31</f>
        <v/>
      </c>
      <c r="K31" s="738">
        <f>+(D31+G31)-(H31+I31+J31)</f>
        <v/>
      </c>
      <c r="L31" s="253" t="n">
        <v>2690</v>
      </c>
      <c r="M31" s="254" t="inlineStr">
        <is>
          <t>2526003A</t>
        </is>
      </c>
      <c r="N31" s="254" t="inlineStr">
        <is>
          <t>Bilthoven Biologicals BV</t>
        </is>
      </c>
      <c r="O31" s="1183" t="inlineStr">
        <is>
          <t>12/06/2028</t>
        </is>
      </c>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inlineStr">
        <is>
          <t>CAUCA</t>
        </is>
      </c>
    </row>
    <row r="32" ht="18.75" customHeight="1">
      <c r="A32" s="973" t="n"/>
      <c r="B32" s="971" t="n"/>
      <c r="C32" s="972" t="n"/>
      <c r="D32" s="973" t="n"/>
      <c r="E32" s="994" t="n"/>
      <c r="F32" s="994" t="n"/>
      <c r="G32" s="973" t="n"/>
      <c r="H32" s="994" t="n"/>
      <c r="I32" s="994" t="n"/>
      <c r="J32" s="973" t="n"/>
      <c r="K32" s="973" t="n"/>
      <c r="L32" s="253" t="n">
        <v>4175</v>
      </c>
      <c r="M32" s="254" t="inlineStr">
        <is>
          <t>2522006A</t>
        </is>
      </c>
      <c r="N32" s="254" t="inlineStr">
        <is>
          <t>Bilthoven Biologicals BV</t>
        </is>
      </c>
      <c r="O32" s="1183" t="inlineStr">
        <is>
          <t>25/02/2028</t>
        </is>
      </c>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73" t="n"/>
      <c r="E33" s="994" t="n"/>
      <c r="F33" s="994" t="n"/>
      <c r="G33" s="973" t="n"/>
      <c r="H33" s="994" t="n"/>
      <c r="I33" s="994" t="n"/>
      <c r="J33" s="973" t="n"/>
      <c r="K33" s="973" t="n"/>
      <c r="L33" s="253" t="n">
        <v>12000</v>
      </c>
      <c r="M33" s="254" t="inlineStr">
        <is>
          <t>MB202602003</t>
        </is>
      </c>
      <c r="N33" s="254" t="inlineStr">
        <is>
          <t>Sinovac</t>
        </is>
      </c>
      <c r="O33" s="1183" t="inlineStr">
        <is>
          <t>02/02/2028</t>
        </is>
      </c>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inlineStr">
        <is>
          <t>CESAR</t>
        </is>
      </c>
    </row>
    <row r="34" ht="18.75" customHeight="1">
      <c r="A34" s="973" t="n"/>
      <c r="B34" s="971" t="n"/>
      <c r="C34" s="972" t="n"/>
      <c r="D34" s="973"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inlineStr">
        <is>
          <t>CHOCO</t>
        </is>
      </c>
    </row>
    <row r="35" ht="18.75" customHeight="1">
      <c r="A35" s="973" t="n"/>
      <c r="B35" s="971" t="n"/>
      <c r="C35" s="972" t="n"/>
      <c r="D35" s="973"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inlineStr">
        <is>
          <t>CORDOBA</t>
        </is>
      </c>
    </row>
    <row r="36" ht="18.75" customHeight="1">
      <c r="A36" s="975" t="n"/>
      <c r="B36" s="1182" t="n"/>
      <c r="C36" s="1103" t="n"/>
      <c r="D36" s="975"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496">
        <f>MAYO!K37</f>
        <v/>
      </c>
      <c r="E37" s="731" t="n">
        <v>9000</v>
      </c>
      <c r="F37" s="731" t="n"/>
      <c r="G37" s="730">
        <f>E37+F37</f>
        <v/>
      </c>
      <c r="H37" s="731" t="n">
        <v>1775</v>
      </c>
      <c r="I37" s="731" t="n"/>
      <c r="J37" s="732">
        <f>AM37</f>
        <v/>
      </c>
      <c r="K37" s="738">
        <f>+(D37+G37)-(H37+I37+J37)</f>
        <v/>
      </c>
      <c r="L37" s="253" t="n">
        <v>2300</v>
      </c>
      <c r="M37" s="254" t="inlineStr">
        <is>
          <t>2855X002C</t>
        </is>
      </c>
      <c r="N37" s="254" t="inlineStr">
        <is>
          <t>Serum</t>
        </is>
      </c>
      <c r="O37" s="1183" t="inlineStr">
        <is>
          <t>30/06/2027</t>
        </is>
      </c>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inlineStr">
        <is>
          <t>NARIÑO</t>
        </is>
      </c>
    </row>
    <row r="38" ht="19.5" customHeight="1">
      <c r="A38" s="973" t="n"/>
      <c r="B38" s="971" t="n"/>
      <c r="C38" s="972" t="n"/>
      <c r="D38" s="973" t="n"/>
      <c r="E38" s="994" t="n"/>
      <c r="F38" s="994" t="n"/>
      <c r="G38" s="973" t="n"/>
      <c r="H38" s="994" t="n"/>
      <c r="I38" s="994" t="n"/>
      <c r="J38" s="973" t="n"/>
      <c r="K38" s="973" t="n"/>
      <c r="L38" s="253" t="n">
        <v>250</v>
      </c>
      <c r="M38" s="254" t="inlineStr">
        <is>
          <t>2855X001A</t>
        </is>
      </c>
      <c r="N38" s="254" t="inlineStr">
        <is>
          <t>Serum</t>
        </is>
      </c>
      <c r="O38" s="1183" t="inlineStr">
        <is>
          <t>30/06/2027</t>
        </is>
      </c>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73" t="n"/>
      <c r="E39" s="994" t="n"/>
      <c r="F39" s="994" t="n"/>
      <c r="G39" s="973" t="n"/>
      <c r="H39" s="994" t="n"/>
      <c r="I39" s="994" t="n"/>
      <c r="J39" s="973" t="n"/>
      <c r="K39" s="973" t="n"/>
      <c r="L39" s="253" t="n">
        <v>9000</v>
      </c>
      <c r="M39" s="254" t="inlineStr">
        <is>
          <t>2855X008E</t>
        </is>
      </c>
      <c r="N39" s="254" t="inlineStr">
        <is>
          <t>Serum</t>
        </is>
      </c>
      <c r="O39" s="1183" t="inlineStr">
        <is>
          <t>31/08/2027</t>
        </is>
      </c>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inlineStr">
        <is>
          <t>NORTE DE SANTANDER</t>
        </is>
      </c>
    </row>
    <row r="40" ht="19.5" customHeight="1">
      <c r="A40" s="973" t="n"/>
      <c r="B40" s="971" t="n"/>
      <c r="C40" s="972" t="n"/>
      <c r="D40" s="973"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73"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inlineStr">
        <is>
          <t>PUTUMAYO</t>
        </is>
      </c>
    </row>
    <row r="42" ht="19.5" customHeight="1">
      <c r="A42" s="975" t="n"/>
      <c r="B42" s="1182" t="n"/>
      <c r="C42" s="1103" t="n"/>
      <c r="D42" s="975"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496">
        <f>MAYO!K43</f>
        <v/>
      </c>
      <c r="E43" s="731" t="n">
        <v>170</v>
      </c>
      <c r="F43" s="731" t="n"/>
      <c r="G43" s="730">
        <f>E43+F43</f>
        <v/>
      </c>
      <c r="H43" s="731" t="n">
        <v>62</v>
      </c>
      <c r="I43" s="731" t="n"/>
      <c r="J43" s="732">
        <f>AM43</f>
        <v/>
      </c>
      <c r="K43" s="706">
        <f>+(D43+G43)-(H43+I43+J43)</f>
        <v/>
      </c>
      <c r="L43" s="253" t="n">
        <v>108</v>
      </c>
      <c r="M43" s="254" t="inlineStr">
        <is>
          <t>Y3C49</t>
        </is>
      </c>
      <c r="N43" s="254" t="inlineStr">
        <is>
          <t>Sanofi Pasteur</t>
        </is>
      </c>
      <c r="O43" s="1183" t="inlineStr">
        <is>
          <t>29/02/2028</t>
        </is>
      </c>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inlineStr">
        <is>
          <t>NARIÑO</t>
        </is>
      </c>
    </row>
    <row r="44" ht="19.5" customHeight="1">
      <c r="A44" s="973" t="n"/>
      <c r="B44" s="971" t="n"/>
      <c r="C44" s="972" t="n"/>
      <c r="D44" s="973"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73"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inlineStr">
        <is>
          <t>NORTE DE SANTANDER</t>
        </is>
      </c>
    </row>
    <row r="46" ht="19.5" customHeight="1">
      <c r="A46" s="973" t="n"/>
      <c r="B46" s="971" t="n"/>
      <c r="C46" s="972" t="n"/>
      <c r="D46" s="973"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inlineStr">
        <is>
          <t>PUTUMAYO</t>
        </is>
      </c>
    </row>
    <row r="47" ht="19.5" customHeight="1">
      <c r="A47" s="973" t="n"/>
      <c r="B47" s="971" t="n"/>
      <c r="C47" s="972" t="n"/>
      <c r="D47" s="973"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inlineStr">
        <is>
          <t>QUINDIO</t>
        </is>
      </c>
    </row>
    <row r="48" ht="19.5" customHeight="1">
      <c r="A48" s="975" t="n"/>
      <c r="B48" s="1182" t="n"/>
      <c r="C48" s="1103" t="n"/>
      <c r="D48" s="975"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496">
        <f>MAYO!K49</f>
        <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inlineStr">
        <is>
          <t>NARIÑO</t>
        </is>
      </c>
    </row>
    <row r="50" ht="19.5" customHeight="1">
      <c r="A50" s="973" t="n"/>
      <c r="B50" s="971" t="n"/>
      <c r="C50" s="972" t="n"/>
      <c r="D50" s="973"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73"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inlineStr">
        <is>
          <t>NORTE DE SANTANDER</t>
        </is>
      </c>
    </row>
    <row r="52" ht="19.5" customHeight="1">
      <c r="A52" s="973" t="n"/>
      <c r="B52" s="971" t="n"/>
      <c r="C52" s="972" t="n"/>
      <c r="D52" s="973"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inlineStr">
        <is>
          <t>PUTUMAYO</t>
        </is>
      </c>
    </row>
    <row r="53" ht="19.5" customHeight="1">
      <c r="A53" s="973" t="n"/>
      <c r="B53" s="971" t="n"/>
      <c r="C53" s="972" t="n"/>
      <c r="D53" s="973"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inlineStr">
        <is>
          <t>QUINDIO</t>
        </is>
      </c>
    </row>
    <row r="54" ht="19.5" customHeight="1">
      <c r="A54" s="975" t="n"/>
      <c r="B54" s="1182" t="n"/>
      <c r="C54" s="1103" t="n"/>
      <c r="D54" s="975"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496">
        <f>MAYO!K55</f>
        <v/>
      </c>
      <c r="E55" s="731" t="n">
        <v>4320</v>
      </c>
      <c r="F55" s="731" t="n"/>
      <c r="G55" s="730">
        <f>E55+F55</f>
        <v/>
      </c>
      <c r="H55" s="731" t="n">
        <v>830</v>
      </c>
      <c r="I55" s="731" t="n"/>
      <c r="J55" s="732">
        <f>AM55</f>
        <v/>
      </c>
      <c r="K55" s="738">
        <f>+(D55+G55)-(H55+I55+J55)</f>
        <v/>
      </c>
      <c r="L55" s="253" t="n">
        <v>150</v>
      </c>
      <c r="M55" s="254" t="inlineStr">
        <is>
          <t>2825Q005A</t>
        </is>
      </c>
      <c r="N55" s="254" t="inlineStr">
        <is>
          <t>Serum</t>
        </is>
      </c>
      <c r="O55" s="1183" t="inlineStr">
        <is>
          <t>28/02/2027</t>
        </is>
      </c>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inlineStr">
        <is>
          <t>SANTANDER</t>
        </is>
      </c>
    </row>
    <row r="56" ht="19.5" customHeight="1">
      <c r="A56" s="973" t="n"/>
      <c r="B56" s="971" t="n"/>
      <c r="C56" s="972" t="n"/>
      <c r="D56" s="973" t="n"/>
      <c r="E56" s="994" t="n"/>
      <c r="F56" s="994" t="n"/>
      <c r="G56" s="973" t="n"/>
      <c r="H56" s="994" t="n"/>
      <c r="I56" s="994" t="n"/>
      <c r="J56" s="973" t="n"/>
      <c r="K56" s="973" t="n"/>
      <c r="L56" s="253" t="n">
        <v>4320</v>
      </c>
      <c r="M56" s="254" t="inlineStr">
        <is>
          <t>2825X014A</t>
        </is>
      </c>
      <c r="N56" s="254" t="inlineStr">
        <is>
          <t>Serum</t>
        </is>
      </c>
      <c r="O56" s="1183" t="inlineStr">
        <is>
          <t>30/09/2027</t>
        </is>
      </c>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73"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inlineStr">
        <is>
          <t>SUCRE</t>
        </is>
      </c>
    </row>
    <row r="58" ht="19.5" customHeight="1">
      <c r="A58" s="973" t="n"/>
      <c r="B58" s="971" t="n"/>
      <c r="C58" s="972" t="n"/>
      <c r="D58" s="973"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inlineStr">
        <is>
          <t>TOLIMA</t>
        </is>
      </c>
    </row>
    <row r="59" ht="19.5" customHeight="1">
      <c r="A59" s="973" t="n"/>
      <c r="B59" s="971" t="n"/>
      <c r="C59" s="972" t="n"/>
      <c r="D59" s="973"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inlineStr">
        <is>
          <t>VALLE</t>
        </is>
      </c>
    </row>
    <row r="60" ht="19.5" customHeight="1">
      <c r="A60" s="975" t="n"/>
      <c r="B60" s="971" t="n"/>
      <c r="C60" s="972" t="n"/>
      <c r="D60" s="975"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496">
        <f>MAYO!K61</f>
        <v/>
      </c>
      <c r="E61" s="731" t="n"/>
      <c r="F61" s="731" t="n"/>
      <c r="G61" s="730">
        <f>E61+F61</f>
        <v/>
      </c>
      <c r="H61" s="731" t="n"/>
      <c r="I61" s="731" t="n"/>
      <c r="J61" s="732">
        <f>AM61</f>
        <v/>
      </c>
      <c r="K61" s="738">
        <f>+(D61+G61)-(H61+I61+J61)</f>
        <v/>
      </c>
      <c r="L61" s="253" t="n">
        <v>5</v>
      </c>
      <c r="M61" s="254" t="inlineStr">
        <is>
          <t>4CA34C1</t>
        </is>
      </c>
      <c r="N61" s="254" t="inlineStr">
        <is>
          <t>Sanofi Pasteur</t>
        </is>
      </c>
      <c r="O61" s="1183" t="inlineStr">
        <is>
          <t>31/05/2027</t>
        </is>
      </c>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inlineStr">
        <is>
          <t>VICHADA</t>
        </is>
      </c>
    </row>
    <row r="62" ht="19.5" customHeight="1">
      <c r="A62" s="973" t="n"/>
      <c r="B62" s="971" t="n"/>
      <c r="C62" s="972" t="n"/>
      <c r="D62" s="973"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73"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73"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73"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75"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496">
        <f>MAYO!K67</f>
        <v/>
      </c>
      <c r="E67" s="731" t="n">
        <v>4500</v>
      </c>
      <c r="F67" s="731" t="n"/>
      <c r="G67" s="730">
        <f>E67+F67</f>
        <v/>
      </c>
      <c r="H67" s="731" t="n">
        <v>1033</v>
      </c>
      <c r="I67" s="731" t="n"/>
      <c r="J67" s="732">
        <f>AM67</f>
        <v/>
      </c>
      <c r="K67" s="738">
        <f>+(D67+G67)-(H67+I67+J67)</f>
        <v/>
      </c>
      <c r="L67" s="253" t="n">
        <v>40</v>
      </c>
      <c r="M67" s="254" t="inlineStr">
        <is>
          <t>AROLE419AA</t>
        </is>
      </c>
      <c r="N67" s="254" t="inlineStr">
        <is>
          <t>Glaxo SmithKline</t>
        </is>
      </c>
      <c r="O67" s="1183" t="inlineStr">
        <is>
          <t>30/09/2027</t>
        </is>
      </c>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73" t="n"/>
      <c r="E68" s="994" t="n"/>
      <c r="F68" s="994" t="n"/>
      <c r="G68" s="973" t="n"/>
      <c r="H68" s="994" t="n"/>
      <c r="I68" s="994" t="n"/>
      <c r="J68" s="973" t="n"/>
      <c r="K68" s="973" t="n"/>
      <c r="L68" s="253" t="n">
        <v>4200</v>
      </c>
      <c r="M68" s="254" t="inlineStr">
        <is>
          <t>AROLE487AA</t>
        </is>
      </c>
      <c r="N68" s="254" t="inlineStr">
        <is>
          <t>Glaxo SmithKline</t>
        </is>
      </c>
      <c r="O68" s="1183" t="inlineStr">
        <is>
          <t>31/01/2028</t>
        </is>
      </c>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73" t="n"/>
      <c r="E69" s="994" t="n"/>
      <c r="F69" s="994" t="n"/>
      <c r="G69" s="973" t="n"/>
      <c r="H69" s="994" t="n"/>
      <c r="I69" s="994" t="n"/>
      <c r="J69" s="973" t="n"/>
      <c r="K69" s="973" t="n"/>
      <c r="L69" s="253" t="n"/>
      <c r="M69" s="254" t="n"/>
      <c r="N69" s="254" t="n"/>
      <c r="O69" s="1183" t="n"/>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73"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73"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75"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496">
        <f>MAYO!K73</f>
        <v/>
      </c>
      <c r="E73" s="731" t="n">
        <v>6000</v>
      </c>
      <c r="F73" s="731" t="n"/>
      <c r="G73" s="730">
        <f>E73+F73</f>
        <v/>
      </c>
      <c r="H73" s="731" t="n">
        <v>1540</v>
      </c>
      <c r="I73" s="731" t="n"/>
      <c r="J73" s="732">
        <f>AM73</f>
        <v/>
      </c>
      <c r="K73" s="738">
        <f>+(D73+G73)-(H73+I73+J73)</f>
        <v/>
      </c>
      <c r="L73" s="253" t="n">
        <v>45</v>
      </c>
      <c r="M73" s="254" t="inlineStr">
        <is>
          <t>LK3156</t>
        </is>
      </c>
      <c r="N73" s="254" t="inlineStr">
        <is>
          <t>PFIZER</t>
        </is>
      </c>
      <c r="O73" s="1183" t="inlineStr">
        <is>
          <t>31/05/2027</t>
        </is>
      </c>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73" t="n"/>
      <c r="E74" s="994" t="n"/>
      <c r="F74" s="994" t="n"/>
      <c r="G74" s="973" t="n"/>
      <c r="H74" s="994" t="n"/>
      <c r="I74" s="994" t="n"/>
      <c r="J74" s="973" t="n"/>
      <c r="K74" s="973" t="n"/>
      <c r="L74" s="253" t="n">
        <v>850</v>
      </c>
      <c r="M74" s="254" t="inlineStr">
        <is>
          <t>LR6371</t>
        </is>
      </c>
      <c r="N74" s="254" t="inlineStr">
        <is>
          <t>PFIZER</t>
        </is>
      </c>
      <c r="O74" s="1183" t="inlineStr">
        <is>
          <t>30/09/2027</t>
        </is>
      </c>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73" t="n"/>
      <c r="E75" s="994" t="n"/>
      <c r="F75" s="994" t="n"/>
      <c r="G75" s="973" t="n"/>
      <c r="H75" s="994" t="n"/>
      <c r="I75" s="994" t="n"/>
      <c r="J75" s="973" t="n"/>
      <c r="K75" s="973" t="n"/>
      <c r="L75" s="253" t="n">
        <v>6000</v>
      </c>
      <c r="M75" s="254" t="inlineStr">
        <is>
          <t>ND3068</t>
        </is>
      </c>
      <c r="N75" s="254" t="inlineStr">
        <is>
          <t>PFIZER</t>
        </is>
      </c>
      <c r="O75" s="1183" t="inlineStr">
        <is>
          <t>31/07/2028</t>
        </is>
      </c>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73"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73"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75"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496">
        <f>MAYO!K79</f>
        <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73"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73"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73"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73"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75"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496">
        <f>MAYO!K85</f>
        <v/>
      </c>
      <c r="E85" s="731" t="n">
        <v>1500</v>
      </c>
      <c r="F85" s="731" t="n"/>
      <c r="G85" s="730">
        <f>E85+F85</f>
        <v/>
      </c>
      <c r="H85" s="731" t="n">
        <v>1460</v>
      </c>
      <c r="I85" s="731" t="n"/>
      <c r="J85" s="732">
        <f>AM85</f>
        <v/>
      </c>
      <c r="K85" s="738">
        <f>+(D85+G85)-(H85+I85+J85)</f>
        <v/>
      </c>
      <c r="L85" s="253" t="n">
        <v>9</v>
      </c>
      <c r="M85" s="254" t="inlineStr">
        <is>
          <t>0133N146B</t>
        </is>
      </c>
      <c r="N85" s="254" t="inlineStr">
        <is>
          <t>Serum</t>
        </is>
      </c>
      <c r="O85" s="1183" t="inlineStr">
        <is>
          <t>30/09/2026</t>
        </is>
      </c>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73" t="n"/>
      <c r="E86" s="994" t="n"/>
      <c r="F86" s="994" t="n"/>
      <c r="G86" s="973" t="n"/>
      <c r="H86" s="994" t="n"/>
      <c r="I86" s="994" t="n"/>
      <c r="J86" s="973" t="n"/>
      <c r="K86" s="973" t="n"/>
      <c r="L86" s="253" t="n">
        <v>3431</v>
      </c>
      <c r="M86" s="254" t="inlineStr">
        <is>
          <t>0134N093A</t>
        </is>
      </c>
      <c r="N86" s="254" t="inlineStr">
        <is>
          <t>Serum</t>
        </is>
      </c>
      <c r="O86" s="1183" t="inlineStr">
        <is>
          <t>30/04/2027</t>
        </is>
      </c>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73" t="n"/>
      <c r="E87" s="994" t="n"/>
      <c r="F87" s="994" t="n"/>
      <c r="G87" s="973" t="n"/>
      <c r="H87" s="994" t="n"/>
      <c r="I87" s="994" t="n"/>
      <c r="J87" s="973" t="n"/>
      <c r="K87" s="973" t="n"/>
      <c r="L87" s="253" t="n">
        <v>1998</v>
      </c>
      <c r="M87" s="254" t="inlineStr">
        <is>
          <t>0134N096A</t>
        </is>
      </c>
      <c r="N87" s="254" t="inlineStr">
        <is>
          <t>Serum</t>
        </is>
      </c>
      <c r="O87" s="1183" t="inlineStr">
        <is>
          <t>30/04/2027</t>
        </is>
      </c>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73" t="n"/>
      <c r="E88" s="994" t="n"/>
      <c r="F88" s="994" t="n"/>
      <c r="G88" s="973" t="n"/>
      <c r="H88" s="994" t="n"/>
      <c r="I88" s="994" t="n"/>
      <c r="J88" s="973" t="n"/>
      <c r="K88" s="973" t="n"/>
      <c r="L88" s="253" t="n">
        <v>4200</v>
      </c>
      <c r="M88" s="254" t="inlineStr">
        <is>
          <t>0135AB117</t>
        </is>
      </c>
      <c r="N88" s="254" t="inlineStr">
        <is>
          <t>Serum</t>
        </is>
      </c>
      <c r="O88" s="1183" t="inlineStr">
        <is>
          <t>31/12/2027</t>
        </is>
      </c>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73"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75"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496">
        <f>MAYO!K91</f>
        <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73"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73"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73"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73"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75"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496">
        <f>MAYO!K97</f>
        <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73"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73"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73"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73"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75"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496">
        <f>MAYO!K103</f>
        <v/>
      </c>
      <c r="E103" s="731" t="n"/>
      <c r="F103" s="731" t="n"/>
      <c r="G103" s="730">
        <f>E103+F103</f>
        <v/>
      </c>
      <c r="H103" s="731" t="n">
        <v>4950</v>
      </c>
      <c r="I103" s="731" t="n"/>
      <c r="J103" s="732">
        <f>AM103</f>
        <v/>
      </c>
      <c r="K103" s="738">
        <f>+(D103+G103)-(H103+I103+J103)</f>
        <v/>
      </c>
      <c r="L103" s="253" t="n">
        <v>3870</v>
      </c>
      <c r="M103" s="254" t="inlineStr">
        <is>
          <t>0126N030</t>
        </is>
      </c>
      <c r="N103" s="254" t="inlineStr">
        <is>
          <t>Serum</t>
        </is>
      </c>
      <c r="O103" s="1183" t="inlineStr">
        <is>
          <t>2028-07-31 00:00:00</t>
        </is>
      </c>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73" t="n"/>
      <c r="E104" s="994" t="n"/>
      <c r="F104" s="994" t="n"/>
      <c r="G104" s="973" t="n"/>
      <c r="H104" s="994" t="n"/>
      <c r="I104" s="994" t="n"/>
      <c r="J104" s="973" t="n"/>
      <c r="K104" s="973" t="n"/>
      <c r="L104" s="253" t="n"/>
      <c r="M104" s="254" t="n"/>
      <c r="N104" s="254" t="n"/>
      <c r="O104" s="1183" t="n"/>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73"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73"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73"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75"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496">
        <f>MAYO!K109</f>
        <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73"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73"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73"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73"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75"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496">
        <f>MAYO!K115</f>
        <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73"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73"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73"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73"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75"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496">
        <f>MAYO!K121</f>
        <v/>
      </c>
      <c r="E121" s="731" t="n">
        <v>10000</v>
      </c>
      <c r="F121" s="731" t="n"/>
      <c r="G121" s="730">
        <f>E121+F121</f>
        <v/>
      </c>
      <c r="H121" s="731" t="n">
        <v>4280</v>
      </c>
      <c r="I121" s="731" t="n"/>
      <c r="J121" s="732">
        <f>AM121</f>
        <v/>
      </c>
      <c r="K121" s="738">
        <f>+(D121+G121)-(H121+I121+J121)</f>
        <v/>
      </c>
      <c r="L121" s="253" t="n">
        <v>190</v>
      </c>
      <c r="M121" s="254" t="inlineStr">
        <is>
          <t>Y3D32</t>
        </is>
      </c>
      <c r="N121" s="254" t="inlineStr">
        <is>
          <t>Sanofi Pasteur</t>
        </is>
      </c>
      <c r="O121" s="1183" t="inlineStr">
        <is>
          <t>30/04/2027</t>
        </is>
      </c>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73" t="n"/>
      <c r="E122" s="994" t="n"/>
      <c r="F122" s="994" t="n"/>
      <c r="G122" s="973" t="n"/>
      <c r="H122" s="994" t="n"/>
      <c r="I122" s="994" t="n"/>
      <c r="J122" s="973" t="n"/>
      <c r="K122" s="973" t="n"/>
      <c r="L122" s="253" t="n">
        <v>30000</v>
      </c>
      <c r="M122" s="254" t="inlineStr">
        <is>
          <t>Y3H33</t>
        </is>
      </c>
      <c r="N122" s="254" t="inlineStr">
        <is>
          <t>Sanofi Pasteur</t>
        </is>
      </c>
      <c r="O122" s="1183" t="inlineStr">
        <is>
          <t>31/08/2027</t>
        </is>
      </c>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73" t="n"/>
      <c r="E123" s="994" t="n"/>
      <c r="F123" s="994" t="n"/>
      <c r="G123" s="973" t="n"/>
      <c r="H123" s="994" t="n"/>
      <c r="I123" s="994" t="n"/>
      <c r="J123" s="973" t="n"/>
      <c r="K123" s="973" t="n"/>
      <c r="L123" s="253" t="n">
        <v>10000</v>
      </c>
      <c r="M123" s="254" t="inlineStr">
        <is>
          <t>515</t>
        </is>
      </c>
      <c r="N123" s="254" t="n"/>
      <c r="O123" s="1183" t="inlineStr">
        <is>
          <t>30/11/2027</t>
        </is>
      </c>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73"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73"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75"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496">
        <f>MAYO!K127</f>
        <v/>
      </c>
      <c r="E127" s="731" t="n">
        <v>400</v>
      </c>
      <c r="F127" s="731" t="n"/>
      <c r="G127" s="730">
        <f>E127+F127</f>
        <v/>
      </c>
      <c r="H127" s="731" t="n">
        <v>224</v>
      </c>
      <c r="I127" s="731" t="n"/>
      <c r="J127" s="732">
        <f>AM127</f>
        <v/>
      </c>
      <c r="K127" s="738">
        <f>+(D127+G127)-(H127+I127+J127)</f>
        <v/>
      </c>
      <c r="L127" s="253" t="n">
        <v>1</v>
      </c>
      <c r="M127" s="254" t="inlineStr">
        <is>
          <t>AB202404013</t>
        </is>
      </c>
      <c r="N127" s="254" t="inlineStr">
        <is>
          <t>Sinovac</t>
        </is>
      </c>
      <c r="O127" s="1183" t="inlineStr">
        <is>
          <t>21/10/2027</t>
        </is>
      </c>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73" t="n"/>
      <c r="E128" s="994" t="n"/>
      <c r="F128" s="994" t="n"/>
      <c r="G128" s="973" t="n"/>
      <c r="H128" s="994" t="n"/>
      <c r="I128" s="994" t="n"/>
      <c r="J128" s="973" t="n"/>
      <c r="K128" s="973" t="n"/>
      <c r="L128" s="253" t="n">
        <v>1150</v>
      </c>
      <c r="M128" s="254" t="inlineStr">
        <is>
          <t>AB202410043</t>
        </is>
      </c>
      <c r="N128" s="254" t="inlineStr">
        <is>
          <t>Sinovac</t>
        </is>
      </c>
      <c r="O128" s="1183" t="inlineStr">
        <is>
          <t>25/04/2028</t>
        </is>
      </c>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73" t="n"/>
      <c r="E129" s="994" t="n"/>
      <c r="F129" s="994" t="n"/>
      <c r="G129" s="973" t="n"/>
      <c r="H129" s="994" t="n"/>
      <c r="I129" s="994" t="n"/>
      <c r="J129" s="973" t="n"/>
      <c r="K129" s="973" t="n"/>
      <c r="L129" s="253" t="n">
        <v>390</v>
      </c>
      <c r="M129" s="254" t="inlineStr">
        <is>
          <t>B202411048</t>
        </is>
      </c>
      <c r="N129" s="254" t="inlineStr">
        <is>
          <t>Sinovac</t>
        </is>
      </c>
      <c r="O129" s="1183" t="inlineStr">
        <is>
          <t>03/05/2028</t>
        </is>
      </c>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73"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73"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75"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496">
        <f>MAYO!K133</f>
        <v/>
      </c>
      <c r="E133" s="731" t="n">
        <v>3000</v>
      </c>
      <c r="F133" s="731" t="n"/>
      <c r="G133" s="730">
        <f>E133+F133</f>
        <v/>
      </c>
      <c r="H133" s="731" t="n">
        <v>950</v>
      </c>
      <c r="I133" s="731" t="n"/>
      <c r="J133" s="732">
        <f>AM133</f>
        <v/>
      </c>
      <c r="K133" s="738">
        <f>+(D133+G133)-(H133+I133+J133)</f>
        <v/>
      </c>
      <c r="L133" s="253" t="n">
        <v>22</v>
      </c>
      <c r="M133" s="254" t="inlineStr">
        <is>
          <t>BB202506051</t>
        </is>
      </c>
      <c r="N133" s="254" t="inlineStr">
        <is>
          <t>Sinovac</t>
        </is>
      </c>
      <c r="O133" s="1183" t="inlineStr">
        <is>
          <t>12/06/2027</t>
        </is>
      </c>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73" t="n"/>
      <c r="E134" s="994" t="n"/>
      <c r="F134" s="994" t="n"/>
      <c r="G134" s="973" t="n"/>
      <c r="H134" s="994" t="n"/>
      <c r="I134" s="994" t="n"/>
      <c r="J134" s="973" t="n"/>
      <c r="K134" s="973" t="n"/>
      <c r="L134" s="253" t="n">
        <v>620</v>
      </c>
      <c r="M134" s="254" t="inlineStr">
        <is>
          <t>BB202506052</t>
        </is>
      </c>
      <c r="N134" s="254" t="inlineStr">
        <is>
          <t>Sinovac</t>
        </is>
      </c>
      <c r="O134" s="1183" t="inlineStr">
        <is>
          <t>16/06/2027</t>
        </is>
      </c>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73" t="n"/>
      <c r="E135" s="994" t="n"/>
      <c r="F135" s="994" t="n"/>
      <c r="G135" s="973" t="n"/>
      <c r="H135" s="994" t="n"/>
      <c r="I135" s="994" t="n"/>
      <c r="J135" s="973" t="n"/>
      <c r="K135" s="973" t="n"/>
      <c r="L135" s="253" t="n">
        <v>3000</v>
      </c>
      <c r="M135" s="254" t="inlineStr">
        <is>
          <t>B202507054</t>
        </is>
      </c>
      <c r="N135" s="254" t="inlineStr">
        <is>
          <t>Sinovac</t>
        </is>
      </c>
      <c r="O135" s="1183" t="inlineStr">
        <is>
          <t>05/07/2027</t>
        </is>
      </c>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73"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73"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75"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496">
        <f>MAYO!K139</f>
        <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73"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73"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73"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73"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75"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496">
        <f>MAYO!K145</f>
        <v/>
      </c>
      <c r="E145" s="731" t="n">
        <v>4000</v>
      </c>
      <c r="F145" s="731" t="n"/>
      <c r="G145" s="730">
        <f>E145+F145</f>
        <v/>
      </c>
      <c r="H145" s="731" t="n">
        <v>1150</v>
      </c>
      <c r="I145" s="731" t="n"/>
      <c r="J145" s="732">
        <f>AM145</f>
        <v/>
      </c>
      <c r="K145" s="738">
        <f>+(D145+G145)-(H145+I145+J145)</f>
        <v/>
      </c>
      <c r="L145" s="253" t="n">
        <v>10</v>
      </c>
      <c r="M145" s="254" t="inlineStr">
        <is>
          <t>2334L016E</t>
        </is>
      </c>
      <c r="N145" s="254" t="inlineStr">
        <is>
          <t>Serum</t>
        </is>
      </c>
      <c r="O145" s="1183" t="inlineStr">
        <is>
          <t>31/03/2027</t>
        </is>
      </c>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73" t="n"/>
      <c r="E146" s="994" t="n"/>
      <c r="F146" s="994" t="n"/>
      <c r="G146" s="973" t="n"/>
      <c r="H146" s="994" t="n"/>
      <c r="I146" s="994" t="n"/>
      <c r="J146" s="973" t="n"/>
      <c r="K146" s="973" t="n"/>
      <c r="L146" s="253" t="n">
        <v>5920</v>
      </c>
      <c r="M146" s="254" t="inlineStr">
        <is>
          <t>2335L013D</t>
        </is>
      </c>
      <c r="N146" s="254" t="inlineStr">
        <is>
          <t>Serum</t>
        </is>
      </c>
      <c r="O146" s="1183" t="inlineStr">
        <is>
          <t>30/04/2028</t>
        </is>
      </c>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73"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73"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73"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75"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496">
        <f>MAYO!K151</f>
        <v/>
      </c>
      <c r="E151" s="731" t="n">
        <v>1440</v>
      </c>
      <c r="F151" s="731" t="n"/>
      <c r="G151" s="730">
        <f>E151+F151</f>
        <v/>
      </c>
      <c r="H151" s="731" t="n">
        <v>546</v>
      </c>
      <c r="I151" s="731" t="n"/>
      <c r="J151" s="732">
        <f>AM151</f>
        <v/>
      </c>
      <c r="K151" s="738">
        <f>+(D151+G151)-(H151+I151+J151)</f>
        <v/>
      </c>
      <c r="L151" s="253" t="n">
        <v>424</v>
      </c>
      <c r="M151" s="254" t="inlineStr">
        <is>
          <t>5DA79D1</t>
        </is>
      </c>
      <c r="N151" s="254" t="inlineStr">
        <is>
          <t>Sanofi Pasteur</t>
        </is>
      </c>
      <c r="O151" s="1183" t="inlineStr">
        <is>
          <t>30/09/2028</t>
        </is>
      </c>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73" t="n"/>
      <c r="E152" s="994" t="n"/>
      <c r="F152" s="994" t="n"/>
      <c r="G152" s="973" t="n"/>
      <c r="H152" s="994" t="n"/>
      <c r="I152" s="994" t="n"/>
      <c r="J152" s="973" t="n"/>
      <c r="K152" s="973" t="n"/>
      <c r="L152" s="253" t="n">
        <v>1440</v>
      </c>
      <c r="M152" s="254" t="inlineStr">
        <is>
          <t>AC37B532AA</t>
        </is>
      </c>
      <c r="N152" s="254" t="inlineStr">
        <is>
          <t>Glaxo SmithKline</t>
        </is>
      </c>
      <c r="O152" s="1183" t="inlineStr">
        <is>
          <t>31/12/2028</t>
        </is>
      </c>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73"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73"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73"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75"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496">
        <f>MAYO!K157</f>
        <v/>
      </c>
      <c r="E157" s="731" t="n"/>
      <c r="F157" s="731" t="n"/>
      <c r="G157" s="730">
        <f>E157+F157</f>
        <v/>
      </c>
      <c r="H157" s="731" t="n">
        <v>1820</v>
      </c>
      <c r="I157" s="731" t="n"/>
      <c r="J157" s="732">
        <f>AM157</f>
        <v/>
      </c>
      <c r="K157" s="738">
        <f>+(D157+G157)-(H157+I157+J157)</f>
        <v/>
      </c>
      <c r="L157" s="253" t="n">
        <v>2800</v>
      </c>
      <c r="M157" s="254" t="inlineStr">
        <is>
          <t>2600761/00</t>
        </is>
      </c>
      <c r="N157" s="254" t="inlineStr">
        <is>
          <t>BUTANTAN</t>
        </is>
      </c>
      <c r="O157" s="1183" t="inlineStr">
        <is>
          <t>08/02/2027</t>
        </is>
      </c>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73"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73"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73"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73"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75"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496">
        <f>MAYO!K163</f>
        <v/>
      </c>
      <c r="E163" s="731" t="n"/>
      <c r="F163" s="731" t="n"/>
      <c r="G163" s="730">
        <f>E163+F163</f>
        <v/>
      </c>
      <c r="H163" s="731" t="n">
        <v>12800</v>
      </c>
      <c r="I163" s="731" t="n"/>
      <c r="J163" s="732">
        <f>AM163</f>
        <v/>
      </c>
      <c r="K163" s="738">
        <f>+(D163+G163)-(H163+I163+J163)</f>
        <v/>
      </c>
      <c r="L163" s="253" t="n">
        <v>270</v>
      </c>
      <c r="M163" s="254" t="inlineStr">
        <is>
          <t>2600761-00</t>
        </is>
      </c>
      <c r="N163" s="254" t="inlineStr">
        <is>
          <t>BUTANTAN</t>
        </is>
      </c>
      <c r="O163" s="1183" t="inlineStr">
        <is>
          <t>08/02/2027</t>
        </is>
      </c>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73" t="n"/>
      <c r="E164" s="994" t="n"/>
      <c r="F164" s="994" t="n"/>
      <c r="G164" s="973" t="n"/>
      <c r="H164" s="994" t="n"/>
      <c r="I164" s="994" t="n"/>
      <c r="J164" s="973" t="n"/>
      <c r="K164" s="973" t="n"/>
      <c r="L164" s="253" t="n">
        <v>19600</v>
      </c>
      <c r="M164" s="254" t="inlineStr">
        <is>
          <t>V50526006</t>
        </is>
      </c>
      <c r="N164" s="254" t="inlineStr">
        <is>
          <t>GC BIOPHARMA CORP</t>
        </is>
      </c>
      <c r="O164" s="1183" t="inlineStr">
        <is>
          <t>09/02/2026</t>
        </is>
      </c>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73" t="n"/>
      <c r="E165" s="994" t="n"/>
      <c r="F165" s="994" t="n"/>
      <c r="G165" s="973" t="n"/>
      <c r="H165" s="994" t="n"/>
      <c r="I165" s="994" t="n"/>
      <c r="J165" s="973" t="n"/>
      <c r="K165" s="973" t="n"/>
      <c r="L165" s="253" t="n"/>
      <c r="M165" s="254" t="n"/>
      <c r="N165" s="254" t="n"/>
      <c r="O165" s="1183" t="n"/>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73"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73"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75"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496">
        <f>MAYO!K169</f>
        <v/>
      </c>
      <c r="E169" s="731" t="n"/>
      <c r="F169" s="731" t="n"/>
      <c r="G169" s="730">
        <f>E169+F169</f>
        <v/>
      </c>
      <c r="H169" s="731" t="n">
        <v>615</v>
      </c>
      <c r="I169" s="731" t="n"/>
      <c r="J169" s="732">
        <f>AM169</f>
        <v/>
      </c>
      <c r="K169" s="738">
        <f>+(D169+G169)-(H169+I169+J169)</f>
        <v/>
      </c>
      <c r="L169" s="253" t="n">
        <v>1200</v>
      </c>
      <c r="M169" s="254" t="inlineStr">
        <is>
          <t>NJ0379</t>
        </is>
      </c>
      <c r="N169" s="254" t="inlineStr">
        <is>
          <t>PFIZER</t>
        </is>
      </c>
      <c r="O169" s="1183" t="inlineStr">
        <is>
          <t>2029-02-28 00:00:00</t>
        </is>
      </c>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73" t="n"/>
      <c r="E170" s="994" t="n"/>
      <c r="F170" s="994" t="n"/>
      <c r="G170" s="973" t="n"/>
      <c r="H170" s="994" t="n"/>
      <c r="I170" s="994" t="n"/>
      <c r="J170" s="973" t="n"/>
      <c r="K170" s="973" t="n"/>
      <c r="L170" s="253" t="n"/>
      <c r="M170" s="254"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73"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73"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73"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75"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496">
        <f>MAYO!K175</f>
        <v/>
      </c>
      <c r="E175" s="731" t="n">
        <v>4320</v>
      </c>
      <c r="F175" s="731" t="n"/>
      <c r="G175" s="730">
        <f>E175+F175</f>
        <v/>
      </c>
      <c r="H175" s="731" t="n">
        <v>2090</v>
      </c>
      <c r="I175" s="731" t="n"/>
      <c r="J175" s="732">
        <f>AM175</f>
        <v/>
      </c>
      <c r="K175" s="738">
        <f>+(D175+G175)-(H175+I175+J175)</f>
        <v/>
      </c>
      <c r="L175" s="253" t="n">
        <v>13</v>
      </c>
      <c r="M175" s="254" t="inlineStr">
        <is>
          <t>Y014828</t>
        </is>
      </c>
      <c r="N175" s="254" t="inlineStr">
        <is>
          <t>MERCK SHARP DOHME</t>
        </is>
      </c>
      <c r="O175" s="1183" t="inlineStr">
        <is>
          <t>31/05/2027</t>
        </is>
      </c>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73" t="n"/>
      <c r="E176" s="994" t="n"/>
      <c r="F176" s="994" t="n"/>
      <c r="G176" s="973" t="n"/>
      <c r="H176" s="994" t="n"/>
      <c r="I176" s="994" t="n"/>
      <c r="J176" s="973" t="n"/>
      <c r="K176" s="973" t="n"/>
      <c r="L176" s="253" t="n">
        <v>660</v>
      </c>
      <c r="M176" s="254" t="inlineStr">
        <is>
          <t>Y017576</t>
        </is>
      </c>
      <c r="N176" s="254" t="inlineStr">
        <is>
          <t>MERCK SHARP DOHME</t>
        </is>
      </c>
      <c r="O176" s="1183" t="inlineStr">
        <is>
          <t>05/06/2027</t>
        </is>
      </c>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73" t="n"/>
      <c r="E177" s="994" t="n"/>
      <c r="F177" s="994" t="n"/>
      <c r="G177" s="973" t="n"/>
      <c r="H177" s="994" t="n"/>
      <c r="I177" s="994" t="n"/>
      <c r="J177" s="973" t="n"/>
      <c r="K177" s="973" t="n"/>
      <c r="L177" s="253" t="n">
        <v>2880</v>
      </c>
      <c r="M177" s="254" t="inlineStr">
        <is>
          <t>Z004516</t>
        </is>
      </c>
      <c r="N177" s="254" t="inlineStr">
        <is>
          <t>MSD</t>
        </is>
      </c>
      <c r="O177" s="1183" t="inlineStr">
        <is>
          <t>22/09/2027</t>
        </is>
      </c>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73"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73"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75"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496">
        <f>MAYO!K181</f>
        <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73"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73"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73"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73"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75"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496">
        <f>MAYO!K187</f>
        <v/>
      </c>
      <c r="E187" s="731" t="n">
        <v>1300</v>
      </c>
      <c r="F187" s="731" t="n"/>
      <c r="G187" s="730">
        <f>E187+F187</f>
        <v/>
      </c>
      <c r="H187" s="731" t="n">
        <v>279</v>
      </c>
      <c r="I187" s="731" t="n"/>
      <c r="J187" s="732">
        <f>AM187</f>
        <v/>
      </c>
      <c r="K187" s="738">
        <f>+(D187+G187)-(H187+I187+J187)</f>
        <v/>
      </c>
      <c r="L187" s="253" t="n">
        <v>1300</v>
      </c>
      <c r="M187" s="254" t="inlineStr">
        <is>
          <t>1485O043</t>
        </is>
      </c>
      <c r="N187" s="254" t="inlineStr">
        <is>
          <t>Serum</t>
        </is>
      </c>
      <c r="O187" s="1183" t="inlineStr">
        <is>
          <t>31/03/2028</t>
        </is>
      </c>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73" t="n"/>
      <c r="E188" s="994" t="n"/>
      <c r="F188" s="994" t="n"/>
      <c r="G188" s="973" t="n"/>
      <c r="H188" s="994" t="n"/>
      <c r="I188" s="994" t="n"/>
      <c r="J188" s="973" t="n"/>
      <c r="K188" s="973" t="n"/>
      <c r="L188" s="253" t="n"/>
      <c r="M188" s="254" t="n"/>
      <c r="N188" s="254" t="n"/>
      <c r="O188" s="1183" t="n"/>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73"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73"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73"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75"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496">
        <f>MAYO!K193</f>
        <v/>
      </c>
      <c r="E193" s="731" t="n"/>
      <c r="F193" s="731" t="n"/>
      <c r="G193" s="730">
        <f>E193+F193</f>
        <v/>
      </c>
      <c r="H193" s="731" t="n"/>
      <c r="I193" s="731" t="n"/>
      <c r="J193" s="732">
        <f>AM193</f>
        <v/>
      </c>
      <c r="K193" s="738">
        <f>+(D193+G193)-(H193+I193+J193)</f>
        <v/>
      </c>
      <c r="L193" s="253" t="n">
        <v>78</v>
      </c>
      <c r="M193" s="254" t="inlineStr">
        <is>
          <t>P100819448</t>
        </is>
      </c>
      <c r="N193" s="254" t="inlineStr">
        <is>
          <t>CSL BEHRING</t>
        </is>
      </c>
      <c r="O193" s="1183" t="inlineStr">
        <is>
          <t>24/03/2028</t>
        </is>
      </c>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73"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73"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73"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73"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75"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496">
        <f>MAYO!K199</f>
        <v/>
      </c>
      <c r="E199" s="731" t="n"/>
      <c r="F199" s="731" t="n"/>
      <c r="G199" s="730">
        <f>E199+F199</f>
        <v/>
      </c>
      <c r="H199" s="731" t="n">
        <v>99</v>
      </c>
      <c r="I199" s="731" t="n"/>
      <c r="J199" s="732">
        <f>AM199</f>
        <v/>
      </c>
      <c r="K199" s="738">
        <f>+(D199+G199)-(H199+I199+J199)</f>
        <v/>
      </c>
      <c r="L199" s="253" t="n">
        <v>61</v>
      </c>
      <c r="M199" s="254" t="inlineStr">
        <is>
          <t>08AR25015</t>
        </is>
      </c>
      <c r="N199" s="254" t="inlineStr">
        <is>
          <t>VINS BIOPRODUCTS LIMITED</t>
        </is>
      </c>
      <c r="O199" s="1183" t="inlineStr">
        <is>
          <t>31/05/2027</t>
        </is>
      </c>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73" t="n"/>
      <c r="E200" s="994" t="n"/>
      <c r="F200" s="994" t="n"/>
      <c r="G200" s="973" t="n"/>
      <c r="H200" s="994" t="n"/>
      <c r="I200" s="994" t="n"/>
      <c r="J200" s="973" t="n"/>
      <c r="K200" s="973" t="n"/>
      <c r="L200" s="253" t="n">
        <v>204</v>
      </c>
      <c r="M200" s="254" t="inlineStr">
        <is>
          <t>08AR25031</t>
        </is>
      </c>
      <c r="N200" s="254" t="inlineStr">
        <is>
          <t>VINS BIOPRODUCTS LIMITED</t>
        </is>
      </c>
      <c r="O200" s="1183" t="inlineStr">
        <is>
          <t>30/07/2027</t>
        </is>
      </c>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73"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73"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73"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75"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496">
        <f>MAYO!K205</f>
        <v/>
      </c>
      <c r="E205" s="731" t="n">
        <v>10</v>
      </c>
      <c r="F205" s="731" t="n"/>
      <c r="G205" s="730">
        <f>E205+F205</f>
        <v/>
      </c>
      <c r="H205" s="731" t="n">
        <v>3</v>
      </c>
      <c r="I205" s="731" t="n"/>
      <c r="J205" s="732">
        <f>AM205</f>
        <v/>
      </c>
      <c r="K205" s="738">
        <f>+(D205+G205)-(H205+I205+J205)</f>
        <v/>
      </c>
      <c r="L205" s="253" t="n">
        <v>7</v>
      </c>
      <c r="M205" s="254" t="inlineStr">
        <is>
          <t>P100914432</t>
        </is>
      </c>
      <c r="N205" s="254" t="inlineStr">
        <is>
          <t>CSL BEHRING</t>
        </is>
      </c>
      <c r="O205" s="1183" t="inlineStr">
        <is>
          <t>09/07/2028</t>
        </is>
      </c>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73"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73"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73"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73"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75"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496">
        <f>MAYO!K211</f>
        <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73"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73"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73"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73"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75"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496">
        <f>MAYO!K217</f>
        <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73"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73"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73"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73"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75"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496">
        <f>MAYO!K223</f>
        <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73"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73"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73"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73"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75"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496">
        <f>MAYO!K230</f>
        <v/>
      </c>
      <c r="E230" s="731" t="n">
        <v>3000</v>
      </c>
      <c r="F230" s="731" t="n"/>
      <c r="G230" s="730">
        <f>E230+F230</f>
        <v/>
      </c>
      <c r="H230" s="731" t="n">
        <v>1870</v>
      </c>
      <c r="I230" s="731" t="n"/>
      <c r="J230" s="732">
        <f>AM230</f>
        <v/>
      </c>
      <c r="K230" s="738">
        <f>+(D230+G230)-(H230+I230+J230)</f>
        <v/>
      </c>
      <c r="L230" s="253" t="n">
        <v>180</v>
      </c>
      <c r="M230" s="254" t="inlineStr">
        <is>
          <t>0704S4011</t>
        </is>
      </c>
      <c r="N230" s="254" t="inlineStr">
        <is>
          <t>Serum</t>
        </is>
      </c>
      <c r="O230" s="1183" t="inlineStr">
        <is>
          <t>30/06/2028</t>
        </is>
      </c>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73" t="n"/>
      <c r="E231" s="994" t="n"/>
      <c r="F231" s="994" t="n"/>
      <c r="G231" s="973" t="n"/>
      <c r="H231" s="994" t="n"/>
      <c r="I231" s="994" t="n"/>
      <c r="J231" s="973" t="n"/>
      <c r="K231" s="973" t="n"/>
      <c r="L231" s="253" t="n">
        <v>3910</v>
      </c>
      <c r="M231" s="254" t="inlineStr">
        <is>
          <t>0704S1005</t>
        </is>
      </c>
      <c r="N231" s="254" t="inlineStr">
        <is>
          <t>Serum</t>
        </is>
      </c>
      <c r="O231" s="1183" t="inlineStr">
        <is>
          <t>31/08/2028</t>
        </is>
      </c>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73" t="n"/>
      <c r="E232" s="994" t="n"/>
      <c r="F232" s="994" t="n"/>
      <c r="G232" s="973" t="n"/>
      <c r="H232" s="994" t="n"/>
      <c r="I232" s="994" t="n"/>
      <c r="J232" s="973" t="n"/>
      <c r="K232" s="973" t="n"/>
      <c r="L232" s="253" t="n">
        <v>3000</v>
      </c>
      <c r="M232" s="254" t="inlineStr">
        <is>
          <t>0704S4013</t>
        </is>
      </c>
      <c r="N232" s="254" t="inlineStr">
        <is>
          <t>Serum</t>
        </is>
      </c>
      <c r="O232" s="1183" t="inlineStr">
        <is>
          <t>30/09/2028</t>
        </is>
      </c>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73"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73"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75" t="n"/>
      <c r="E235" s="998" t="n"/>
      <c r="F235" s="998" t="n"/>
      <c r="G235" s="975" t="n"/>
      <c r="H235" s="998" t="n"/>
      <c r="I235" s="998" t="n"/>
      <c r="J235" s="975" t="n"/>
      <c r="K235" s="1189">
        <f>K230=L235</f>
        <v/>
      </c>
      <c r="L235" s="491">
        <f>SUM(L230:L234)</f>
        <v/>
      </c>
      <c r="M235" s="1190" t="inlineStr">
        <is>
          <t xml:space="preserve">“Verdadero” indica que la cantidad por lote, coincide con el saldo que inicia al mes siguiente. "Falso" no coinicide. </t>
        </is>
      </c>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496">
        <f>MAYO!K236</f>
        <v/>
      </c>
      <c r="E236" s="731" t="n">
        <v>1500</v>
      </c>
      <c r="F236" s="731" t="n"/>
      <c r="G236" s="730">
        <f>E236+F236</f>
        <v/>
      </c>
      <c r="H236" s="731" t="n">
        <v>1460</v>
      </c>
      <c r="I236" s="731" t="n"/>
      <c r="J236" s="732">
        <f>AM236</f>
        <v/>
      </c>
      <c r="K236" s="738">
        <f>+(D236+G236)-(H236+I236+J236)</f>
        <v/>
      </c>
      <c r="L236" s="253" t="n">
        <v>4</v>
      </c>
      <c r="M236" s="254" t="inlineStr">
        <is>
          <t>0643S1010</t>
        </is>
      </c>
      <c r="N236" s="254" t="inlineStr">
        <is>
          <t>Serum</t>
        </is>
      </c>
      <c r="O236" s="1183" t="inlineStr">
        <is>
          <t>30/04/2028</t>
        </is>
      </c>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73" t="n"/>
      <c r="E237" s="994" t="n"/>
      <c r="F237" s="994" t="n"/>
      <c r="G237" s="973" t="n"/>
      <c r="H237" s="994" t="n"/>
      <c r="I237" s="994" t="n"/>
      <c r="J237" s="973" t="n"/>
      <c r="K237" s="973" t="n"/>
      <c r="L237" s="253" t="n">
        <v>8240</v>
      </c>
      <c r="M237" s="254" t="inlineStr">
        <is>
          <t>0644S4011</t>
        </is>
      </c>
      <c r="N237" s="254" t="inlineStr">
        <is>
          <t>Serum</t>
        </is>
      </c>
      <c r="O237" s="1183" t="inlineStr">
        <is>
          <t>30/06/2029</t>
        </is>
      </c>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73" t="n"/>
      <c r="E238" s="994" t="n"/>
      <c r="F238" s="994" t="n"/>
      <c r="G238" s="973" t="n"/>
      <c r="H238" s="994" t="n"/>
      <c r="I238" s="994" t="n"/>
      <c r="J238" s="973" t="n"/>
      <c r="K238" s="973" t="n"/>
      <c r="L238" s="253" t="n">
        <v>4500</v>
      </c>
      <c r="M238" s="254" t="inlineStr">
        <is>
          <t>0644S1004</t>
        </is>
      </c>
      <c r="N238" s="254" t="inlineStr">
        <is>
          <t>Serum</t>
        </is>
      </c>
      <c r="O238" s="1183" t="inlineStr">
        <is>
          <t>31/08/2029</t>
        </is>
      </c>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73"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73"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75" t="n"/>
      <c r="E241" s="998" t="n"/>
      <c r="F241" s="998" t="n"/>
      <c r="G241" s="975" t="n"/>
      <c r="H241" s="998" t="n"/>
      <c r="I241" s="998" t="n"/>
      <c r="J241" s="975" t="n"/>
      <c r="K241" s="1189">
        <f>K236=L241</f>
        <v/>
      </c>
      <c r="L241" s="491">
        <f>SUM(L236:L240)</f>
        <v/>
      </c>
      <c r="M241" s="1190" t="inlineStr">
        <is>
          <t xml:space="preserve">“Verdadero” indica que la cantidad por lote, coincide con el saldo que inicia al mes siguiente. "Falso" no coinicide. </t>
        </is>
      </c>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496">
        <f>MAYO!K242</f>
        <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73"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73"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73"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73"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75" t="n"/>
      <c r="E247" s="998" t="n"/>
      <c r="F247" s="998" t="n"/>
      <c r="G247" s="975" t="n"/>
      <c r="H247" s="998" t="n"/>
      <c r="I247" s="998" t="n"/>
      <c r="J247" s="975" t="n"/>
      <c r="K247" s="1189">
        <f>K242=L247</f>
        <v/>
      </c>
      <c r="L247" s="491">
        <f>SUM(L242:L246)</f>
        <v/>
      </c>
      <c r="M247" s="1190" t="inlineStr">
        <is>
          <t xml:space="preserve">“Verdadero” indica que la cantidad por lote, coincide con el saldo que inicia al mes siguiente. "Falso" no coinicide. </t>
        </is>
      </c>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496">
        <f>MAYO!K248</f>
        <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73"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73"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73"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73"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75" t="n"/>
      <c r="E253" s="998" t="n"/>
      <c r="F253" s="998" t="n"/>
      <c r="G253" s="975" t="n"/>
      <c r="H253" s="998" t="n"/>
      <c r="I253" s="998" t="n"/>
      <c r="J253" s="975" t="n"/>
      <c r="K253" s="1189">
        <f>K248=L253</f>
        <v/>
      </c>
      <c r="L253" s="491">
        <f>SUM(L248:L252)</f>
        <v/>
      </c>
      <c r="M253" s="1190" t="inlineStr">
        <is>
          <t xml:space="preserve">“Verdadero” indica que la cantidad por lote, coincide con el saldo que inicia al mes siguiente. "Falso" no coinicide. </t>
        </is>
      </c>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496">
        <f>MAYO!K254</f>
        <v/>
      </c>
      <c r="E254" s="731" t="n"/>
      <c r="F254" s="731" t="n"/>
      <c r="G254" s="730">
        <f>E254+F254</f>
        <v/>
      </c>
      <c r="H254" s="731" t="n">
        <v>4950</v>
      </c>
      <c r="I254" s="731" t="n"/>
      <c r="J254" s="732">
        <f>AM254</f>
        <v/>
      </c>
      <c r="K254" s="738">
        <f>+(D254+G254)-(H254+I254+J254)</f>
        <v/>
      </c>
      <c r="L254" s="253" t="n">
        <v>4</v>
      </c>
      <c r="M254" s="254" t="inlineStr">
        <is>
          <t>0643S4002</t>
        </is>
      </c>
      <c r="N254" s="254" t="inlineStr">
        <is>
          <t>Serum</t>
        </is>
      </c>
      <c r="O254" s="1183" t="inlineStr">
        <is>
          <t>30/04/2028</t>
        </is>
      </c>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73" t="n"/>
      <c r="E255" s="994" t="n"/>
      <c r="F255" s="994" t="n"/>
      <c r="G255" s="973" t="n"/>
      <c r="H255" s="994" t="n"/>
      <c r="I255" s="994" t="n"/>
      <c r="J255" s="973" t="n"/>
      <c r="K255" s="973" t="n"/>
      <c r="L255" s="253" t="n">
        <v>423</v>
      </c>
      <c r="M255" s="254" t="inlineStr">
        <is>
          <t>0643S4003</t>
        </is>
      </c>
      <c r="N255" s="254" t="inlineStr">
        <is>
          <t>Serum</t>
        </is>
      </c>
      <c r="O255" s="1183" t="inlineStr">
        <is>
          <t>31/08/2028</t>
        </is>
      </c>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73" t="n"/>
      <c r="E256" s="994" t="n"/>
      <c r="F256" s="994" t="n"/>
      <c r="G256" s="973" t="n"/>
      <c r="H256" s="994" t="n"/>
      <c r="I256" s="994" t="n"/>
      <c r="J256" s="973" t="n"/>
      <c r="K256" s="973" t="n"/>
      <c r="L256" s="253" t="n">
        <v>3640</v>
      </c>
      <c r="M256" s="254" t="inlineStr">
        <is>
          <t>0685I140</t>
        </is>
      </c>
      <c r="N256" s="254" t="inlineStr">
        <is>
          <t>Serum</t>
        </is>
      </c>
      <c r="O256" s="1183" t="inlineStr">
        <is>
          <t>2030-11-30 00:00:00</t>
        </is>
      </c>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73" t="n"/>
      <c r="E257" s="994" t="n"/>
      <c r="F257" s="994" t="n"/>
      <c r="G257" s="973" t="n"/>
      <c r="H257" s="994" t="n"/>
      <c r="I257" s="994" t="n"/>
      <c r="J257" s="973" t="n"/>
      <c r="K257" s="973" t="n"/>
      <c r="L257" s="253" t="n">
        <v>450</v>
      </c>
      <c r="M257" s="254" t="inlineStr">
        <is>
          <t>0644S4022</t>
        </is>
      </c>
      <c r="N257" s="254" t="inlineStr">
        <is>
          <t>Serum</t>
        </is>
      </c>
      <c r="O257" s="1183" t="inlineStr">
        <is>
          <t>2029-09-30 00:00:00</t>
        </is>
      </c>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73"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75" t="n"/>
      <c r="E259" s="998" t="n"/>
      <c r="F259" s="998" t="n"/>
      <c r="G259" s="975" t="n"/>
      <c r="H259" s="998" t="n"/>
      <c r="I259" s="998" t="n"/>
      <c r="J259" s="975" t="n"/>
      <c r="K259" s="1189">
        <f>K254=L259</f>
        <v/>
      </c>
      <c r="L259" s="491">
        <f>SUM(L254:L258)</f>
        <v/>
      </c>
      <c r="M259" s="1190" t="inlineStr">
        <is>
          <t xml:space="preserve">“Verdadero” indica que la cantidad por lote, coincide con el saldo que inicia al mes siguiente. "Falso" no coinicide. </t>
        </is>
      </c>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496">
        <f>MAYO!K260</f>
        <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73"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73"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73"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73"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75" t="n"/>
      <c r="E265" s="998" t="n"/>
      <c r="F265" s="998" t="n"/>
      <c r="G265" s="975" t="n"/>
      <c r="H265" s="998" t="n"/>
      <c r="I265" s="998" t="n"/>
      <c r="J265" s="975" t="n"/>
      <c r="K265" s="1189">
        <f>K260=L265</f>
        <v/>
      </c>
      <c r="L265" s="491">
        <f>SUM(L260:L264)</f>
        <v/>
      </c>
      <c r="M265" s="1190" t="inlineStr">
        <is>
          <t xml:space="preserve">“Verdadero” indica que la cantidad por lote, coincide con el saldo que inicia al mes siguiente. "Falso" no coinicide. </t>
        </is>
      </c>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496">
        <f>MAYO!K266</f>
        <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73"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73"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73"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73"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75" t="n"/>
      <c r="E271" s="998" t="n"/>
      <c r="F271" s="998" t="n"/>
      <c r="G271" s="975" t="n"/>
      <c r="H271" s="998" t="n"/>
      <c r="I271" s="998" t="n"/>
      <c r="J271" s="975" t="n"/>
      <c r="K271" s="1189">
        <f>K266=L271</f>
        <v/>
      </c>
      <c r="L271" s="491">
        <f>SUM(L266:L270)</f>
        <v/>
      </c>
      <c r="M271" s="1190" t="inlineStr">
        <is>
          <t xml:space="preserve">“Verdadero” indica que la cantidad por lote, coincide con el saldo que inicia al mes siguiente. "Falso" no coinicide. </t>
        </is>
      </c>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496">
        <f>MAYO!K272</f>
        <v/>
      </c>
      <c r="E272" s="731" t="n">
        <v>10000</v>
      </c>
      <c r="F272" s="731" t="n"/>
      <c r="G272" s="730">
        <f>E272+F272</f>
        <v/>
      </c>
      <c r="H272" s="731" t="n">
        <v>4280</v>
      </c>
      <c r="I272" s="731" t="n"/>
      <c r="J272" s="732">
        <f>AM272</f>
        <v/>
      </c>
      <c r="K272" s="738">
        <f>+(D272+G272)-(H272+I272+J272)</f>
        <v/>
      </c>
      <c r="L272" s="253" t="n">
        <v>790</v>
      </c>
      <c r="M272" s="254" t="inlineStr">
        <is>
          <t>Y4X16</t>
        </is>
      </c>
      <c r="N272" s="254" t="inlineStr">
        <is>
          <t>Sanofi Pasteur</t>
        </is>
      </c>
      <c r="O272" s="1183" t="inlineStr">
        <is>
          <t>30/06/2027</t>
        </is>
      </c>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73" t="n"/>
      <c r="E273" s="994" t="n"/>
      <c r="F273" s="994" t="n"/>
      <c r="G273" s="973" t="n"/>
      <c r="H273" s="994" t="n"/>
      <c r="I273" s="994" t="n"/>
      <c r="J273" s="973" t="n"/>
      <c r="K273" s="973" t="n"/>
      <c r="L273" s="253" t="n">
        <v>30000</v>
      </c>
      <c r="M273" s="254" t="inlineStr">
        <is>
          <t>Y4X19</t>
        </is>
      </c>
      <c r="N273" s="254" t="inlineStr">
        <is>
          <t>Sanofi Pasteur</t>
        </is>
      </c>
      <c r="O273" s="1183" t="inlineStr">
        <is>
          <t>31/08/2027</t>
        </is>
      </c>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73" t="n"/>
      <c r="E274" s="994" t="n"/>
      <c r="F274" s="994" t="n"/>
      <c r="G274" s="973" t="n"/>
      <c r="H274" s="994" t="n"/>
      <c r="I274" s="994" t="n"/>
      <c r="J274" s="973" t="n"/>
      <c r="K274" s="973" t="n"/>
      <c r="L274" s="253" t="n">
        <v>10000</v>
      </c>
      <c r="M274" s="254" t="inlineStr">
        <is>
          <t>262</t>
        </is>
      </c>
      <c r="N274" s="254" t="inlineStr">
        <is>
          <t>Sanofi Pasteur</t>
        </is>
      </c>
      <c r="O274" s="1183" t="inlineStr">
        <is>
          <t>30/04/2028</t>
        </is>
      </c>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73"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73"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75" t="n"/>
      <c r="E277" s="998" t="n"/>
      <c r="F277" s="998" t="n"/>
      <c r="G277" s="975" t="n"/>
      <c r="H277" s="998" t="n"/>
      <c r="I277" s="998" t="n"/>
      <c r="J277" s="975" t="n"/>
      <c r="K277" s="1189">
        <f>K272=L277</f>
        <v/>
      </c>
      <c r="L277" s="491">
        <f>SUM(L272:L276)</f>
        <v/>
      </c>
      <c r="M277" s="1190" t="inlineStr">
        <is>
          <t xml:space="preserve">“Verdadero” indica que la cantidad por lote, coincide con el saldo que inicia al mes siguiente. "Falso" no coinicide. </t>
        </is>
      </c>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496">
        <f>MAYO!K278</f>
        <v/>
      </c>
      <c r="E278" s="731" t="n">
        <v>3000</v>
      </c>
      <c r="F278" s="731" t="n"/>
      <c r="G278" s="730">
        <f>E278+F278</f>
        <v/>
      </c>
      <c r="H278" s="731" t="n">
        <v>2750</v>
      </c>
      <c r="I278" s="731" t="n"/>
      <c r="J278" s="732">
        <f>AM278</f>
        <v/>
      </c>
      <c r="K278" s="738">
        <f>+(D278+G278)-(H278+I278+J278)</f>
        <v/>
      </c>
      <c r="L278" s="253" t="n">
        <v>2138</v>
      </c>
      <c r="M278" s="254" t="inlineStr">
        <is>
          <t>90250603-1</t>
        </is>
      </c>
      <c r="N278" s="254" t="inlineStr">
        <is>
          <t>Sinovac</t>
        </is>
      </c>
      <c r="O278" s="1183" t="inlineStr">
        <is>
          <t>05/06/2029</t>
        </is>
      </c>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73" t="n"/>
      <c r="E279" s="994" t="n"/>
      <c r="F279" s="994" t="n"/>
      <c r="G279" s="973" t="n"/>
      <c r="H279" s="994" t="n"/>
      <c r="I279" s="994" t="n"/>
      <c r="J279" s="973" t="n"/>
      <c r="K279" s="973" t="n"/>
      <c r="L279" s="253" t="n"/>
      <c r="M279" s="254" t="n"/>
      <c r="N279" s="254" t="n"/>
      <c r="O279" s="1183" t="n"/>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73"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73"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73"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75" t="n"/>
      <c r="E283" s="998" t="n"/>
      <c r="F283" s="998" t="n"/>
      <c r="G283" s="975" t="n"/>
      <c r="H283" s="998" t="n"/>
      <c r="I283" s="998" t="n"/>
      <c r="J283" s="975" t="n"/>
      <c r="K283" s="1189">
        <f>K278=L283</f>
        <v/>
      </c>
      <c r="L283" s="491">
        <f>SUM(L278:L282)</f>
        <v/>
      </c>
      <c r="M283" s="1190" t="inlineStr">
        <is>
          <t xml:space="preserve">“Verdadero” indica que la cantidad por lote, coincide con el saldo que inicia al mes siguiente. "Falso" no coinicide. </t>
        </is>
      </c>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496">
        <f>MAYO!K284</f>
        <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73"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73"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73"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73"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75" t="n"/>
      <c r="E289" s="998" t="n"/>
      <c r="F289" s="998" t="n"/>
      <c r="G289" s="975" t="n"/>
      <c r="H289" s="998" t="n"/>
      <c r="I289" s="998" t="n"/>
      <c r="J289" s="975" t="n"/>
      <c r="K289" s="1189">
        <f>K284=L289</f>
        <v/>
      </c>
      <c r="L289" s="491">
        <f>SUM(L284:L288)</f>
        <v/>
      </c>
      <c r="M289" s="1190" t="inlineStr">
        <is>
          <t xml:space="preserve">“Verdadero” indica que la cantidad por lote, coincide con el saldo que inicia al mes siguiente. "Falso" no coinicide. </t>
        </is>
      </c>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496">
        <f>MAYO!K290</f>
        <v/>
      </c>
      <c r="E290" s="731" t="n">
        <v>1300</v>
      </c>
      <c r="F290" s="731" t="n"/>
      <c r="G290" s="730">
        <f>E290+F290</f>
        <v/>
      </c>
      <c r="H290" s="731" t="n">
        <v>296</v>
      </c>
      <c r="I290" s="731" t="n"/>
      <c r="J290" s="732">
        <f>AM290</f>
        <v/>
      </c>
      <c r="K290" s="738">
        <f>+(D290+G290)-(H290+I290+J290)</f>
        <v/>
      </c>
      <c r="L290" s="253" t="n">
        <v>26</v>
      </c>
      <c r="M290" s="254" t="inlineStr">
        <is>
          <t>0654S4016</t>
        </is>
      </c>
      <c r="N290" s="254" t="inlineStr">
        <is>
          <t>Serum</t>
        </is>
      </c>
      <c r="O290" s="1183" t="inlineStr">
        <is>
          <t>31/07/2029</t>
        </is>
      </c>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73" t="n"/>
      <c r="E291" s="994" t="n"/>
      <c r="F291" s="994" t="n"/>
      <c r="G291" s="973" t="n"/>
      <c r="H291" s="994" t="n"/>
      <c r="I291" s="994" t="n"/>
      <c r="J291" s="973" t="n"/>
      <c r="K291" s="973" t="n"/>
      <c r="L291" s="253" t="n">
        <v>1240</v>
      </c>
      <c r="M291" s="254" t="inlineStr">
        <is>
          <t>0654S4018</t>
        </is>
      </c>
      <c r="N291" s="254" t="inlineStr">
        <is>
          <t>Serum</t>
        </is>
      </c>
      <c r="O291" s="1183" t="inlineStr">
        <is>
          <t>31/08/2029</t>
        </is>
      </c>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73"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73"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73"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75" t="n"/>
      <c r="E295" s="998" t="n"/>
      <c r="F295" s="998" t="n"/>
      <c r="G295" s="975" t="n"/>
      <c r="H295" s="998" t="n"/>
      <c r="I295" s="998" t="n"/>
      <c r="J295" s="975" t="n"/>
      <c r="K295" s="1189">
        <f>K290=L295</f>
        <v/>
      </c>
      <c r="L295" s="491">
        <f>SUM(L290:L294)</f>
        <v/>
      </c>
      <c r="M295" s="1190" t="inlineStr">
        <is>
          <t xml:space="preserve">“Verdadero” indica que la cantidad por lote, coincide con el saldo que inicia al mes siguiente. "Falso" no coinicide. </t>
        </is>
      </c>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496">
        <f>MAYO!K296</f>
        <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73"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73"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73"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73"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75" t="n"/>
      <c r="E301" s="998" t="n"/>
      <c r="F301" s="998" t="n"/>
      <c r="G301" s="975" t="n"/>
      <c r="H301" s="998" t="n"/>
      <c r="I301" s="998" t="n"/>
      <c r="J301" s="975" t="n"/>
      <c r="K301" s="1189">
        <f>K296=L301</f>
        <v/>
      </c>
      <c r="L301" s="491">
        <f>SUM(L296:L300)</f>
        <v/>
      </c>
      <c r="M301" s="1190" t="inlineStr">
        <is>
          <t xml:space="preserve">“Verdadero” indica que la cantidad por lote, coincide con el saldo que inicia al mes siguiente. "Falso" no coinicide. </t>
        </is>
      </c>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647" t="inlineStr">
        <is>
          <t>JERINGAS</t>
        </is>
      </c>
      <c r="C302" s="967" t="n"/>
      <c r="D302" s="1257"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496">
        <f>MAYO!K303</f>
        <v/>
      </c>
      <c r="E303" s="731" t="n"/>
      <c r="F303" s="731" t="n"/>
      <c r="G303" s="730">
        <f>E303+F303</f>
        <v/>
      </c>
      <c r="H303" s="731" t="n"/>
      <c r="I303" s="731" t="n"/>
      <c r="J303" s="732">
        <f>+AM303</f>
        <v/>
      </c>
      <c r="K303" s="706">
        <f>+(D303+G303)-(H303+I303+J303)</f>
        <v/>
      </c>
      <c r="L303" s="253" t="n">
        <v>200</v>
      </c>
      <c r="M303" s="254" t="inlineStr">
        <is>
          <t>252216</t>
        </is>
      </c>
      <c r="N303" s="254" t="inlineStr">
        <is>
          <t>MEDICAL</t>
        </is>
      </c>
      <c r="O303" s="1183" t="inlineStr">
        <is>
          <t>30/08/2027</t>
        </is>
      </c>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73"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73" t="n"/>
      <c r="E305" s="994" t="n"/>
      <c r="F305" s="994" t="n"/>
      <c r="G305" s="973" t="n"/>
      <c r="H305" s="994" t="n"/>
      <c r="I305" s="994" t="n"/>
      <c r="J305" s="973" t="n"/>
      <c r="K305" s="973" t="n"/>
      <c r="L305" s="253" t="n"/>
      <c r="M305" s="254" t="n"/>
      <c r="N305" s="254" t="n"/>
      <c r="O305" s="1183" t="n"/>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73"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73"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73"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75" t="n"/>
      <c r="E309" s="998" t="n"/>
      <c r="F309" s="998" t="n"/>
      <c r="G309" s="975" t="n"/>
      <c r="H309" s="998" t="n"/>
      <c r="I309" s="998" t="n"/>
      <c r="J309" s="975" t="n"/>
      <c r="K309" s="1189">
        <f>K303=L309</f>
        <v/>
      </c>
      <c r="L309" s="491">
        <f>SUM(L303:L308)</f>
        <v/>
      </c>
      <c r="M309" s="1190" t="inlineStr">
        <is>
          <t xml:space="preserve">“Verdadero” indica que la cantidad por lote, coincide con el saldo que inicia al mes siguiente. "Falso" no coinicide. </t>
        </is>
      </c>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496">
        <f>MAYO!K310</f>
        <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73"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73"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73"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73"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73"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75" t="n"/>
      <c r="E316" s="998" t="n"/>
      <c r="F316" s="998" t="n"/>
      <c r="G316" s="975" t="n"/>
      <c r="H316" s="998" t="n"/>
      <c r="I316" s="998" t="n"/>
      <c r="J316" s="975" t="n"/>
      <c r="K316" s="1189">
        <f>K310=L316</f>
        <v/>
      </c>
      <c r="L316" s="491">
        <f>SUM(L310:L315)</f>
        <v/>
      </c>
      <c r="M316" s="1190" t="inlineStr">
        <is>
          <t xml:space="preserve">“Verdadero” indica que la cantidad por lote, coincide con el saldo que inicia al mes siguiente. "Falso" no coinicide. </t>
        </is>
      </c>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496">
        <f>MAYO!K317</f>
        <v/>
      </c>
      <c r="E317" s="731" t="n">
        <v>6000</v>
      </c>
      <c r="F317" s="731" t="n"/>
      <c r="G317" s="730">
        <f>E317+F317</f>
        <v/>
      </c>
      <c r="H317" s="731" t="n">
        <v>7667</v>
      </c>
      <c r="I317" s="731" t="n"/>
      <c r="J317" s="732">
        <f>+AM317</f>
        <v/>
      </c>
      <c r="K317" s="706">
        <f>+(D317+G317)-(H317+I317+J317)</f>
        <v/>
      </c>
      <c r="L317" s="253" t="n">
        <v>20</v>
      </c>
      <c r="M317" s="254" t="inlineStr">
        <is>
          <t>AR13158</t>
        </is>
      </c>
      <c r="N317" s="254" t="inlineStr">
        <is>
          <t>NUBENCO</t>
        </is>
      </c>
      <c r="O317" s="1183" t="inlineStr">
        <is>
          <t>31/03/2027</t>
        </is>
      </c>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73" t="n"/>
      <c r="E318" s="994" t="n"/>
      <c r="F318" s="994" t="n"/>
      <c r="G318" s="973" t="n"/>
      <c r="H318" s="994" t="n"/>
      <c r="I318" s="994" t="n"/>
      <c r="J318" s="973" t="n"/>
      <c r="K318" s="973" t="n"/>
      <c r="L318" s="253" t="n">
        <v>20200</v>
      </c>
      <c r="M318" s="254" t="inlineStr">
        <is>
          <t>2407226</t>
        </is>
      </c>
      <c r="N318" s="254" t="inlineStr">
        <is>
          <t>SANAVITA</t>
        </is>
      </c>
      <c r="O318" s="1183" t="inlineStr">
        <is>
          <t>2029-07-29 00:00:00</t>
        </is>
      </c>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73" t="n"/>
      <c r="E319" s="994" t="n"/>
      <c r="F319" s="994" t="n"/>
      <c r="G319" s="973" t="n"/>
      <c r="H319" s="994" t="n"/>
      <c r="I319" s="994" t="n"/>
      <c r="J319" s="973" t="n"/>
      <c r="K319" s="973" t="n"/>
      <c r="L319" s="253" t="n">
        <v>6000</v>
      </c>
      <c r="M319" s="254" t="inlineStr">
        <is>
          <t>0244J11</t>
        </is>
      </c>
      <c r="N319" s="254" t="inlineStr">
        <is>
          <t>Fabricante</t>
        </is>
      </c>
      <c r="O319" s="1183" t="inlineStr">
        <is>
          <t>31/12/2028</t>
        </is>
      </c>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73"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73"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73"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75" t="n"/>
      <c r="E323" s="998" t="n"/>
      <c r="F323" s="998" t="n"/>
      <c r="G323" s="975" t="n"/>
      <c r="H323" s="998" t="n"/>
      <c r="I323" s="998" t="n"/>
      <c r="J323" s="975" t="n"/>
      <c r="K323" s="1189">
        <f>K317=L323</f>
        <v/>
      </c>
      <c r="L323" s="491">
        <f>SUM(L317:L322)</f>
        <v/>
      </c>
      <c r="M323" s="1190" t="inlineStr">
        <is>
          <t xml:space="preserve">“Verdadero” indica que la cantidad por lote, coincide con el saldo que inicia al mes siguiente. "Falso" no coinicide. </t>
        </is>
      </c>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496">
        <f>MAYO!K324</f>
        <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73"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73"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73"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73"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73"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75"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496">
        <f>MAYO!K331</f>
        <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73"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73"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73"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73"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73"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75" t="n"/>
      <c r="E337" s="998" t="n"/>
      <c r="F337" s="998" t="n"/>
      <c r="G337" s="975" t="n"/>
      <c r="H337" s="998" t="n"/>
      <c r="I337" s="998" t="n"/>
      <c r="J337" s="975" t="n"/>
      <c r="K337" s="1189">
        <f>K331=L337</f>
        <v/>
      </c>
      <c r="L337" s="491">
        <f>SUM(L331:L336)</f>
        <v/>
      </c>
      <c r="M337" s="1190" t="inlineStr">
        <is>
          <t xml:space="preserve">“Verdadero” indica que la cantidad por lote, coincide con el saldo que inicia al mes siguiente. "Falso" no coinicide. </t>
        </is>
      </c>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496">
        <f>MAYO!K338</f>
        <v/>
      </c>
      <c r="E338" s="731" t="n">
        <v>21000</v>
      </c>
      <c r="F338" s="731" t="n"/>
      <c r="G338" s="730">
        <f>E338+F338</f>
        <v/>
      </c>
      <c r="H338" s="731" t="n">
        <v>8000</v>
      </c>
      <c r="I338" s="731" t="n"/>
      <c r="J338" s="732">
        <f>+AM338</f>
        <v/>
      </c>
      <c r="K338" s="706">
        <f>+(D338+G338)-(H338+I338+J338)</f>
        <v/>
      </c>
      <c r="L338" s="253" t="n">
        <v>13800</v>
      </c>
      <c r="M338" s="254" t="inlineStr">
        <is>
          <t>AR13133-8</t>
        </is>
      </c>
      <c r="N338" s="254" t="inlineStr">
        <is>
          <t>JIANGXI SANXIN MEDTEC</t>
        </is>
      </c>
      <c r="O338" s="1183" t="inlineStr">
        <is>
          <t>31/03/2027</t>
        </is>
      </c>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73" t="n"/>
      <c r="E339" s="994" t="n"/>
      <c r="F339" s="994" t="n"/>
      <c r="G339" s="973" t="n"/>
      <c r="H339" s="994" t="n"/>
      <c r="I339" s="994" t="n"/>
      <c r="J339" s="973" t="n"/>
      <c r="K339" s="973" t="n"/>
      <c r="L339" s="253" t="n">
        <v>21000</v>
      </c>
      <c r="M339" s="254" t="inlineStr">
        <is>
          <t>220270</t>
        </is>
      </c>
      <c r="N339" s="254" t="n"/>
      <c r="O339" s="1183" t="inlineStr">
        <is>
          <t>31/07/2027</t>
        </is>
      </c>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73" t="n"/>
      <c r="E340" s="994" t="n"/>
      <c r="F340" s="994" t="n"/>
      <c r="G340" s="973" t="n"/>
      <c r="H340" s="994" t="n"/>
      <c r="I340" s="994" t="n"/>
      <c r="J340" s="973" t="n"/>
      <c r="K340" s="973" t="n"/>
      <c r="L340" s="253" t="n"/>
      <c r="M340" s="254" t="n"/>
      <c r="N340" s="254" t="n"/>
      <c r="O340" s="1183" t="n"/>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73"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73"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73"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75" t="n"/>
      <c r="E344" s="998" t="n"/>
      <c r="F344" s="998" t="n"/>
      <c r="G344" s="975" t="n"/>
      <c r="H344" s="998" t="n"/>
      <c r="I344" s="998" t="n"/>
      <c r="J344" s="975" t="n"/>
      <c r="K344" s="1189">
        <f>K338=L344</f>
        <v/>
      </c>
      <c r="L344" s="491">
        <f>SUM(L338:L343)</f>
        <v/>
      </c>
      <c r="M344" s="1190" t="inlineStr">
        <is>
          <t xml:space="preserve">“Verdadero” indica que la cantidad por lote, coincide con el saldo que inicia al mes siguiente. "Falso" no coinicide. </t>
        </is>
      </c>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496">
        <f>MAYO!K345</f>
        <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73"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73"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73"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73"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73"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75" t="n"/>
      <c r="E351" s="998" t="n"/>
      <c r="F351" s="998" t="n"/>
      <c r="G351" s="975" t="n"/>
      <c r="H351" s="998" t="n"/>
      <c r="I351" s="998" t="n"/>
      <c r="J351" s="975" t="n"/>
      <c r="K351" s="1189">
        <f>K345=L351</f>
        <v/>
      </c>
      <c r="L351" s="491">
        <f>SUM(L345:L350)</f>
        <v/>
      </c>
      <c r="M351" s="1190" t="inlineStr">
        <is>
          <t xml:space="preserve">“Verdadero” indica que la cantidad por lote, coincide con el saldo que inicia al mes siguiente. "Falso" no coinicide. </t>
        </is>
      </c>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496">
        <f>MAYO!K352</f>
        <v/>
      </c>
      <c r="E352" s="731" t="n"/>
      <c r="F352" s="731" t="n"/>
      <c r="G352" s="730">
        <f>E352+F352</f>
        <v/>
      </c>
      <c r="H352" s="731" t="n">
        <v>5300</v>
      </c>
      <c r="I352" s="731" t="n"/>
      <c r="J352" s="732">
        <f>AM352</f>
        <v/>
      </c>
      <c r="K352" s="706">
        <f>+(D352+G352)-(H352+I352+J352)</f>
        <v/>
      </c>
      <c r="L352" s="253" t="n">
        <v>4070</v>
      </c>
      <c r="M352" s="254" t="inlineStr">
        <is>
          <t>20250903</t>
        </is>
      </c>
      <c r="N352" s="254" t="inlineStr">
        <is>
          <t>YIXIN China</t>
        </is>
      </c>
      <c r="O352" s="1183" t="inlineStr">
        <is>
          <t>02/09/2030</t>
        </is>
      </c>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73" t="n"/>
      <c r="E353" s="994" t="n"/>
      <c r="F353" s="994" t="n"/>
      <c r="G353" s="973" t="n"/>
      <c r="H353" s="994" t="n"/>
      <c r="I353" s="994" t="n"/>
      <c r="J353" s="973" t="n"/>
      <c r="K353" s="973" t="n"/>
      <c r="L353" s="253" t="n">
        <v>48</v>
      </c>
      <c r="M353" s="254" t="inlineStr">
        <is>
          <t>23FA1</t>
        </is>
      </c>
      <c r="N353" s="254" t="inlineStr">
        <is>
          <t>HAIOU</t>
        </is>
      </c>
      <c r="O353" s="1183" t="inlineStr">
        <is>
          <t>31/05/2028</t>
        </is>
      </c>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73" t="n"/>
      <c r="E354" s="994" t="n"/>
      <c r="F354" s="994" t="n"/>
      <c r="G354" s="973" t="n"/>
      <c r="H354" s="994" t="n"/>
      <c r="I354" s="994" t="n"/>
      <c r="J354" s="973" t="n"/>
      <c r="K354" s="973" t="n"/>
      <c r="L354" s="253" t="n"/>
      <c r="M354" s="254" t="n"/>
      <c r="N354" s="254" t="n"/>
      <c r="O354" s="1183" t="n"/>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73"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73"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73"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75" t="n"/>
      <c r="E358" s="998" t="n"/>
      <c r="F358" s="998" t="n"/>
      <c r="G358" s="975" t="n"/>
      <c r="H358" s="998" t="n"/>
      <c r="I358" s="998" t="n"/>
      <c r="J358" s="975" t="n"/>
      <c r="K358" s="1189">
        <f>K352=L358</f>
        <v/>
      </c>
      <c r="L358" s="491">
        <f>SUM(L352:L357)</f>
        <v/>
      </c>
      <c r="M358" s="1190" t="inlineStr">
        <is>
          <t xml:space="preserve">“Verdadero” indica que la cantidad por lote, coincide con el saldo que inicia al mes siguiente. "Falso" no coinicide. </t>
        </is>
      </c>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496">
        <f>MAYO!K359</f>
        <v/>
      </c>
      <c r="E359" s="731" t="n"/>
      <c r="F359" s="731" t="n"/>
      <c r="G359" s="730">
        <f>E359+F359</f>
        <v/>
      </c>
      <c r="H359" s="731" t="n">
        <v>500</v>
      </c>
      <c r="I359" s="731" t="n"/>
      <c r="J359" s="732">
        <f>AM359</f>
        <v/>
      </c>
      <c r="K359" s="706">
        <f>+(D359+G359)-(H359+I359+J359)</f>
        <v/>
      </c>
      <c r="L359" s="253" t="n">
        <v>4490</v>
      </c>
      <c r="M359" s="254" t="inlineStr">
        <is>
          <t>622204</t>
        </is>
      </c>
      <c r="N359" s="254" t="inlineStr">
        <is>
          <t>MEDECO</t>
        </is>
      </c>
      <c r="O359" s="1183" t="inlineStr">
        <is>
          <t>28/02/2027</t>
        </is>
      </c>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73" t="n"/>
      <c r="E360" s="994" t="n"/>
      <c r="F360" s="994" t="n"/>
      <c r="G360" s="973" t="n"/>
      <c r="H360" s="994" t="n"/>
      <c r="I360" s="994" t="n"/>
      <c r="J360" s="973" t="n"/>
      <c r="K360" s="973" t="n"/>
      <c r="L360" s="253" t="n">
        <v>4800</v>
      </c>
      <c r="M360" s="254" t="inlineStr">
        <is>
          <t>662202</t>
        </is>
      </c>
      <c r="N360" s="254" t="inlineStr">
        <is>
          <t>MEDICAL</t>
        </is>
      </c>
      <c r="O360" s="1183" t="inlineStr">
        <is>
          <t>30/09/2027</t>
        </is>
      </c>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73" t="n"/>
      <c r="E361" s="994" t="n"/>
      <c r="F361" s="994" t="n"/>
      <c r="G361" s="973" t="n"/>
      <c r="H361" s="994" t="n"/>
      <c r="I361" s="994" t="n"/>
      <c r="J361" s="973" t="n"/>
      <c r="K361" s="973" t="n"/>
      <c r="L361" s="253" t="n">
        <v>370</v>
      </c>
      <c r="M361" s="254" t="inlineStr">
        <is>
          <t>662203</t>
        </is>
      </c>
      <c r="N361" s="254" t="inlineStr">
        <is>
          <t>MEDECO</t>
        </is>
      </c>
      <c r="O361" s="1183" t="inlineStr">
        <is>
          <t>30/09/2027</t>
        </is>
      </c>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73" t="n"/>
      <c r="E362" s="994" t="n"/>
      <c r="F362" s="994" t="n"/>
      <c r="G362" s="973" t="n"/>
      <c r="H362" s="994" t="n"/>
      <c r="I362" s="994" t="n"/>
      <c r="J362" s="973" t="n"/>
      <c r="K362" s="973" t="n"/>
      <c r="L362" s="253" t="n">
        <v>3000</v>
      </c>
      <c r="M362" s="254" t="inlineStr">
        <is>
          <t>712401</t>
        </is>
      </c>
      <c r="N362" s="254" t="inlineStr">
        <is>
          <t>MEDECO</t>
        </is>
      </c>
      <c r="O362" s="1183" t="inlineStr">
        <is>
          <t>30/03/2029</t>
        </is>
      </c>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73"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73"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75" t="n"/>
      <c r="E365" s="998" t="n"/>
      <c r="F365" s="998" t="n"/>
      <c r="G365" s="975" t="n"/>
      <c r="H365" s="998" t="n"/>
      <c r="I365" s="998" t="n"/>
      <c r="J365" s="975" t="n"/>
      <c r="K365" s="1189">
        <f>K359=L365</f>
        <v/>
      </c>
      <c r="L365" s="491">
        <f>SUM(L359:L364)</f>
        <v/>
      </c>
      <c r="M365" s="1190" t="inlineStr">
        <is>
          <t xml:space="preserve">“Verdadero” indica que la cantidad por lote, coincide con el saldo que inicia al mes siguiente. "Falso" no coinicide. </t>
        </is>
      </c>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496">
        <f>MAYO!K366</f>
        <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73"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73"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73"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73"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73"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75"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496">
        <f>MAYO!K373</f>
        <v/>
      </c>
      <c r="E373" s="731" t="n"/>
      <c r="F373" s="731" t="n"/>
      <c r="G373" s="730">
        <f>E373+F373</f>
        <v/>
      </c>
      <c r="H373" s="731" t="n">
        <v>526</v>
      </c>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496">
        <f>MAYO!K374</f>
        <v/>
      </c>
      <c r="E374" s="731" t="n">
        <v>12000</v>
      </c>
      <c r="F374" s="731" t="n"/>
      <c r="G374" s="730">
        <f>E374+F374</f>
        <v/>
      </c>
      <c r="H374" s="731" t="n">
        <v>5000</v>
      </c>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496">
        <f>MAYO!K375</f>
        <v/>
      </c>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496">
        <f>MAYO!K376</f>
        <v/>
      </c>
      <c r="E376" s="731" t="n"/>
      <c r="F376" s="731" t="n"/>
      <c r="G376" s="730">
        <f>E376+F376</f>
        <v/>
      </c>
      <c r="H376" s="731" t="n">
        <v>300</v>
      </c>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496">
        <f>MAYO!K377</f>
        <v/>
      </c>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496">
        <f>MAYO!K378</f>
        <v/>
      </c>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496">
        <f>MAYO!K379</f>
        <v/>
      </c>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623" t="inlineStr">
        <is>
          <t>ÍTEM</t>
        </is>
      </c>
      <c r="B381" s="719" t="inlineStr">
        <is>
          <t>VACUNA COVID-19</t>
        </is>
      </c>
      <c r="C381" s="965" t="n"/>
      <c r="D381" s="716" t="inlineStr">
        <is>
          <t>SALDO MES ANTERIOR</t>
        </is>
      </c>
      <c r="E381" s="1179" t="inlineStr">
        <is>
          <t>ENTRADA</t>
        </is>
      </c>
      <c r="F381" s="1180" t="n"/>
      <c r="G381" s="965" t="n"/>
      <c r="H381" s="715" t="inlineStr">
        <is>
          <t>SALIDAS</t>
        </is>
      </c>
      <c r="I381" s="968" t="n"/>
      <c r="J381" s="967" t="n"/>
      <c r="K381" s="623" t="inlineStr">
        <is>
          <t>SALDO QUE INICIA EL MES SIGUIENTE</t>
        </is>
      </c>
      <c r="L381" s="623" t="inlineStr">
        <is>
          <t>DOSIS POR LOTES</t>
        </is>
      </c>
      <c r="M381" s="623" t="inlineStr">
        <is>
          <t xml:space="preserve">No. LOTE </t>
        </is>
      </c>
      <c r="N381" s="623" t="inlineStr">
        <is>
          <t>LABORATORIO</t>
        </is>
      </c>
      <c r="O381" s="623" t="inlineStr">
        <is>
          <t>FECHA DE VENCIMIENTO</t>
        </is>
      </c>
      <c r="P381" s="623" t="inlineStr">
        <is>
          <t>SEMAFORIZACION VIDA  ÚTIL DEL BIOLÓGICO</t>
        </is>
      </c>
      <c r="Q381" s="623" t="inlineStr">
        <is>
          <t>CONDICIÓN FINAL DEL BIOLÓGICO, DILUYENTE Y CARNET</t>
        </is>
      </c>
      <c r="R381" s="613" t="inlineStr">
        <is>
          <t>DOSIS EN CUARENTENA</t>
        </is>
      </c>
      <c r="S381" s="613" t="inlineStr">
        <is>
          <t>LABORATORIO</t>
        </is>
      </c>
      <c r="T381" s="613" t="inlineStr">
        <is>
          <t>No. LOTE</t>
        </is>
      </c>
      <c r="U381" s="613" t="inlineStr">
        <is>
          <t>FECHA DE VENCIMEINTO</t>
        </is>
      </c>
      <c r="V381" s="613" t="inlineStr">
        <is>
          <t>FECHA DE INICIO CUARENTENA</t>
        </is>
      </c>
      <c r="W381" s="613" t="inlineStr">
        <is>
          <t>OBSERVACIONES</t>
        </is>
      </c>
      <c r="X381" s="250" t="n"/>
      <c r="Z381" s="1221" t="inlineStr">
        <is>
          <t>MOTIVOS DE NO USO DE VACUNAS CONTRA LA COVID-19
RESOLUCIÓN 0118 DEL 27 DE ENERO DE 2026
DISPONIBLE EN EL SIGUIENTE LINK: https://www.minsalud.gov.co/Normatividad_Nuevo/Resolucion%20No%20118%20de%202026.pdf</t>
        </is>
      </c>
      <c r="AA381" s="968" t="n"/>
      <c r="AB381" s="968" t="n"/>
      <c r="AC381" s="968" t="n"/>
      <c r="AD381" s="968" t="n"/>
      <c r="AE381" s="968" t="n"/>
      <c r="AF381" s="968" t="n"/>
      <c r="AG381" s="968" t="n"/>
      <c r="AH381" s="968" t="n"/>
      <c r="AI381" s="968" t="n"/>
      <c r="AJ381" s="968" t="n"/>
      <c r="AK381" s="968" t="n"/>
      <c r="AL381" s="967" t="n"/>
      <c r="AM381" s="532" t="inlineStr">
        <is>
          <t xml:space="preserve">TOTAL DOSIS PERDIDAS        </t>
        </is>
      </c>
      <c r="AN381" s="478" t="n"/>
      <c r="AO381" s="368" t="n"/>
      <c r="AU381" s="251" t="n"/>
      <c r="AV381" s="251" t="n"/>
    </row>
    <row r="382" ht="28.5" customHeight="1">
      <c r="A382" s="973" t="n"/>
      <c r="B382" s="971" t="n"/>
      <c r="C382" s="972" t="n"/>
      <c r="D382" s="973" t="n"/>
      <c r="E382" s="623" t="inlineStr">
        <is>
          <t>DOSIS RECIBIDAS DEL ALMACÉN CENTRAL DEL MSPS</t>
        </is>
      </c>
      <c r="F382" s="623" t="inlineStr">
        <is>
          <t>DOSIS RECIBIDAS X TRASLADO DEL CA DEPARTAMENTAL O DISTRITAL</t>
        </is>
      </c>
      <c r="G382" s="623" t="inlineStr">
        <is>
          <t>TOTAL ENTRADAS</t>
        </is>
      </c>
      <c r="H382" s="711" t="inlineStr">
        <is>
          <t>DOSIS DESPACHADAS A LOS MUNICIPIOS / DISTRITOS A IPS</t>
        </is>
      </c>
      <c r="I382" s="711" t="inlineStr">
        <is>
          <t>DOSIS TRASLADADAS A OTROS DEPARTAMENTOS O DISTRITOS</t>
        </is>
      </c>
      <c r="J382" s="716" t="inlineStr">
        <is>
          <t>DOSIS PERDIDAS</t>
        </is>
      </c>
      <c r="K382" s="973" t="n"/>
      <c r="L382" s="973" t="n"/>
      <c r="M382" s="973" t="n"/>
      <c r="N382" s="973" t="n"/>
      <c r="O382" s="973" t="n"/>
      <c r="P382" s="973" t="n"/>
      <c r="Q382" s="973" t="n"/>
      <c r="R382" s="973" t="n"/>
      <c r="S382" s="973" t="n"/>
      <c r="T382" s="973" t="n"/>
      <c r="U382" s="973" t="n"/>
      <c r="V382" s="973" t="n"/>
      <c r="W382" s="973" t="n"/>
      <c r="X382" s="250" t="n"/>
      <c r="Y382" s="252" t="n"/>
      <c r="Z382" s="533" t="n">
        <v>1</v>
      </c>
      <c r="AA382" s="967" t="n"/>
      <c r="AB382" s="533" t="n">
        <v>2</v>
      </c>
      <c r="AC382" s="533" t="n">
        <v>3</v>
      </c>
      <c r="AD382" s="533" t="n">
        <v>4</v>
      </c>
      <c r="AE382" s="533" t="n">
        <v>5</v>
      </c>
      <c r="AF382" s="533" t="n">
        <v>6</v>
      </c>
      <c r="AG382" s="533" t="n">
        <v>7</v>
      </c>
      <c r="AH382" s="533" t="n">
        <v>8</v>
      </c>
      <c r="AI382" s="533" t="n">
        <v>9</v>
      </c>
      <c r="AJ382" s="533" t="n">
        <v>10</v>
      </c>
      <c r="AK382" s="533" t="n">
        <v>11</v>
      </c>
      <c r="AL382" s="533" t="n">
        <v>12</v>
      </c>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inlineStr">
        <is>
          <t>POLÍTICA DE FRASCOS ABIERTO</t>
        </is>
      </c>
      <c r="AA383" s="967" t="n"/>
      <c r="AB383" s="1222" t="inlineStr">
        <is>
          <t>INTERRUPCIÓN DE LA CADENA DE FRÍO</t>
        </is>
      </c>
      <c r="AC383" s="537" t="inlineStr">
        <is>
          <t>CONTAMINACIÓN DEL BIOLÓGICO</t>
        </is>
      </c>
      <c r="AD383" s="1222" t="inlineStr">
        <is>
          <t>ERROR EN LA MANIPULACIÓN</t>
        </is>
      </c>
      <c r="AE383" s="537" t="inlineStr">
        <is>
          <t>ERROR EN LA RECONSTITUCIÓN/DILUCIÓN</t>
        </is>
      </c>
      <c r="AF383" s="1222" t="inlineStr">
        <is>
          <t>ERROR EN LA DOSIFICACIÓN</t>
        </is>
      </c>
      <c r="AG383" s="537" t="inlineStr">
        <is>
          <t>VACUNA QUE EXCEDE EL TIEMPO DE ALMACENAMIENTO EN REFRIGERACIÓN</t>
        </is>
      </c>
      <c r="AH383" s="1222" t="inlineStr">
        <is>
          <t>VENCIMIENTO DEL BIOLÓGICO</t>
        </is>
      </c>
      <c r="AI383" s="537" t="inlineStr">
        <is>
          <t>FRASCO VIAL ROTO</t>
        </is>
      </c>
      <c r="AJ383" s="1222" t="inlineStr">
        <is>
          <t>FALLAS DE FABRICACIÓN/CALIDAD</t>
        </is>
      </c>
      <c r="AK383" s="537" t="inlineStr">
        <is>
          <t>SINIESTRO / ACCIDENTE</t>
        </is>
      </c>
      <c r="AL383" s="1222" t="inlineStr">
        <is>
          <t>ROBO/HURTO BIOLÓGICO</t>
        </is>
      </c>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496">
        <f>MAYO!K385</f>
        <v/>
      </c>
      <c r="E385" s="731" t="n"/>
      <c r="F385" s="731" t="n"/>
      <c r="G385" s="730">
        <f>E385+F385</f>
        <v/>
      </c>
      <c r="H385" s="731" t="n">
        <v>870</v>
      </c>
      <c r="I385" s="731" t="n"/>
      <c r="J385" s="732">
        <f>AM385</f>
        <v/>
      </c>
      <c r="K385" s="706">
        <f>+(D385+G385)-(H385+I385+J385)</f>
        <v/>
      </c>
      <c r="L385" s="486" t="n">
        <v>120</v>
      </c>
      <c r="M385" s="487" t="inlineStr">
        <is>
          <t>3058112</t>
        </is>
      </c>
      <c r="N385" s="487" t="inlineStr">
        <is>
          <t>Moderna Biotech</t>
        </is>
      </c>
      <c r="O385" s="1223" t="n">
        <v>46326</v>
      </c>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73"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73"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73"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75" t="n"/>
      <c r="E389" s="998" t="n"/>
      <c r="F389" s="998" t="n"/>
      <c r="G389" s="975" t="n"/>
      <c r="H389" s="998" t="n"/>
      <c r="I389" s="998" t="n"/>
      <c r="J389" s="975" t="n"/>
      <c r="K389" s="1189">
        <f>K385=L389</f>
        <v/>
      </c>
      <c r="L389" s="491">
        <f>SUM(L385:L388)</f>
        <v/>
      </c>
      <c r="M389" s="1190" t="inlineStr">
        <is>
          <t xml:space="preserve">“Verdadero” indica que la cantidad por lote, coincide con el saldo que inicia al mes siguiente. "Falso" no coinicide. </t>
        </is>
      </c>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496">
        <f>MAYO!K390</f>
        <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73"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73"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73"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75" t="n"/>
      <c r="E394" s="998" t="n"/>
      <c r="F394" s="998" t="n"/>
      <c r="G394" s="975" t="n"/>
      <c r="H394" s="998" t="n"/>
      <c r="I394" s="998" t="n"/>
      <c r="J394" s="975" t="n"/>
      <c r="K394" s="1189">
        <f>K390=L394</f>
        <v/>
      </c>
      <c r="L394" s="491">
        <f>SUM(L390:L393)</f>
        <v/>
      </c>
      <c r="M394" s="1190" t="inlineStr">
        <is>
          <t xml:space="preserve">“Verdadero” indica que la cantidad por lote, coincide con el saldo que inicia al mes siguiente. "Falso" no coinicide. </t>
        </is>
      </c>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496">
        <f>MAYO!K395</f>
        <v/>
      </c>
      <c r="E395" s="731" t="n"/>
      <c r="F395" s="731" t="n"/>
      <c r="G395" s="730">
        <f>E395+F395</f>
        <v/>
      </c>
      <c r="H395" s="731" t="n">
        <v>1038</v>
      </c>
      <c r="I395" s="731" t="n"/>
      <c r="J395" s="732">
        <f>AM395</f>
        <v/>
      </c>
      <c r="K395" s="706">
        <f>+(D395+G395)-(H395+I395+J395)</f>
        <v/>
      </c>
      <c r="L395" s="486" t="n">
        <v>66</v>
      </c>
      <c r="M395" s="487" t="inlineStr">
        <is>
          <t>MT6633</t>
        </is>
      </c>
      <c r="N395" s="487" t="inlineStr">
        <is>
          <t>PFIZER</t>
        </is>
      </c>
      <c r="O395" s="1223" t="n">
        <v>46387</v>
      </c>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73"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73"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73"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75" t="n"/>
      <c r="E399" s="998" t="n"/>
      <c r="F399" s="998" t="n"/>
      <c r="G399" s="975" t="n"/>
      <c r="H399" s="998" t="n"/>
      <c r="I399" s="998" t="n"/>
      <c r="J399" s="975" t="n"/>
      <c r="K399" s="1189">
        <f>K395=L399</f>
        <v/>
      </c>
      <c r="L399" s="491">
        <f>SUM(L395:L398)</f>
        <v/>
      </c>
      <c r="M399" s="1190" t="inlineStr">
        <is>
          <t xml:space="preserve">“Verdadero” indica que la cantidad por lote, coincide con el saldo que inicia al mes siguiente. "Falso" no coinicide. </t>
        </is>
      </c>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496">
        <f>MAYO!K400</f>
        <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73"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73"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73"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75" t="n"/>
      <c r="E404" s="998" t="n"/>
      <c r="F404" s="998" t="n"/>
      <c r="G404" s="975" t="n"/>
      <c r="H404" s="998" t="n"/>
      <c r="I404" s="998" t="n"/>
      <c r="J404" s="975" t="n"/>
      <c r="K404" s="1189">
        <f>K400=L404</f>
        <v/>
      </c>
      <c r="L404" s="491">
        <f>SUM(L400:L403)</f>
        <v/>
      </c>
      <c r="M404" s="1190" t="inlineStr">
        <is>
          <t xml:space="preserve">“Verdadero” indica que la cantidad por lote, coincide con el saldo que inicia al mes siguiente. "Falso" no coinicide. </t>
        </is>
      </c>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496">
        <f>MAYO!K405</f>
        <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73"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73"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73"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75" t="n"/>
      <c r="E409" s="998" t="n"/>
      <c r="F409" s="998" t="n"/>
      <c r="G409" s="975" t="n"/>
      <c r="H409" s="998" t="n"/>
      <c r="I409" s="998" t="n"/>
      <c r="J409" s="975" t="n"/>
      <c r="K409" s="1189">
        <f>K405=L409</f>
        <v/>
      </c>
      <c r="L409" s="491">
        <f>SUM(L405:L408)</f>
        <v/>
      </c>
      <c r="M409" s="1190" t="inlineStr">
        <is>
          <t xml:space="preserve">“Verdadero” indica que la cantidad por lote, coincide con el saldo que inicia al mes siguiente. "Falso" no coinicide. </t>
        </is>
      </c>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1268" t="inlineStr">
        <is>
          <t>ÍTEM</t>
        </is>
      </c>
      <c r="B413" s="1268" t="inlineStr">
        <is>
          <t>INSUMOS</t>
        </is>
      </c>
      <c r="C413" s="965" t="n"/>
      <c r="D413" s="1231" t="inlineStr">
        <is>
          <t>SALDO MES ANTERIOR</t>
        </is>
      </c>
      <c r="E413" s="961" t="inlineStr">
        <is>
          <t>BIOLÓGICO RECIBIDO DEL CENTRO DE ACOPIO DEPARTAMENTAL / DISTRITAL</t>
        </is>
      </c>
      <c r="F413" s="1231" t="inlineStr">
        <is>
          <t>DOSIS APLICADAS</t>
        </is>
      </c>
      <c r="G413" s="967" t="n"/>
      <c r="H413" s="1232" t="inlineStr">
        <is>
          <t>TOTAL DOSIS APLICADAS</t>
        </is>
      </c>
      <c r="I413" s="961" t="inlineStr">
        <is>
          <t>DOSIS PERDIDAS</t>
        </is>
      </c>
      <c r="J413" s="1231" t="inlineStr">
        <is>
          <t>TOTAL DOSIS ÚTILIZADAS EN EL MES</t>
        </is>
      </c>
      <c r="K413" s="623" t="inlineStr">
        <is>
          <t>SALDO QUE INICIA EL MES SIGUIENTE (SOLO MUNICIPIOS)</t>
        </is>
      </c>
      <c r="L413" s="623" t="inlineStr">
        <is>
          <t>DOSIS POR LOTES</t>
        </is>
      </c>
      <c r="M413" s="623" t="inlineStr">
        <is>
          <t xml:space="preserve">No. LOTE </t>
        </is>
      </c>
      <c r="N413" s="1233" t="inlineStr">
        <is>
          <t>LABORATORIO</t>
        </is>
      </c>
      <c r="O413" s="623" t="inlineStr">
        <is>
          <t>FECHA DE VENCIMIENTO</t>
        </is>
      </c>
      <c r="P413" s="623" t="inlineStr">
        <is>
          <t>SEMAFORIZACION VIDA  ÚTIL DEL BIOLÓGICO</t>
        </is>
      </c>
      <c r="Q413" s="623" t="inlineStr">
        <is>
          <t>CONDICIÓN FINAL DEL BIOLÓGICO, DILUYENTE Y CARNET</t>
        </is>
      </c>
      <c r="R413" s="613" t="inlineStr">
        <is>
          <t>DOSIS EN CUARENTENA</t>
        </is>
      </c>
      <c r="S413" s="613" t="inlineStr">
        <is>
          <t>LABORATORIO</t>
        </is>
      </c>
      <c r="T413" s="613" t="inlineStr">
        <is>
          <t>No. LOTE</t>
        </is>
      </c>
      <c r="U413" s="613" t="inlineStr">
        <is>
          <t>FECHA DE VENCIMEINTO</t>
        </is>
      </c>
      <c r="V413" s="613" t="inlineStr">
        <is>
          <t>FECHA DE INICIO CUARENTENA</t>
        </is>
      </c>
      <c r="W413" s="961" t="inlineStr">
        <is>
          <t>PORCENTAJE DE PERDIDA DEL MES</t>
        </is>
      </c>
      <c r="X413" s="961" t="inlineStr">
        <is>
          <t>OBSERVACIONES</t>
        </is>
      </c>
      <c r="Y413" s="232" t="n"/>
      <c r="Z413" s="400" t="inlineStr">
        <is>
          <t>CAUSAS PERDIDA DE BIOLÓGICOS (Remítase a la primera hoja donde se especifica la clasificación de las perdidas)</t>
        </is>
      </c>
      <c r="AA413" s="400" t="n"/>
      <c r="AB413" s="400" t="n"/>
      <c r="AC413" s="400" t="n"/>
      <c r="AD413" s="400" t="n"/>
      <c r="AE413" s="400" t="n"/>
      <c r="AF413" s="400" t="n"/>
      <c r="AG413" s="400" t="n"/>
      <c r="AH413" s="400" t="n"/>
      <c r="AI413" s="400" t="n"/>
      <c r="AJ413" s="400" t="n"/>
      <c r="AK413" s="400" t="n"/>
      <c r="AL413" s="400" t="n"/>
      <c r="AM413" s="1181" t="inlineStr">
        <is>
          <t xml:space="preserve">TOTAL DOSIS PERDIDAS        </t>
        </is>
      </c>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inlineStr">
        <is>
          <t>POLÍTICA DE FRASCOS ABIERTO</t>
        </is>
      </c>
      <c r="AA415" s="968" t="n"/>
      <c r="AB415" s="967" t="n"/>
      <c r="AC415" s="330" t="inlineStr">
        <is>
          <t>INTERRUPCIÓN DE CADENA DE FRÍO</t>
        </is>
      </c>
      <c r="AD415" s="566" t="inlineStr">
        <is>
          <t>CONTAMINACION DEL BIOLÓGICO/DISPOSITIVO MÉDICO</t>
        </is>
      </c>
      <c r="AE415" s="533" t="inlineStr">
        <is>
          <t>VIAL ROTO</t>
        </is>
      </c>
      <c r="AF415" s="566" t="inlineStr">
        <is>
          <t>ERRORES EN LA MANIPULACIÓN</t>
        </is>
      </c>
      <c r="AG415" s="533" t="inlineStr">
        <is>
          <t>VENCIMIENTO DEL BIOLÓGICO O JERINGA</t>
        </is>
      </c>
      <c r="AH415" s="566" t="inlineStr">
        <is>
          <t>FARMACOVIGILANCIA / TECNOVIGILANCIA</t>
        </is>
      </c>
      <c r="AI415" s="533" t="inlineStr">
        <is>
          <t>VOMITO FRANCO</t>
        </is>
      </c>
      <c r="AJ415" s="533" t="inlineStr">
        <is>
          <t>APLICACIÓN FUERA DE LA EDAD</t>
        </is>
      </c>
      <c r="AK415" s="533" t="inlineStr">
        <is>
          <t>POR DECISIÓN FINAL DEL PACIENTE DE NO VACUNACIÓN</t>
        </is>
      </c>
      <c r="AL415" s="566" t="inlineStr">
        <is>
          <t>SINIESTRO O ROBO</t>
        </is>
      </c>
      <c r="AM415" s="973" t="n"/>
      <c r="AN415" s="333" t="n"/>
      <c r="AQ415" s="332" t="n"/>
      <c r="AR415" s="332" t="n"/>
      <c r="AS415" s="332" t="n"/>
      <c r="AT415" s="332" t="n"/>
      <c r="AU415" s="332" t="n"/>
      <c r="AV415" s="566" t="inlineStr">
        <is>
          <t>Dosis reportadas Plantilla Cero</t>
        </is>
      </c>
      <c r="AW415" s="566" t="inlineStr">
        <is>
          <t>Diferencia dosis aplicadas vs dosis reportadas plantilla cero</t>
        </is>
      </c>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inlineStr">
        <is>
          <t>INSTITUCIONAL</t>
        </is>
      </c>
      <c r="AA416" s="533" t="inlineStr">
        <is>
          <t>EXTRAMURAL</t>
        </is>
      </c>
      <c r="AB416" s="533" t="inlineStr">
        <is>
          <t>TOTAL</t>
        </is>
      </c>
      <c r="AC416" s="975" t="n"/>
      <c r="AD416" s="975" t="n"/>
      <c r="AE416" s="975" t="n"/>
      <c r="AF416" s="975" t="n"/>
      <c r="AG416" s="975" t="n"/>
      <c r="AH416" s="975" t="n"/>
      <c r="AI416" s="975" t="n"/>
      <c r="AJ416" s="975" t="n"/>
      <c r="AK416" s="975" t="n"/>
      <c r="AL416" s="975" t="n"/>
      <c r="AM416" s="975" t="n"/>
      <c r="AN416" s="333" t="n"/>
      <c r="AQ416" s="546" t="inlineStr">
        <is>
          <t>PORCENTAJE DE PERDIDA DEL MES
%</t>
        </is>
      </c>
      <c r="AR416" s="546" t="inlineStr">
        <is>
          <t>FACTOR DE PERDIDA DEL MES</t>
        </is>
      </c>
      <c r="AS416" s="420" t="inlineStr">
        <is>
          <t>% DE PERDIDA DEL MSPS</t>
        </is>
      </c>
      <c r="AT416" s="420" t="inlineStr">
        <is>
          <t>DOSIS POR VIAL</t>
        </is>
      </c>
      <c r="AU416" s="332" t="n"/>
      <c r="AV416" s="975" t="n"/>
      <c r="AW416" s="975" t="n"/>
    </row>
    <row r="417" ht="17.25" customHeight="1">
      <c r="A417" s="585" t="n">
        <v>1</v>
      </c>
      <c r="B417" s="640" t="inlineStr">
        <is>
          <t>Vacuna de BCG (Bacilo de Calmette y Guérin) Liofilizada</t>
        </is>
      </c>
      <c r="C417" s="965" t="n"/>
      <c r="D417" s="413">
        <f>MAYO!K417</f>
        <v/>
      </c>
      <c r="E417" s="339">
        <f>H13</f>
        <v/>
      </c>
      <c r="F417" s="338" t="n">
        <v>578</v>
      </c>
      <c r="G417" s="338" t="n">
        <v>28</v>
      </c>
      <c r="H417" s="1235">
        <f>+F417+G417</f>
        <v/>
      </c>
      <c r="I417" s="340">
        <f>+AM417</f>
        <v/>
      </c>
      <c r="J417" s="341">
        <f>+H417+I417</f>
        <v/>
      </c>
      <c r="K417" s="583">
        <f>+(D417+E417)-(J417)</f>
        <v/>
      </c>
      <c r="L417" s="253" t="n">
        <v>730</v>
      </c>
      <c r="M417" s="254" t="inlineStr">
        <is>
          <t>0374MA072</t>
        </is>
      </c>
      <c r="N417" s="254" t="inlineStr">
        <is>
          <t>Serum</t>
        </is>
      </c>
      <c r="O417" s="1183" t="inlineStr">
        <is>
          <t>31/12/2026</t>
        </is>
      </c>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v>852</v>
      </c>
      <c r="AA417" s="648" t="n">
        <v>437</v>
      </c>
      <c r="AB417" s="649">
        <f>+Z417+AA417</f>
        <v/>
      </c>
      <c r="AC417" s="648" t="n">
        <v>0</v>
      </c>
      <c r="AD417" s="648" t="n">
        <v>0</v>
      </c>
      <c r="AE417" s="648" t="n">
        <v>0</v>
      </c>
      <c r="AF417" s="648" t="n">
        <v>0</v>
      </c>
      <c r="AG417" s="648" t="n">
        <v>10</v>
      </c>
      <c r="AH417" s="648" t="n">
        <v>0</v>
      </c>
      <c r="AI417" s="648" t="n">
        <v>0</v>
      </c>
      <c r="AJ417" s="648" t="n">
        <v>0</v>
      </c>
      <c r="AK417" s="648" t="n">
        <v>0</v>
      </c>
      <c r="AL417" s="648" t="n">
        <v>0</v>
      </c>
      <c r="AM417" s="421">
        <f>SUM(AB417:AL421)</f>
        <v/>
      </c>
      <c r="AN417" s="726" t="n"/>
      <c r="AQ417" s="1238">
        <f>IFERROR(I417/J417*100,"0")</f>
        <v/>
      </c>
      <c r="AR417" s="343">
        <f>IFERROR(1/(1-(AQ417/100)),"0")</f>
        <v/>
      </c>
      <c r="AS417" s="1239" t="n">
        <v>75</v>
      </c>
      <c r="AT417" s="345" t="n">
        <v>20</v>
      </c>
      <c r="AU417" s="1240" t="n"/>
      <c r="AV417" s="1241" t="n"/>
      <c r="AW417" s="1242">
        <f>+H417-AV417</f>
        <v/>
      </c>
    </row>
    <row r="418" ht="17.25" customHeight="1">
      <c r="A418" s="973" t="n"/>
      <c r="B418" s="971" t="n"/>
      <c r="C418" s="972" t="n"/>
      <c r="D418" s="973" t="n"/>
      <c r="E418" s="973" t="n"/>
      <c r="F418" s="994" t="n"/>
      <c r="G418" s="994" t="n"/>
      <c r="H418" s="973" t="n"/>
      <c r="I418" s="973" t="n"/>
      <c r="J418" s="973" t="n"/>
      <c r="K418" s="973" t="n"/>
      <c r="L418" s="253" t="n">
        <v>700</v>
      </c>
      <c r="M418" s="254" t="inlineStr">
        <is>
          <t>0374MA082</t>
        </is>
      </c>
      <c r="N418" s="254" t="inlineStr">
        <is>
          <t>Serum</t>
        </is>
      </c>
      <c r="O418" s="1183" t="inlineStr">
        <is>
          <t>31/01/2027</t>
        </is>
      </c>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73" t="n"/>
      <c r="E419" s="973" t="n"/>
      <c r="F419" s="994" t="n"/>
      <c r="G419" s="994" t="n"/>
      <c r="H419" s="973" t="n"/>
      <c r="I419" s="973" t="n"/>
      <c r="J419" s="973" t="n"/>
      <c r="K419" s="973" t="n"/>
      <c r="L419" s="253" t="n">
        <v>880</v>
      </c>
      <c r="M419" s="254" t="inlineStr">
        <is>
          <t>0374MA071</t>
        </is>
      </c>
      <c r="N419" s="254" t="inlineStr">
        <is>
          <t>Serum</t>
        </is>
      </c>
      <c r="O419" s="1183" t="inlineStr">
        <is>
          <t>31/12/2026</t>
        </is>
      </c>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73" t="n"/>
      <c r="E420" s="973" t="n"/>
      <c r="F420" s="994" t="n"/>
      <c r="G420" s="994" t="n"/>
      <c r="H420" s="973" t="n"/>
      <c r="I420" s="973" t="n"/>
      <c r="J420" s="973" t="n"/>
      <c r="K420" s="973" t="n"/>
      <c r="L420" s="253" t="n"/>
      <c r="M420" s="254" t="n"/>
      <c r="N420" s="254" t="inlineStr"/>
      <c r="O420" s="1183" t="inlineStr"/>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73" t="n"/>
      <c r="E421" s="973" t="n"/>
      <c r="F421" s="994" t="n"/>
      <c r="G421" s="994" t="n"/>
      <c r="H421" s="973" t="n"/>
      <c r="I421" s="973" t="n"/>
      <c r="J421" s="973" t="n"/>
      <c r="K421" s="975" t="n"/>
      <c r="L421" s="253" t="n"/>
      <c r="M421" s="254" t="n"/>
      <c r="N421" s="254" t="inlineStr"/>
      <c r="O421" s="1183" t="inlineStr"/>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75" t="n"/>
      <c r="E422" s="975" t="n"/>
      <c r="F422" s="998" t="n"/>
      <c r="G422" s="998" t="n"/>
      <c r="H422" s="975" t="n"/>
      <c r="I422" s="975" t="n"/>
      <c r="J422" s="975" t="n"/>
      <c r="K422" s="1189">
        <f>K417=L422</f>
        <v/>
      </c>
      <c r="L422" s="491">
        <f>SUM(L417:L421)</f>
        <v/>
      </c>
      <c r="M422" s="1190" t="inlineStr">
        <is>
          <t xml:space="preserve">“Verdadero” indica que la cantidad por lote, coincide con el saldo que inicia al mes siguiente. "Falso" no coinicide. </t>
        </is>
      </c>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413">
        <f>MAYO!K423</f>
        <v/>
      </c>
      <c r="E423" s="339">
        <f>H19</f>
        <v/>
      </c>
      <c r="F423" s="338" t="n">
        <v>579</v>
      </c>
      <c r="G423" s="338" t="n">
        <v>25</v>
      </c>
      <c r="H423" s="1235">
        <f>+F423+G423</f>
        <v/>
      </c>
      <c r="I423" s="340">
        <f>+AM423</f>
        <v/>
      </c>
      <c r="J423" s="341">
        <f>+H423+I423</f>
        <v/>
      </c>
      <c r="K423" s="583">
        <f>+(D423+E423)-(J423)</f>
        <v/>
      </c>
      <c r="L423" s="253" t="n">
        <v>292</v>
      </c>
      <c r="M423" s="254" t="inlineStr">
        <is>
          <t>0324L013B</t>
        </is>
      </c>
      <c r="N423" s="254" t="inlineStr">
        <is>
          <t>Serum</t>
        </is>
      </c>
      <c r="O423" s="1183" t="inlineStr">
        <is>
          <t>30/11/2027</t>
        </is>
      </c>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v>0</v>
      </c>
      <c r="AA423" s="648" t="n">
        <v>0</v>
      </c>
      <c r="AB423" s="649">
        <f>+Z423+AA423</f>
        <v/>
      </c>
      <c r="AC423" s="648" t="n">
        <v>0</v>
      </c>
      <c r="AD423" s="648" t="n">
        <v>0</v>
      </c>
      <c r="AE423" s="648" t="n">
        <v>0</v>
      </c>
      <c r="AF423" s="648" t="n">
        <v>0</v>
      </c>
      <c r="AG423" s="648" t="n">
        <v>0</v>
      </c>
      <c r="AH423" s="648" t="n">
        <v>0</v>
      </c>
      <c r="AI423" s="648" t="n">
        <v>0</v>
      </c>
      <c r="AJ423" s="648" t="n">
        <v>0</v>
      </c>
      <c r="AK423" s="648" t="n">
        <v>0</v>
      </c>
      <c r="AL423" s="648" t="n">
        <v>0</v>
      </c>
      <c r="AM423" s="421">
        <f>SUM(AB423:AL427)</f>
        <v/>
      </c>
      <c r="AN423" s="726" t="n"/>
      <c r="AQ423" s="1238">
        <f>IFERROR(I423/J423*100,"0")</f>
        <v/>
      </c>
      <c r="AR423" s="343">
        <f>IFERROR(1/(1-(AQ423/100)),"0")</f>
        <v/>
      </c>
      <c r="AS423" s="1239" t="n">
        <v>0</v>
      </c>
      <c r="AT423" s="345" t="n">
        <v>1</v>
      </c>
      <c r="AU423" s="1240" t="n"/>
      <c r="AV423" s="1241" t="n"/>
      <c r="AW423" s="1242">
        <f>+H423-AV423</f>
        <v/>
      </c>
    </row>
    <row r="424" ht="17.25" customHeight="1">
      <c r="A424" s="973" t="n"/>
      <c r="B424" s="971" t="n"/>
      <c r="C424" s="972" t="n"/>
      <c r="D424" s="973" t="n"/>
      <c r="E424" s="973" t="n"/>
      <c r="F424" s="994" t="n"/>
      <c r="G424" s="994" t="n"/>
      <c r="H424" s="973" t="n"/>
      <c r="I424" s="973" t="n"/>
      <c r="J424" s="973" t="n"/>
      <c r="K424" s="973" t="n"/>
      <c r="L424" s="253" t="n">
        <v>270</v>
      </c>
      <c r="M424" s="254" t="inlineStr">
        <is>
          <t>0325Q010C</t>
        </is>
      </c>
      <c r="N424" s="254" t="inlineStr">
        <is>
          <t>Serum</t>
        </is>
      </c>
      <c r="O424" s="1183" t="inlineStr">
        <is>
          <t>31/03/2028</t>
        </is>
      </c>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73" t="n"/>
      <c r="E425" s="973" t="n"/>
      <c r="F425" s="994" t="n"/>
      <c r="G425" s="994" t="n"/>
      <c r="H425" s="973" t="n"/>
      <c r="I425" s="973" t="n"/>
      <c r="J425" s="973" t="n"/>
      <c r="K425" s="973" t="n"/>
      <c r="L425" s="253" t="n">
        <v>151</v>
      </c>
      <c r="M425" s="254" t="inlineStr">
        <is>
          <t>0325Q010B</t>
        </is>
      </c>
      <c r="N425" s="254" t="inlineStr">
        <is>
          <t>Serum</t>
        </is>
      </c>
      <c r="O425" s="1183" t="inlineStr">
        <is>
          <t>31/03/2028</t>
        </is>
      </c>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73" t="n"/>
      <c r="E426" s="973" t="n"/>
      <c r="F426" s="994" t="n"/>
      <c r="G426" s="994" t="n"/>
      <c r="H426" s="973" t="n"/>
      <c r="I426" s="973" t="n"/>
      <c r="J426" s="973" t="n"/>
      <c r="K426" s="973" t="n"/>
      <c r="L426" s="253" t="n">
        <v>117</v>
      </c>
      <c r="M426" s="254" t="inlineStr">
        <is>
          <t>0324L013A</t>
        </is>
      </c>
      <c r="N426" s="254" t="inlineStr">
        <is>
          <t>Serum</t>
        </is>
      </c>
      <c r="O426" s="1183" t="inlineStr">
        <is>
          <t>30/11/2027</t>
        </is>
      </c>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73" t="n"/>
      <c r="E427" s="973" t="n"/>
      <c r="F427" s="994" t="n"/>
      <c r="G427" s="994" t="n"/>
      <c r="H427" s="973" t="n"/>
      <c r="I427" s="973" t="n"/>
      <c r="J427" s="973" t="n"/>
      <c r="K427" s="975" t="n"/>
      <c r="L427" s="253" t="n"/>
      <c r="M427" s="254" t="n"/>
      <c r="N427" s="254" t="inlineStr"/>
      <c r="O427" s="1183" t="inlineStr"/>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75" t="n"/>
      <c r="E428" s="975" t="n"/>
      <c r="F428" s="998" t="n"/>
      <c r="G428" s="998" t="n"/>
      <c r="H428" s="975" t="n"/>
      <c r="I428" s="975" t="n"/>
      <c r="J428" s="975" t="n"/>
      <c r="K428" s="1189">
        <f>K423=L428</f>
        <v/>
      </c>
      <c r="L428" s="491">
        <f>SUM(L423:L427)</f>
        <v/>
      </c>
      <c r="M428" s="1190" t="inlineStr">
        <is>
          <t xml:space="preserve">“Verdadero” indica que la cantidad por lote, coincide con el saldo que inicia al mes siguiente. "Falso" no coinicide. </t>
        </is>
      </c>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413">
        <f>MAYO!K429</f>
        <v/>
      </c>
      <c r="E429" s="339">
        <f>H25</f>
        <v/>
      </c>
      <c r="F429" s="338" t="n">
        <v>89</v>
      </c>
      <c r="G429" s="338" t="n">
        <v>0</v>
      </c>
      <c r="H429" s="1235">
        <f>+F429+G429</f>
        <v/>
      </c>
      <c r="I429" s="340">
        <f>+AM429</f>
        <v/>
      </c>
      <c r="J429" s="341">
        <f>+H429+I429</f>
        <v/>
      </c>
      <c r="K429" s="583">
        <f>+(D429+E429)-(J429)</f>
        <v/>
      </c>
      <c r="L429" s="253" t="n">
        <v>199</v>
      </c>
      <c r="M429" s="254" t="inlineStr">
        <is>
          <t>0344X002C</t>
        </is>
      </c>
      <c r="N429" s="254" t="inlineStr">
        <is>
          <t>Serum</t>
        </is>
      </c>
      <c r="O429" s="1183" t="inlineStr">
        <is>
          <t>30/06/2027</t>
        </is>
      </c>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v>0</v>
      </c>
      <c r="AA429" s="648" t="n">
        <v>0</v>
      </c>
      <c r="AB429" s="649">
        <f>+Z429+AA429</f>
        <v/>
      </c>
      <c r="AC429" s="648" t="n">
        <v>0</v>
      </c>
      <c r="AD429" s="648" t="n">
        <v>0</v>
      </c>
      <c r="AE429" s="648" t="n">
        <v>0</v>
      </c>
      <c r="AF429" s="648" t="n">
        <v>0</v>
      </c>
      <c r="AG429" s="648" t="n">
        <v>0</v>
      </c>
      <c r="AH429" s="648" t="n">
        <v>0</v>
      </c>
      <c r="AI429" s="648" t="n">
        <v>0</v>
      </c>
      <c r="AJ429" s="648" t="n">
        <v>0</v>
      </c>
      <c r="AK429" s="648" t="n">
        <v>0</v>
      </c>
      <c r="AL429" s="648" t="n">
        <v>0</v>
      </c>
      <c r="AM429" s="421">
        <f>SUM(AB429:AL433)</f>
        <v/>
      </c>
      <c r="AN429" s="726" t="n"/>
      <c r="AQ429" s="1238">
        <f>IFERROR(I429/J429*100,"0")</f>
        <v/>
      </c>
      <c r="AR429" s="343">
        <f>IFERROR(1/(1-(AQ429/100)),"0")</f>
        <v/>
      </c>
      <c r="AS429" s="1239" t="n">
        <v>0</v>
      </c>
      <c r="AT429" s="345" t="n">
        <v>1</v>
      </c>
      <c r="AU429" s="1240" t="n"/>
      <c r="AV429" s="1241" t="n"/>
      <c r="AW429" s="1242">
        <f>+H429-AV429</f>
        <v/>
      </c>
    </row>
    <row r="430" ht="17.25" customHeight="1">
      <c r="A430" s="973" t="n"/>
      <c r="B430" s="971" t="n"/>
      <c r="C430" s="972" t="n"/>
      <c r="D430" s="973" t="n"/>
      <c r="E430" s="973" t="n"/>
      <c r="F430" s="994" t="n"/>
      <c r="G430" s="994" t="n"/>
      <c r="H430" s="973" t="n"/>
      <c r="I430" s="973" t="n"/>
      <c r="J430" s="973" t="n"/>
      <c r="K430" s="973" t="n"/>
      <c r="L430" s="253" t="n">
        <v>167</v>
      </c>
      <c r="M430" s="254" t="inlineStr">
        <is>
          <t>0345L003B</t>
        </is>
      </c>
      <c r="N430" s="254" t="inlineStr">
        <is>
          <t>Serum</t>
        </is>
      </c>
      <c r="O430" s="1183" t="inlineStr">
        <is>
          <t>31/12/2027</t>
        </is>
      </c>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73" t="n"/>
      <c r="E431" s="973" t="n"/>
      <c r="F431" s="994" t="n"/>
      <c r="G431" s="994" t="n"/>
      <c r="H431" s="973" t="n"/>
      <c r="I431" s="973" t="n"/>
      <c r="J431" s="973" t="n"/>
      <c r="K431" s="973" t="n"/>
      <c r="L431" s="253" t="n">
        <v>34</v>
      </c>
      <c r="M431" s="254" t="inlineStr">
        <is>
          <t>0343Q010C</t>
        </is>
      </c>
      <c r="N431" s="254" t="inlineStr">
        <is>
          <t>Serum</t>
        </is>
      </c>
      <c r="O431" s="1183" t="inlineStr">
        <is>
          <t>31/07/2026</t>
        </is>
      </c>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73" t="n"/>
      <c r="E432" s="973" t="n"/>
      <c r="F432" s="994" t="n"/>
      <c r="G432" s="994" t="n"/>
      <c r="H432" s="973" t="n"/>
      <c r="I432" s="973" t="n"/>
      <c r="J432" s="973" t="n"/>
      <c r="K432" s="973" t="n"/>
      <c r="L432" s="253" t="n"/>
      <c r="M432" s="254" t="n"/>
      <c r="N432" s="254" t="n"/>
      <c r="O432" s="1183" t="n"/>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73"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75" t="n"/>
      <c r="E434" s="975" t="n"/>
      <c r="F434" s="998" t="n"/>
      <c r="G434" s="998" t="n"/>
      <c r="H434" s="975" t="n"/>
      <c r="I434" s="975" t="n"/>
      <c r="J434" s="975" t="n"/>
      <c r="K434" s="1189">
        <f>K429=L434</f>
        <v/>
      </c>
      <c r="L434" s="491">
        <f>SUM(L429:L433)</f>
        <v/>
      </c>
      <c r="M434" s="1190" t="inlineStr">
        <is>
          <t xml:space="preserve">“Verdadero” indica que la cantidad por lote, coincide con el saldo que inicia al mes siguiente. "Falso" no coinicide. </t>
        </is>
      </c>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413">
        <f>MAYO!K435</f>
        <v/>
      </c>
      <c r="E435" s="339">
        <f>H31</f>
        <v/>
      </c>
      <c r="F435" s="338" t="n">
        <v>2558</v>
      </c>
      <c r="G435" s="338" t="n">
        <v>18</v>
      </c>
      <c r="H435" s="1235">
        <f>+F435+G435</f>
        <v/>
      </c>
      <c r="I435" s="340">
        <f>+AM435</f>
        <v/>
      </c>
      <c r="J435" s="341">
        <f>+H435+I435</f>
        <v/>
      </c>
      <c r="K435" s="583">
        <f>+(D435+E435)-(J435)</f>
        <v/>
      </c>
      <c r="L435" s="253" t="n">
        <v>1418</v>
      </c>
      <c r="M435" s="254" t="inlineStr">
        <is>
          <t>2526003A</t>
        </is>
      </c>
      <c r="N435" s="254" t="inlineStr">
        <is>
          <t>Bilthoven Biologicals BV</t>
        </is>
      </c>
      <c r="O435" s="1183" t="inlineStr">
        <is>
          <t>12/06/2028</t>
        </is>
      </c>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v>10</v>
      </c>
      <c r="AA435" s="648" t="n">
        <v>14</v>
      </c>
      <c r="AB435" s="649">
        <f>+Z435+AA435</f>
        <v/>
      </c>
      <c r="AC435" s="648" t="n">
        <v>0</v>
      </c>
      <c r="AD435" s="648" t="n">
        <v>0</v>
      </c>
      <c r="AE435" s="648" t="n">
        <v>0</v>
      </c>
      <c r="AF435" s="648" t="n">
        <v>0</v>
      </c>
      <c r="AG435" s="648" t="n">
        <v>0</v>
      </c>
      <c r="AH435" s="648" t="n">
        <v>0</v>
      </c>
      <c r="AI435" s="648" t="n">
        <v>0</v>
      </c>
      <c r="AJ435" s="648" t="n">
        <v>1</v>
      </c>
      <c r="AK435" s="648" t="n">
        <v>0</v>
      </c>
      <c r="AL435" s="648" t="n">
        <v>0</v>
      </c>
      <c r="AM435" s="421">
        <f>SUM(AB435:AL439)</f>
        <v/>
      </c>
      <c r="AN435" s="726" t="n"/>
      <c r="AQ435" s="1238">
        <f>IFERROR(I435/J435*100,"0")</f>
        <v/>
      </c>
      <c r="AR435" s="343">
        <f>IFERROR(1/(1-(AQ435/100)),"0")</f>
        <v/>
      </c>
      <c r="AS435" s="1239" t="n">
        <v>15</v>
      </c>
      <c r="AT435" s="345" t="n">
        <v>5</v>
      </c>
      <c r="AU435" s="1240" t="n"/>
      <c r="AV435" s="1241" t="n"/>
      <c r="AW435" s="1242">
        <f>+H435-AV435</f>
        <v/>
      </c>
    </row>
    <row r="436" ht="17.25" customHeight="1">
      <c r="A436" s="973" t="n"/>
      <c r="B436" s="971" t="n"/>
      <c r="C436" s="972" t="n"/>
      <c r="D436" s="973" t="n"/>
      <c r="E436" s="973" t="n"/>
      <c r="F436" s="994" t="n"/>
      <c r="G436" s="994" t="n"/>
      <c r="H436" s="973" t="n"/>
      <c r="I436" s="973" t="n"/>
      <c r="J436" s="973" t="n"/>
      <c r="K436" s="973" t="n"/>
      <c r="L436" s="253" t="n">
        <v>1054</v>
      </c>
      <c r="M436" s="254" t="inlineStr">
        <is>
          <t>2522006A</t>
        </is>
      </c>
      <c r="N436" s="254" t="inlineStr">
        <is>
          <t>Bilthoven Biologicals BV</t>
        </is>
      </c>
      <c r="O436" s="1183" t="inlineStr">
        <is>
          <t>25/02/2028</t>
        </is>
      </c>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73" t="n"/>
      <c r="E437" s="973" t="n"/>
      <c r="F437" s="994" t="n"/>
      <c r="G437" s="994" t="n"/>
      <c r="H437" s="973" t="n"/>
      <c r="I437" s="973" t="n"/>
      <c r="J437" s="973" t="n"/>
      <c r="K437" s="973" t="n"/>
      <c r="L437" s="253" t="n">
        <v>97</v>
      </c>
      <c r="M437" s="254" t="inlineStr">
        <is>
          <t>2435007A</t>
        </is>
      </c>
      <c r="N437" s="254" t="inlineStr">
        <is>
          <t>Bilthoven Biologicals BV</t>
        </is>
      </c>
      <c r="O437" s="1183" t="inlineStr">
        <is>
          <t>14/05/2027</t>
        </is>
      </c>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73" t="n"/>
      <c r="E438" s="973" t="n"/>
      <c r="F438" s="994" t="n"/>
      <c r="G438" s="994" t="n"/>
      <c r="H438" s="973" t="n"/>
      <c r="I438" s="973" t="n"/>
      <c r="J438" s="973" t="n"/>
      <c r="K438" s="973" t="n"/>
      <c r="L438" s="253" t="n">
        <v>7</v>
      </c>
      <c r="M438" s="254" t="inlineStr">
        <is>
          <t>2413007A</t>
        </is>
      </c>
      <c r="N438" s="254" t="inlineStr">
        <is>
          <t>Bilthoven Biologicals BV</t>
        </is>
      </c>
      <c r="O438" s="1183" t="inlineStr">
        <is>
          <t>30/01/2027</t>
        </is>
      </c>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73" t="n"/>
      <c r="E439" s="973" t="n"/>
      <c r="F439" s="994" t="n"/>
      <c r="G439" s="994" t="n"/>
      <c r="H439" s="973" t="n"/>
      <c r="I439" s="973" t="n"/>
      <c r="J439" s="973" t="n"/>
      <c r="K439" s="975" t="n"/>
      <c r="L439" s="253" t="n"/>
      <c r="M439" s="254" t="n"/>
      <c r="N439" s="254" t="n"/>
      <c r="O439" s="1183" t="n"/>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75" t="n"/>
      <c r="E440" s="975" t="n"/>
      <c r="F440" s="998" t="n"/>
      <c r="G440" s="998" t="n"/>
      <c r="H440" s="975" t="n"/>
      <c r="I440" s="975" t="n"/>
      <c r="J440" s="975" t="n"/>
      <c r="K440" s="1189">
        <f>K435=L440</f>
        <v/>
      </c>
      <c r="L440" s="491">
        <f>SUM(L435:L439)</f>
        <v/>
      </c>
      <c r="M440" s="1190" t="inlineStr">
        <is>
          <t xml:space="preserve">“Verdadero” indica que la cantidad por lote, coincide con el saldo que inicia al mes siguiente. "Falso" no coinicide. </t>
        </is>
      </c>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413">
        <f>MAYO!K441</f>
        <v/>
      </c>
      <c r="E441" s="339">
        <f>H37</f>
        <v/>
      </c>
      <c r="F441" s="338" t="n">
        <v>1866</v>
      </c>
      <c r="G441" s="338" t="n">
        <v>8</v>
      </c>
      <c r="H441" s="1235">
        <f>+F441+G441</f>
        <v/>
      </c>
      <c r="I441" s="340">
        <f>+AM441</f>
        <v/>
      </c>
      <c r="J441" s="341">
        <f>+H441+I441</f>
        <v/>
      </c>
      <c r="K441" s="583">
        <f>+(D441+E441)-(J441)</f>
        <v/>
      </c>
      <c r="L441" s="253" t="n">
        <v>1450</v>
      </c>
      <c r="M441" s="254" t="inlineStr">
        <is>
          <t>2855X001A</t>
        </is>
      </c>
      <c r="N441" s="254" t="inlineStr">
        <is>
          <t>Serum</t>
        </is>
      </c>
      <c r="O441" s="1183" t="inlineStr">
        <is>
          <t>30/06/2027</t>
        </is>
      </c>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v>0</v>
      </c>
      <c r="AA441" s="648" t="n">
        <v>0</v>
      </c>
      <c r="AB441" s="649">
        <f>+Z441+AA441</f>
        <v/>
      </c>
      <c r="AC441" s="648" t="n">
        <v>0</v>
      </c>
      <c r="AD441" s="648" t="n">
        <v>0</v>
      </c>
      <c r="AE441" s="648" t="n">
        <v>0</v>
      </c>
      <c r="AF441" s="648" t="n">
        <v>0</v>
      </c>
      <c r="AG441" s="648" t="n">
        <v>0</v>
      </c>
      <c r="AH441" s="648" t="n">
        <v>0</v>
      </c>
      <c r="AI441" s="648" t="n">
        <v>0</v>
      </c>
      <c r="AJ441" s="648" t="n">
        <v>0</v>
      </c>
      <c r="AK441" s="648" t="n">
        <v>0</v>
      </c>
      <c r="AL441" s="648" t="n">
        <v>0</v>
      </c>
      <c r="AM441" s="421">
        <f>SUM(AB441:AL445)</f>
        <v/>
      </c>
      <c r="AN441" s="726" t="n"/>
      <c r="AQ441" s="1238">
        <f>IFERROR(I441/J441*100,"0")</f>
        <v/>
      </c>
      <c r="AR441" s="343">
        <f>IFERROR(1/(1-(AQ441/100)),"0")</f>
        <v/>
      </c>
      <c r="AS441" s="1239" t="n">
        <v>0</v>
      </c>
      <c r="AT441" s="345" t="n">
        <v>1</v>
      </c>
      <c r="AU441" s="1240" t="n"/>
      <c r="AV441" s="1241" t="n"/>
      <c r="AW441" s="1242">
        <f>+H441-AV441</f>
        <v/>
      </c>
    </row>
    <row r="442" ht="17.25" customHeight="1">
      <c r="A442" s="973" t="n"/>
      <c r="B442" s="971" t="n"/>
      <c r="C442" s="972" t="n"/>
      <c r="D442" s="973" t="n"/>
      <c r="E442" s="973" t="n"/>
      <c r="F442" s="994" t="n"/>
      <c r="G442" s="994" t="n"/>
      <c r="H442" s="973" t="n"/>
      <c r="I442" s="973" t="n"/>
      <c r="J442" s="973" t="n"/>
      <c r="K442" s="973" t="n"/>
      <c r="L442" s="253" t="n">
        <v>543</v>
      </c>
      <c r="M442" s="254" t="inlineStr">
        <is>
          <t>2855X002C</t>
        </is>
      </c>
      <c r="N442" s="254" t="inlineStr">
        <is>
          <t>Serum</t>
        </is>
      </c>
      <c r="O442" s="1183" t="inlineStr">
        <is>
          <t>30/06/2027</t>
        </is>
      </c>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73" t="n"/>
      <c r="E443" s="973" t="n"/>
      <c r="F443" s="994" t="n"/>
      <c r="G443" s="994" t="n"/>
      <c r="H443" s="973" t="n"/>
      <c r="I443" s="973" t="n"/>
      <c r="J443" s="973" t="n"/>
      <c r="K443" s="973" t="n"/>
      <c r="L443" s="253" t="n">
        <v>153</v>
      </c>
      <c r="M443" s="254" t="inlineStr">
        <is>
          <t>SERUM</t>
        </is>
      </c>
      <c r="N443" s="254" t="inlineStr"/>
      <c r="O443" s="1183" t="inlineStr"/>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73" t="n"/>
      <c r="E444" s="973" t="n"/>
      <c r="F444" s="994" t="n"/>
      <c r="G444" s="994" t="n"/>
      <c r="H444" s="973" t="n"/>
      <c r="I444" s="973" t="n"/>
      <c r="J444" s="973" t="n"/>
      <c r="K444" s="973" t="n"/>
      <c r="L444" s="253" t="n">
        <v>15</v>
      </c>
      <c r="M444" s="254" t="inlineStr">
        <is>
          <t>2854X041B</t>
        </is>
      </c>
      <c r="N444" s="254" t="inlineStr">
        <is>
          <t>Serum</t>
        </is>
      </c>
      <c r="O444" s="1183" t="inlineStr">
        <is>
          <t>30/04/2027</t>
        </is>
      </c>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73"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75" t="n"/>
      <c r="E446" s="975" t="n"/>
      <c r="F446" s="998" t="n"/>
      <c r="G446" s="998" t="n"/>
      <c r="H446" s="975" t="n"/>
      <c r="I446" s="975" t="n"/>
      <c r="J446" s="975" t="n"/>
      <c r="K446" s="1189">
        <f>K441=L446</f>
        <v/>
      </c>
      <c r="L446" s="491">
        <f>SUM(L441:L445)</f>
        <v/>
      </c>
      <c r="M446" s="1190" t="inlineStr">
        <is>
          <t xml:space="preserve">“Verdadero” indica que la cantidad por lote, coincide con el saldo que inicia al mes siguiente. "Falso" no coinicide. </t>
        </is>
      </c>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413">
        <f>MAYO!K447</f>
        <v/>
      </c>
      <c r="E447" s="339">
        <f>H43</f>
        <v/>
      </c>
      <c r="F447" s="338" t="n">
        <v>23</v>
      </c>
      <c r="G447" s="338" t="n">
        <v>0</v>
      </c>
      <c r="H447" s="1235">
        <f>+F447+G447</f>
        <v/>
      </c>
      <c r="I447" s="340">
        <f>+AM447</f>
        <v/>
      </c>
      <c r="J447" s="341">
        <f>+H447+I447</f>
        <v/>
      </c>
      <c r="K447" s="583">
        <f>+(D447+E447)-(J447)</f>
        <v/>
      </c>
      <c r="L447" s="253" t="n">
        <v>71</v>
      </c>
      <c r="M447" s="254" t="inlineStr">
        <is>
          <t>Y3C49</t>
        </is>
      </c>
      <c r="N447" s="254" t="inlineStr">
        <is>
          <t>Sanofi Pasteur</t>
        </is>
      </c>
      <c r="O447" s="1183" t="inlineStr">
        <is>
          <t>29/02/2028</t>
        </is>
      </c>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v>0</v>
      </c>
      <c r="AA447" s="648" t="n">
        <v>0</v>
      </c>
      <c r="AB447" s="649">
        <f>+Z447+AA447</f>
        <v/>
      </c>
      <c r="AC447" s="648" t="n">
        <v>0</v>
      </c>
      <c r="AD447" s="648" t="n">
        <v>0</v>
      </c>
      <c r="AE447" s="648" t="n">
        <v>0</v>
      </c>
      <c r="AF447" s="648" t="n">
        <v>0</v>
      </c>
      <c r="AG447" s="648" t="n">
        <v>0</v>
      </c>
      <c r="AH447" s="648" t="n">
        <v>0</v>
      </c>
      <c r="AI447" s="648" t="n">
        <v>0</v>
      </c>
      <c r="AJ447" s="648" t="n">
        <v>0</v>
      </c>
      <c r="AK447" s="648" t="n">
        <v>0</v>
      </c>
      <c r="AL447" s="648" t="n">
        <v>0</v>
      </c>
      <c r="AM447" s="421">
        <f>SUM(AB447:AL451)</f>
        <v/>
      </c>
      <c r="AN447" s="726" t="n"/>
      <c r="AQ447" s="1238">
        <f>IFERROR(I447/J447*100,"0")</f>
        <v/>
      </c>
      <c r="AR447" s="343">
        <f>IFERROR(1/(1-(AQ447/100)),"0")</f>
        <v/>
      </c>
      <c r="AS447" s="1239" t="n">
        <v>0</v>
      </c>
      <c r="AT447" s="345" t="n">
        <v>1</v>
      </c>
      <c r="AU447" s="1240" t="n"/>
      <c r="AV447" s="1241" t="n"/>
      <c r="AW447" s="1242">
        <f>+H447-AV447</f>
        <v/>
      </c>
    </row>
    <row r="448" ht="17.25" customHeight="1">
      <c r="A448" s="973" t="n"/>
      <c r="B448" s="971" t="n"/>
      <c r="C448" s="972" t="n"/>
      <c r="D448" s="973" t="n"/>
      <c r="E448" s="973" t="n"/>
      <c r="F448" s="994" t="n"/>
      <c r="G448" s="994" t="n"/>
      <c r="H448" s="973" t="n"/>
      <c r="I448" s="973" t="n"/>
      <c r="J448" s="973" t="n"/>
      <c r="K448" s="973" t="n"/>
      <c r="L448" s="253" t="n"/>
      <c r="M448" s="254" t="n"/>
      <c r="N448" s="254" t="inlineStr"/>
      <c r="O448" s="1183" t="inlineStr"/>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73" t="n"/>
      <c r="E449" s="973" t="n"/>
      <c r="F449" s="994" t="n"/>
      <c r="G449" s="994" t="n"/>
      <c r="H449" s="973" t="n"/>
      <c r="I449" s="973" t="n"/>
      <c r="J449" s="973" t="n"/>
      <c r="K449" s="973" t="n"/>
      <c r="L449" s="253" t="n"/>
      <c r="M449" s="254" t="n"/>
      <c r="N449" s="254" t="inlineStr"/>
      <c r="O449" s="1183" t="inlineStr"/>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73" t="n"/>
      <c r="E450" s="973" t="n"/>
      <c r="F450" s="994" t="n"/>
      <c r="G450" s="994" t="n"/>
      <c r="H450" s="973" t="n"/>
      <c r="I450" s="973" t="n"/>
      <c r="J450" s="973" t="n"/>
      <c r="K450" s="973" t="n"/>
      <c r="L450" s="253" t="n"/>
      <c r="M450" s="254" t="n"/>
      <c r="N450" s="254" t="inlineStr"/>
      <c r="O450" s="1183" t="inlineStr"/>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73" t="n"/>
      <c r="E451" s="973" t="n"/>
      <c r="F451" s="994" t="n"/>
      <c r="G451" s="994" t="n"/>
      <c r="H451" s="973" t="n"/>
      <c r="I451" s="973" t="n"/>
      <c r="J451" s="973" t="n"/>
      <c r="K451" s="975" t="n"/>
      <c r="L451" s="253" t="n"/>
      <c r="M451" s="254" t="n"/>
      <c r="N451" s="254" t="inlineStr"/>
      <c r="O451" s="1183" t="inlineStr"/>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75" t="n"/>
      <c r="E452" s="975" t="n"/>
      <c r="F452" s="998" t="n"/>
      <c r="G452" s="998" t="n"/>
      <c r="H452" s="975" t="n"/>
      <c r="I452" s="975" t="n"/>
      <c r="J452" s="975" t="n"/>
      <c r="K452" s="1189">
        <f>K447=L452</f>
        <v/>
      </c>
      <c r="L452" s="491">
        <f>SUM(L447:L451)</f>
        <v/>
      </c>
      <c r="M452" s="1190" t="inlineStr">
        <is>
          <t xml:space="preserve">“Verdadero” indica que la cantidad por lote, coincide con el saldo que inicia al mes siguiente. "Falso" no coinicide. </t>
        </is>
      </c>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413">
        <f>MAYO!K453</f>
        <v/>
      </c>
      <c r="E453" s="339">
        <f>H49</f>
        <v/>
      </c>
      <c r="F453" s="338" t="n">
        <v>0</v>
      </c>
      <c r="G453" s="338" t="n">
        <v>0</v>
      </c>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v>0</v>
      </c>
      <c r="AA453" s="648" t="n">
        <v>0</v>
      </c>
      <c r="AB453" s="649">
        <f>+Z453+AA453</f>
        <v/>
      </c>
      <c r="AC453" s="648" t="n">
        <v>0</v>
      </c>
      <c r="AD453" s="648" t="n">
        <v>0</v>
      </c>
      <c r="AE453" s="648" t="n">
        <v>0</v>
      </c>
      <c r="AF453" s="648" t="n">
        <v>0</v>
      </c>
      <c r="AG453" s="648" t="n">
        <v>0</v>
      </c>
      <c r="AH453" s="648" t="n">
        <v>0</v>
      </c>
      <c r="AI453" s="648" t="n">
        <v>0</v>
      </c>
      <c r="AJ453" s="648" t="n">
        <v>0</v>
      </c>
      <c r="AK453" s="648" t="n">
        <v>0</v>
      </c>
      <c r="AL453" s="648" t="n">
        <v>0</v>
      </c>
      <c r="AM453" s="421">
        <f>SUM(AB453:AL457)</f>
        <v/>
      </c>
      <c r="AN453" s="726" t="n"/>
      <c r="AQ453" s="1238">
        <f>IFERROR(I453/J453*100,"0")</f>
        <v/>
      </c>
      <c r="AR453" s="343">
        <f>IFERROR(1/(1-(AQ453/100)),"0")</f>
        <v/>
      </c>
      <c r="AS453" s="1239" t="n">
        <v>0</v>
      </c>
      <c r="AT453" s="345" t="n">
        <v>1</v>
      </c>
      <c r="AU453" s="1240" t="n"/>
      <c r="AV453" s="1241" t="n"/>
      <c r="AW453" s="1242">
        <f>+H453-AV453</f>
        <v/>
      </c>
    </row>
    <row r="454" ht="17.25" customHeight="1">
      <c r="A454" s="973" t="n"/>
      <c r="B454" s="971" t="n"/>
      <c r="C454" s="972" t="n"/>
      <c r="D454" s="973"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73"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73"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73"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75" t="n"/>
      <c r="E458" s="975" t="n"/>
      <c r="F458" s="998" t="n"/>
      <c r="G458" s="998" t="n"/>
      <c r="H458" s="975" t="n"/>
      <c r="I458" s="975" t="n"/>
      <c r="J458" s="975" t="n"/>
      <c r="K458" s="1189">
        <f>K453=L458</f>
        <v/>
      </c>
      <c r="L458" s="491">
        <f>SUM(L453:L457)</f>
        <v/>
      </c>
      <c r="M458" s="1190" t="inlineStr">
        <is>
          <t xml:space="preserve">“Verdadero” indica que la cantidad por lote, coincide con el saldo que inicia al mes siguiente. "Falso" no coinicide. </t>
        </is>
      </c>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413">
        <f>MAYO!K459</f>
        <v/>
      </c>
      <c r="E459" s="339">
        <f>H55</f>
        <v/>
      </c>
      <c r="F459" s="338" t="n">
        <v>690</v>
      </c>
      <c r="G459" s="338" t="n">
        <v>13</v>
      </c>
      <c r="H459" s="1235">
        <f>+F459+G459</f>
        <v/>
      </c>
      <c r="I459" s="340">
        <f>+AM459</f>
        <v/>
      </c>
      <c r="J459" s="341">
        <f>+H459+I459</f>
        <v/>
      </c>
      <c r="K459" s="583">
        <f>+(D459+E459)-(J459)</f>
        <v/>
      </c>
      <c r="L459" s="253" t="n">
        <v>1334</v>
      </c>
      <c r="M459" s="254" t="inlineStr">
        <is>
          <t>2825Q005A</t>
        </is>
      </c>
      <c r="N459" s="254" t="inlineStr">
        <is>
          <t>Serum</t>
        </is>
      </c>
      <c r="O459" s="1183" t="inlineStr">
        <is>
          <t>28/02/2027</t>
        </is>
      </c>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v>77</v>
      </c>
      <c r="AA459" s="648" t="n">
        <v>119</v>
      </c>
      <c r="AB459" s="649">
        <f>+Z459+AA459</f>
        <v/>
      </c>
      <c r="AC459" s="648" t="n">
        <v>0</v>
      </c>
      <c r="AD459" s="648" t="n">
        <v>0</v>
      </c>
      <c r="AE459" s="648" t="n">
        <v>0</v>
      </c>
      <c r="AF459" s="648" t="n">
        <v>0</v>
      </c>
      <c r="AG459" s="648" t="n">
        <v>0</v>
      </c>
      <c r="AH459" s="648" t="n">
        <v>0</v>
      </c>
      <c r="AI459" s="648" t="n">
        <v>0</v>
      </c>
      <c r="AJ459" s="648" t="n">
        <v>1</v>
      </c>
      <c r="AK459" s="648" t="n">
        <v>0</v>
      </c>
      <c r="AL459" s="648" t="n">
        <v>0</v>
      </c>
      <c r="AM459" s="421">
        <f>SUM(AB459:AL463)</f>
        <v/>
      </c>
      <c r="AN459" s="726" t="n"/>
      <c r="AQ459" s="1238">
        <f>IFERROR(I459/J459*100,"0")</f>
        <v/>
      </c>
      <c r="AR459" s="343">
        <f>IFERROR(1/(1-(AQ459/100)),"0")</f>
        <v/>
      </c>
      <c r="AS459" s="1239" t="n">
        <v>30</v>
      </c>
      <c r="AT459" s="345" t="n">
        <v>10</v>
      </c>
      <c r="AU459" s="1240" t="n"/>
      <c r="AV459" s="1241" t="n"/>
      <c r="AW459" s="1242">
        <f>+H459-AV459</f>
        <v/>
      </c>
    </row>
    <row r="460" ht="17.25" customHeight="1">
      <c r="A460" s="973" t="n"/>
      <c r="B460" s="971" t="n"/>
      <c r="C460" s="972" t="n"/>
      <c r="D460" s="973" t="n"/>
      <c r="E460" s="973" t="n"/>
      <c r="F460" s="994" t="n"/>
      <c r="G460" s="994" t="n"/>
      <c r="H460" s="973" t="n"/>
      <c r="I460" s="973" t="n"/>
      <c r="J460" s="973" t="n"/>
      <c r="K460" s="973" t="n"/>
      <c r="L460" s="253" t="n">
        <v>764</v>
      </c>
      <c r="M460" s="254" t="inlineStr">
        <is>
          <t>221100624A</t>
        </is>
      </c>
      <c r="N460" s="254" t="inlineStr">
        <is>
          <t>BIOLÓGICAL E. LÍMITED</t>
        </is>
      </c>
      <c r="O460" s="1183" t="inlineStr">
        <is>
          <t>30/11/2026</t>
        </is>
      </c>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73"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73"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73"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75" t="n"/>
      <c r="E464" s="975" t="n"/>
      <c r="F464" s="998" t="n"/>
      <c r="G464" s="998" t="n"/>
      <c r="H464" s="975" t="n"/>
      <c r="I464" s="975" t="n"/>
      <c r="J464" s="975" t="n"/>
      <c r="K464" s="1189">
        <f>K459=L464</f>
        <v/>
      </c>
      <c r="L464" s="491">
        <f>SUM(L459:L463)</f>
        <v/>
      </c>
      <c r="M464" s="1190" t="inlineStr">
        <is>
          <t xml:space="preserve">“Verdadero” indica que la cantidad por lote, coincide con el saldo que inicia al mes siguiente. "Falso" no coinicide. </t>
        </is>
      </c>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413">
        <f>MAYO!K465</f>
        <v/>
      </c>
      <c r="E465" s="339">
        <f>H61</f>
        <v/>
      </c>
      <c r="F465" s="338" t="n">
        <v>5</v>
      </c>
      <c r="G465" s="338" t="n">
        <v>0</v>
      </c>
      <c r="H465" s="1235">
        <f>+F465+G465</f>
        <v/>
      </c>
      <c r="I465" s="340">
        <f>+AM465</f>
        <v/>
      </c>
      <c r="J465" s="341">
        <f>+H465+I465</f>
        <v/>
      </c>
      <c r="K465" s="583">
        <f>+(D465+E465)-(J465)</f>
        <v/>
      </c>
      <c r="L465" s="253" t="n">
        <v>37</v>
      </c>
      <c r="M465" s="254" t="inlineStr">
        <is>
          <t>4CA03C1</t>
        </is>
      </c>
      <c r="N465" s="254" t="inlineStr">
        <is>
          <t>Sanofi Pasteur</t>
        </is>
      </c>
      <c r="O465" s="1183" t="inlineStr">
        <is>
          <t>31/10/2026</t>
        </is>
      </c>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v>0</v>
      </c>
      <c r="AA465" s="648" t="n">
        <v>0</v>
      </c>
      <c r="AB465" s="649">
        <f>+Z465+AA465</f>
        <v/>
      </c>
      <c r="AC465" s="648" t="n">
        <v>0</v>
      </c>
      <c r="AD465" s="648" t="n">
        <v>0</v>
      </c>
      <c r="AE465" s="648" t="n">
        <v>0</v>
      </c>
      <c r="AF465" s="648" t="n">
        <v>0</v>
      </c>
      <c r="AG465" s="648" t="n">
        <v>0</v>
      </c>
      <c r="AH465" s="648" t="n">
        <v>0</v>
      </c>
      <c r="AI465" s="648" t="n">
        <v>0</v>
      </c>
      <c r="AJ465" s="648" t="n">
        <v>0</v>
      </c>
      <c r="AK465" s="648" t="n">
        <v>0</v>
      </c>
      <c r="AL465" s="648" t="n">
        <v>0</v>
      </c>
      <c r="AM465" s="421">
        <f>SUM(AB465:AL469)</f>
        <v/>
      </c>
      <c r="AN465" s="726" t="n"/>
      <c r="AQ465" s="1238">
        <f>IFERROR(I465/J465*100,"0")</f>
        <v/>
      </c>
      <c r="AR465" s="343">
        <f>IFERROR(1/(1-(AQ465/100)),"0")</f>
        <v/>
      </c>
      <c r="AS465" s="1239" t="n">
        <v>0</v>
      </c>
      <c r="AT465" s="345" t="n">
        <v>1</v>
      </c>
      <c r="AU465" s="1240" t="n"/>
      <c r="AV465" s="1241" t="n"/>
      <c r="AW465" s="1242">
        <f>+H465-AV465</f>
        <v/>
      </c>
    </row>
    <row r="466" ht="17.25" customHeight="1">
      <c r="A466" s="973" t="n"/>
      <c r="B466" s="971" t="n"/>
      <c r="C466" s="972" t="n"/>
      <c r="D466" s="973" t="n"/>
      <c r="E466" s="973" t="n"/>
      <c r="F466" s="994" t="n"/>
      <c r="G466" s="994" t="n"/>
      <c r="H466" s="973" t="n"/>
      <c r="I466" s="973" t="n"/>
      <c r="J466" s="973" t="n"/>
      <c r="K466" s="973" t="n"/>
      <c r="L466" s="253" t="n"/>
      <c r="M466" s="254" t="n"/>
      <c r="N466" s="254" t="inlineStr"/>
      <c r="O466" s="1183" t="inlineStr"/>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73" t="n"/>
      <c r="E467" s="973" t="n"/>
      <c r="F467" s="994" t="n"/>
      <c r="G467" s="994" t="n"/>
      <c r="H467" s="973" t="n"/>
      <c r="I467" s="973" t="n"/>
      <c r="J467" s="973" t="n"/>
      <c r="K467" s="973" t="n"/>
      <c r="L467" s="253" t="n">
        <v>13</v>
      </c>
      <c r="M467" s="254" t="inlineStr">
        <is>
          <t>4CA34C1</t>
        </is>
      </c>
      <c r="N467" s="254" t="inlineStr">
        <is>
          <t>Sanofi Pasteur</t>
        </is>
      </c>
      <c r="O467" s="1183" t="inlineStr">
        <is>
          <t>31/05/2027</t>
        </is>
      </c>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73" t="n"/>
      <c r="E468" s="973" t="n"/>
      <c r="F468" s="994" t="n"/>
      <c r="G468" s="994" t="n"/>
      <c r="H468" s="973" t="n"/>
      <c r="I468" s="973" t="n"/>
      <c r="J468" s="973" t="n"/>
      <c r="K468" s="973" t="n"/>
      <c r="L468" s="253" t="n"/>
      <c r="M468" s="254" t="n"/>
      <c r="N468" s="254" t="inlineStr"/>
      <c r="O468" s="1183" t="inlineStr"/>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73"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75" t="n"/>
      <c r="E470" s="975" t="n"/>
      <c r="F470" s="998" t="n"/>
      <c r="G470" s="998" t="n"/>
      <c r="H470" s="975" t="n"/>
      <c r="I470" s="975" t="n"/>
      <c r="J470" s="975" t="n"/>
      <c r="K470" s="1189">
        <f>K465=L470</f>
        <v/>
      </c>
      <c r="L470" s="491">
        <f>SUM(L465:L469)</f>
        <v/>
      </c>
      <c r="M470" s="1190" t="inlineStr">
        <is>
          <t xml:space="preserve">“Verdadero” indica que la cantidad por lote, coincide con el saldo que inicia al mes siguiente. "Falso" no coinicide. </t>
        </is>
      </c>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413">
        <f>MAYO!K471</f>
        <v/>
      </c>
      <c r="E471" s="339">
        <f>H67</f>
        <v/>
      </c>
      <c r="F471" s="338" t="n">
        <v>1048</v>
      </c>
      <c r="G471" s="338" t="n">
        <v>3</v>
      </c>
      <c r="H471" s="1235">
        <f>+F471+G471</f>
        <v/>
      </c>
      <c r="I471" s="340">
        <f>+AM471</f>
        <v/>
      </c>
      <c r="J471" s="341">
        <f>+H471+I471</f>
        <v/>
      </c>
      <c r="K471" s="583">
        <f>+(D471+E471)-(J471)</f>
        <v/>
      </c>
      <c r="L471" s="253" t="n">
        <v>918</v>
      </c>
      <c r="M471" s="254" t="inlineStr">
        <is>
          <t>AROLE419AA</t>
        </is>
      </c>
      <c r="N471" s="254" t="inlineStr">
        <is>
          <t>Glaxo SmithKline</t>
        </is>
      </c>
      <c r="O471" s="1183" t="inlineStr">
        <is>
          <t>30/09/2027</t>
        </is>
      </c>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v>0</v>
      </c>
      <c r="AA471" s="648" t="n">
        <v>0</v>
      </c>
      <c r="AB471" s="649">
        <f>+Z471+AA471</f>
        <v/>
      </c>
      <c r="AC471" s="648" t="n">
        <v>0</v>
      </c>
      <c r="AD471" s="648" t="n">
        <v>0</v>
      </c>
      <c r="AE471" s="648" t="n">
        <v>0</v>
      </c>
      <c r="AF471" s="648" t="n">
        <v>0</v>
      </c>
      <c r="AG471" s="648" t="n">
        <v>0</v>
      </c>
      <c r="AH471" s="648" t="n">
        <v>0</v>
      </c>
      <c r="AI471" s="648" t="n">
        <v>1</v>
      </c>
      <c r="AJ471" s="648" t="n">
        <v>0</v>
      </c>
      <c r="AK471" s="648" t="n">
        <v>0</v>
      </c>
      <c r="AL471" s="648" t="n">
        <v>0</v>
      </c>
      <c r="AM471" s="421">
        <f>SUM(AB471:AL475)</f>
        <v/>
      </c>
      <c r="AN471" s="726" t="n"/>
      <c r="AQ471" s="1238">
        <f>IFERROR(I471/J471*100,"0")</f>
        <v/>
      </c>
      <c r="AR471" s="343">
        <f>IFERROR(1/(1-(AQ471/100)),"0")</f>
        <v/>
      </c>
      <c r="AS471" s="1239" t="n">
        <v>0</v>
      </c>
      <c r="AT471" s="345" t="n">
        <v>1</v>
      </c>
      <c r="AU471" s="1240" t="n"/>
      <c r="AV471" s="1241" t="n"/>
      <c r="AW471" s="1242">
        <f>+H471-AV471</f>
        <v/>
      </c>
    </row>
    <row r="472" ht="17.25" customHeight="1">
      <c r="A472" s="973" t="n"/>
      <c r="B472" s="971" t="n"/>
      <c r="C472" s="972" t="n"/>
      <c r="D472" s="973" t="n"/>
      <c r="E472" s="973" t="n"/>
      <c r="F472" s="994" t="n"/>
      <c r="G472" s="994" t="n"/>
      <c r="H472" s="973" t="n"/>
      <c r="I472" s="973" t="n"/>
      <c r="J472" s="973" t="n"/>
      <c r="K472" s="973" t="n"/>
      <c r="L472" s="253" t="n">
        <v>484</v>
      </c>
      <c r="M472" s="254" t="inlineStr">
        <is>
          <t>AROLE197AB</t>
        </is>
      </c>
      <c r="N472" s="254" t="inlineStr">
        <is>
          <t>Glaxo SmithKline</t>
        </is>
      </c>
      <c r="O472" s="1183" t="inlineStr">
        <is>
          <t>28/02/2027</t>
        </is>
      </c>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73" t="n"/>
      <c r="E473" s="973" t="n"/>
      <c r="F473" s="994" t="n"/>
      <c r="G473" s="994" t="n"/>
      <c r="H473" s="973" t="n"/>
      <c r="I473" s="973" t="n"/>
      <c r="J473" s="973" t="n"/>
      <c r="K473" s="973" t="n"/>
      <c r="L473" s="253" t="n">
        <v>111</v>
      </c>
      <c r="M473" s="254" t="inlineStr">
        <is>
          <t>AROLE203AC</t>
        </is>
      </c>
      <c r="N473" s="254" t="inlineStr">
        <is>
          <t>Glaxo SmithKline</t>
        </is>
      </c>
      <c r="O473" s="1183" t="inlineStr">
        <is>
          <t>31/03/2027</t>
        </is>
      </c>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73" t="n"/>
      <c r="E474" s="973" t="n"/>
      <c r="F474" s="994" t="n"/>
      <c r="G474" s="994" t="n"/>
      <c r="H474" s="973" t="n"/>
      <c r="I474" s="973" t="n"/>
      <c r="J474" s="973" t="n"/>
      <c r="K474" s="973" t="n"/>
      <c r="L474" s="253" t="n">
        <v>109</v>
      </c>
      <c r="M474" s="254" t="inlineStr">
        <is>
          <t>AROLE487AA</t>
        </is>
      </c>
      <c r="N474" s="254" t="inlineStr">
        <is>
          <t>Glaxo SmithKline</t>
        </is>
      </c>
      <c r="O474" s="1183" t="inlineStr">
        <is>
          <t>31/01/2028</t>
        </is>
      </c>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73" t="n"/>
      <c r="E475" s="973" t="n"/>
      <c r="F475" s="994" t="n"/>
      <c r="G475" s="994" t="n"/>
      <c r="H475" s="973" t="n"/>
      <c r="I475" s="973" t="n"/>
      <c r="J475" s="973" t="n"/>
      <c r="K475" s="975" t="n"/>
      <c r="L475" s="253" t="n">
        <v>10</v>
      </c>
      <c r="M475" s="254" t="inlineStr">
        <is>
          <t>AROLE054AA</t>
        </is>
      </c>
      <c r="N475" s="254" t="inlineStr">
        <is>
          <t>Glaxo SmithKline</t>
        </is>
      </c>
      <c r="O475" s="1183" t="inlineStr">
        <is>
          <t>31/10/2026</t>
        </is>
      </c>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75" t="n"/>
      <c r="E476" s="975" t="n"/>
      <c r="F476" s="998" t="n"/>
      <c r="G476" s="998" t="n"/>
      <c r="H476" s="975" t="n"/>
      <c r="I476" s="975" t="n"/>
      <c r="J476" s="975" t="n"/>
      <c r="K476" s="1189">
        <f>K471=L476</f>
        <v/>
      </c>
      <c r="L476" s="491">
        <f>SUM(L471:L475)</f>
        <v/>
      </c>
      <c r="M476" s="1190" t="inlineStr">
        <is>
          <t xml:space="preserve">“Verdadero” indica que la cantidad por lote, coincide con el saldo que inicia al mes siguiente. "Falso" no coinicide. </t>
        </is>
      </c>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413">
        <f>MAYO!K477</f>
        <v/>
      </c>
      <c r="E477" s="339">
        <f>H73</f>
        <v/>
      </c>
      <c r="F477" s="338" t="n">
        <v>1574</v>
      </c>
      <c r="G477" s="338" t="n">
        <v>15</v>
      </c>
      <c r="H477" s="1235">
        <f>+F477+G477</f>
        <v/>
      </c>
      <c r="I477" s="340">
        <f>+AM477</f>
        <v/>
      </c>
      <c r="J477" s="341">
        <f>+H477+I477</f>
        <v/>
      </c>
      <c r="K477" s="583">
        <f>+(D477+E477)-(J477)</f>
        <v/>
      </c>
      <c r="L477" s="253" t="n">
        <v>1115</v>
      </c>
      <c r="M477" s="254" t="inlineStr">
        <is>
          <t>LR6371</t>
        </is>
      </c>
      <c r="N477" s="254" t="inlineStr">
        <is>
          <t>PFIZER</t>
        </is>
      </c>
      <c r="O477" s="1183" t="inlineStr">
        <is>
          <t>30/09/2027</t>
        </is>
      </c>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v>0</v>
      </c>
      <c r="AA477" s="648" t="n">
        <v>0</v>
      </c>
      <c r="AB477" s="649">
        <f>+Z477+AA477</f>
        <v/>
      </c>
      <c r="AC477" s="648" t="n">
        <v>0</v>
      </c>
      <c r="AD477" s="648" t="n">
        <v>0</v>
      </c>
      <c r="AE477" s="648" t="n">
        <v>0</v>
      </c>
      <c r="AF477" s="648" t="n">
        <v>0</v>
      </c>
      <c r="AG477" s="648" t="n">
        <v>0</v>
      </c>
      <c r="AH477" s="648" t="n">
        <v>0</v>
      </c>
      <c r="AI477" s="648" t="n">
        <v>0</v>
      </c>
      <c r="AJ477" s="648" t="n">
        <v>0</v>
      </c>
      <c r="AK477" s="648" t="n">
        <v>0</v>
      </c>
      <c r="AL477" s="648" t="n">
        <v>0</v>
      </c>
      <c r="AM477" s="421">
        <f>SUM(AB477:AL481)</f>
        <v/>
      </c>
      <c r="AN477" s="726" t="n"/>
      <c r="AQ477" s="1238">
        <f>IFERROR(I477/J477*100,"0")</f>
        <v/>
      </c>
      <c r="AR477" s="343">
        <f>IFERROR(1/(1-(AQ477/100)),"0")</f>
        <v/>
      </c>
      <c r="AS477" s="1239" t="n">
        <v>0</v>
      </c>
      <c r="AT477" s="345" t="n">
        <v>1</v>
      </c>
      <c r="AU477" s="1240" t="n"/>
      <c r="AV477" s="1241" t="n"/>
      <c r="AW477" s="1242">
        <f>+H477-AV477</f>
        <v/>
      </c>
    </row>
    <row r="478" ht="17.25" customHeight="1">
      <c r="A478" s="973" t="n"/>
      <c r="B478" s="971" t="n"/>
      <c r="C478" s="972" t="n"/>
      <c r="D478" s="973" t="n"/>
      <c r="E478" s="973" t="n"/>
      <c r="F478" s="994" t="n"/>
      <c r="G478" s="994" t="n"/>
      <c r="H478" s="973" t="n"/>
      <c r="I478" s="973" t="n"/>
      <c r="J478" s="973" t="n"/>
      <c r="K478" s="973" t="n"/>
      <c r="L478" s="253" t="n">
        <v>1050</v>
      </c>
      <c r="M478" s="254" t="inlineStr">
        <is>
          <t>LK3156</t>
        </is>
      </c>
      <c r="N478" s="254" t="inlineStr">
        <is>
          <t>PFIZER</t>
        </is>
      </c>
      <c r="O478" s="1183" t="inlineStr">
        <is>
          <t>31/05/2027</t>
        </is>
      </c>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73" t="n"/>
      <c r="E479" s="973" t="n"/>
      <c r="F479" s="994" t="n"/>
      <c r="G479" s="994" t="n"/>
      <c r="H479" s="973" t="n"/>
      <c r="I479" s="973" t="n"/>
      <c r="J479" s="973" t="n"/>
      <c r="K479" s="973" t="n"/>
      <c r="L479" s="253" t="n"/>
      <c r="M479" s="254" t="n"/>
      <c r="N479" s="254" t="inlineStr"/>
      <c r="O479" s="1183" t="inlineStr"/>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73" t="n"/>
      <c r="E480" s="973" t="n"/>
      <c r="F480" s="994" t="n"/>
      <c r="G480" s="994" t="n"/>
      <c r="H480" s="973" t="n"/>
      <c r="I480" s="973" t="n"/>
      <c r="J480" s="973" t="n"/>
      <c r="K480" s="973" t="n"/>
      <c r="L480" s="253" t="n"/>
      <c r="M480" s="254" t="n"/>
      <c r="N480" s="254" t="inlineStr"/>
      <c r="O480" s="1183" t="inlineStr"/>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73"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75" t="n"/>
      <c r="E482" s="975" t="n"/>
      <c r="F482" s="998" t="n"/>
      <c r="G482" s="998" t="n"/>
      <c r="H482" s="975" t="n"/>
      <c r="I482" s="975" t="n"/>
      <c r="J482" s="975" t="n"/>
      <c r="K482" s="1189">
        <f>K477=L482</f>
        <v/>
      </c>
      <c r="L482" s="491">
        <f>SUM(L477:L481)</f>
        <v/>
      </c>
      <c r="M482" s="1190" t="inlineStr">
        <is>
          <t xml:space="preserve">“Verdadero” indica que la cantidad por lote, coincide con el saldo que inicia al mes siguiente. "Falso" no coinicide. </t>
        </is>
      </c>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413">
        <f>MAYO!K483</f>
        <v/>
      </c>
      <c r="E483" s="339">
        <f>H79</f>
        <v/>
      </c>
      <c r="F483" s="338" t="n">
        <v>0</v>
      </c>
      <c r="G483" s="338" t="n">
        <v>0</v>
      </c>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v>0</v>
      </c>
      <c r="AA483" s="648" t="n">
        <v>0</v>
      </c>
      <c r="AB483" s="649">
        <f>+Z483+AA483</f>
        <v/>
      </c>
      <c r="AC483" s="648" t="n">
        <v>0</v>
      </c>
      <c r="AD483" s="648" t="n">
        <v>0</v>
      </c>
      <c r="AE483" s="648" t="n">
        <v>0</v>
      </c>
      <c r="AF483" s="648" t="n">
        <v>0</v>
      </c>
      <c r="AG483" s="648" t="n">
        <v>0</v>
      </c>
      <c r="AH483" s="648" t="n">
        <v>0</v>
      </c>
      <c r="AI483" s="648" t="n">
        <v>0</v>
      </c>
      <c r="AJ483" s="648" t="n">
        <v>0</v>
      </c>
      <c r="AK483" s="648" t="n">
        <v>0</v>
      </c>
      <c r="AL483" s="648" t="n">
        <v>0</v>
      </c>
      <c r="AM483" s="421">
        <f>SUM(AB483:AL487)</f>
        <v/>
      </c>
      <c r="AN483" s="726" t="n"/>
      <c r="AQ483" s="1238">
        <f>IFERROR(I483/J483*100,"0")</f>
        <v/>
      </c>
      <c r="AR483" s="343">
        <f>IFERROR(1/(1-(AQ483/100)),"0")</f>
        <v/>
      </c>
      <c r="AS483" s="1239" t="n">
        <v>0</v>
      </c>
      <c r="AT483" s="345" t="n">
        <v>1</v>
      </c>
      <c r="AU483" s="1240" t="n"/>
      <c r="AV483" s="1241" t="n"/>
      <c r="AW483" s="1242">
        <f>+H483-AV483</f>
        <v/>
      </c>
    </row>
    <row r="484" ht="17.25" customHeight="1">
      <c r="A484" s="973" t="n"/>
      <c r="B484" s="971" t="n"/>
      <c r="C484" s="972" t="n"/>
      <c r="D484" s="973"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73"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73"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73"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75" t="n"/>
      <c r="E488" s="975" t="n"/>
      <c r="F488" s="998" t="n"/>
      <c r="G488" s="998" t="n"/>
      <c r="H488" s="975" t="n"/>
      <c r="I488" s="975" t="n"/>
      <c r="J488" s="975" t="n"/>
      <c r="K488" s="1189">
        <f>K483=L488</f>
        <v/>
      </c>
      <c r="L488" s="491">
        <f>SUM(L483:L487)</f>
        <v/>
      </c>
      <c r="M488" s="1190" t="inlineStr">
        <is>
          <t xml:space="preserve">“Verdadero” indica que la cantidad por lote, coincide con el saldo que inicia al mes siguiente. "Falso" no coinicide. </t>
        </is>
      </c>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413">
        <f>MAYO!K489</f>
        <v/>
      </c>
      <c r="E489" s="339">
        <f>H85</f>
        <v/>
      </c>
      <c r="F489" s="338" t="n">
        <v>1555</v>
      </c>
      <c r="G489" s="338" t="n">
        <v>14</v>
      </c>
      <c r="H489" s="1235">
        <f>+F489+G489</f>
        <v/>
      </c>
      <c r="I489" s="340">
        <f>+AM489</f>
        <v/>
      </c>
      <c r="J489" s="341">
        <f>+H489+I489</f>
        <v/>
      </c>
      <c r="K489" s="583">
        <f>+(D489+E489)-(J489)</f>
        <v/>
      </c>
      <c r="L489" s="253" t="n">
        <v>879</v>
      </c>
      <c r="M489" s="254" t="inlineStr">
        <is>
          <t>0134N096A</t>
        </is>
      </c>
      <c r="N489" s="254" t="inlineStr">
        <is>
          <t>Serum</t>
        </is>
      </c>
      <c r="O489" s="1183" t="inlineStr">
        <is>
          <t>30/04/2027</t>
        </is>
      </c>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v>0</v>
      </c>
      <c r="AA489" s="648" t="n">
        <v>0</v>
      </c>
      <c r="AB489" s="649">
        <f>+Z489+AA489</f>
        <v/>
      </c>
      <c r="AC489" s="648" t="n">
        <v>0</v>
      </c>
      <c r="AD489" s="648" t="n">
        <v>0</v>
      </c>
      <c r="AE489" s="648" t="n">
        <v>0</v>
      </c>
      <c r="AF489" s="648" t="n">
        <v>0</v>
      </c>
      <c r="AG489" s="648" t="n">
        <v>0</v>
      </c>
      <c r="AH489" s="648" t="n">
        <v>0</v>
      </c>
      <c r="AI489" s="648" t="n">
        <v>0</v>
      </c>
      <c r="AJ489" s="648" t="n">
        <v>1</v>
      </c>
      <c r="AK489" s="648" t="n">
        <v>0</v>
      </c>
      <c r="AL489" s="648" t="n">
        <v>0</v>
      </c>
      <c r="AM489" s="421">
        <f>SUM(AB489:AL493)</f>
        <v/>
      </c>
      <c r="AN489" s="726" t="n"/>
      <c r="AQ489" s="1238">
        <f>IFERROR(I489/J489*100,"0")</f>
        <v/>
      </c>
      <c r="AR489" s="343">
        <f>IFERROR(1/(1-(AQ489/100)),"0")</f>
        <v/>
      </c>
      <c r="AS489" s="1239" t="n">
        <v>0</v>
      </c>
      <c r="AT489" s="345" t="n">
        <v>1</v>
      </c>
      <c r="AU489" s="1240" t="n"/>
      <c r="AV489" s="1241" t="n"/>
      <c r="AW489" s="1242">
        <f>+H489-AV489</f>
        <v/>
      </c>
    </row>
    <row r="490" ht="17.25" customHeight="1">
      <c r="A490" s="973" t="n"/>
      <c r="B490" s="971" t="n"/>
      <c r="C490" s="972" t="n"/>
      <c r="D490" s="973" t="n"/>
      <c r="E490" s="973" t="n"/>
      <c r="F490" s="994" t="n"/>
      <c r="G490" s="994" t="n"/>
      <c r="H490" s="973" t="n"/>
      <c r="I490" s="973" t="n"/>
      <c r="J490" s="973" t="n"/>
      <c r="K490" s="973" t="n"/>
      <c r="L490" s="253" t="n">
        <v>796</v>
      </c>
      <c r="M490" s="254" t="inlineStr">
        <is>
          <t>0134N093A</t>
        </is>
      </c>
      <c r="N490" s="254" t="inlineStr">
        <is>
          <t>Serum</t>
        </is>
      </c>
      <c r="O490" s="1183" t="inlineStr">
        <is>
          <t>30/04/2027</t>
        </is>
      </c>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73" t="n"/>
      <c r="E491" s="973" t="n"/>
      <c r="F491" s="994" t="n"/>
      <c r="G491" s="994" t="n"/>
      <c r="H491" s="973" t="n"/>
      <c r="I491" s="973" t="n"/>
      <c r="J491" s="973" t="n"/>
      <c r="K491" s="973" t="n"/>
      <c r="L491" s="253" t="n">
        <v>739</v>
      </c>
      <c r="M491" s="254" t="inlineStr">
        <is>
          <t>0133N146B</t>
        </is>
      </c>
      <c r="N491" s="254" t="inlineStr">
        <is>
          <t>Serum</t>
        </is>
      </c>
      <c r="O491" s="1183" t="inlineStr">
        <is>
          <t>30/09/2026</t>
        </is>
      </c>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73" t="n"/>
      <c r="E492" s="973" t="n"/>
      <c r="F492" s="994" t="n"/>
      <c r="G492" s="994" t="n"/>
      <c r="H492" s="973" t="n"/>
      <c r="I492" s="973" t="n"/>
      <c r="J492" s="973" t="n"/>
      <c r="K492" s="973" t="n"/>
      <c r="L492" s="253" t="n"/>
      <c r="M492" s="254" t="n"/>
      <c r="N492" s="254" t="inlineStr"/>
      <c r="O492" s="1183" t="inlineStr"/>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73"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75" t="n"/>
      <c r="E494" s="975" t="n"/>
      <c r="F494" s="998" t="n"/>
      <c r="G494" s="998" t="n"/>
      <c r="H494" s="975" t="n"/>
      <c r="I494" s="975" t="n"/>
      <c r="J494" s="975" t="n"/>
      <c r="K494" s="1189">
        <f>K489=L494</f>
        <v/>
      </c>
      <c r="L494" s="491">
        <f>SUM(L489:L493)</f>
        <v/>
      </c>
      <c r="M494" s="1190" t="inlineStr">
        <is>
          <t xml:space="preserve">“Verdadero” indica que la cantidad por lote, coincide con el saldo que inicia al mes siguiente. "Falso" no coinicide. </t>
        </is>
      </c>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413">
        <f>MAYO!K495</f>
        <v/>
      </c>
      <c r="E495" s="339">
        <f>H91</f>
        <v/>
      </c>
      <c r="F495" s="338" t="n">
        <v>0</v>
      </c>
      <c r="G495" s="338" t="n">
        <v>0</v>
      </c>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v>0</v>
      </c>
      <c r="AA495" s="648" t="n">
        <v>0</v>
      </c>
      <c r="AB495" s="649">
        <f>+Z495+AA495</f>
        <v/>
      </c>
      <c r="AC495" s="648" t="n">
        <v>0</v>
      </c>
      <c r="AD495" s="648" t="n">
        <v>0</v>
      </c>
      <c r="AE495" s="648" t="n">
        <v>0</v>
      </c>
      <c r="AF495" s="648" t="n">
        <v>0</v>
      </c>
      <c r="AG495" s="648" t="n">
        <v>0</v>
      </c>
      <c r="AH495" s="648" t="n">
        <v>0</v>
      </c>
      <c r="AI495" s="648" t="n">
        <v>0</v>
      </c>
      <c r="AJ495" s="648" t="n">
        <v>0</v>
      </c>
      <c r="AK495" s="648" t="n">
        <v>0</v>
      </c>
      <c r="AL495" s="648" t="n">
        <v>0</v>
      </c>
      <c r="AM495" s="421">
        <f>SUM(AB495:AL499)</f>
        <v/>
      </c>
      <c r="AN495" s="726" t="n"/>
      <c r="AQ495" s="1238">
        <f>IFERROR(I495/J495*100,"0")</f>
        <v/>
      </c>
      <c r="AR495" s="343">
        <f>IFERROR(1/(1-(AQ495/100)),"0")</f>
        <v/>
      </c>
      <c r="AS495" s="1239" t="n">
        <v>25</v>
      </c>
      <c r="AT495" s="345" t="n">
        <v>5</v>
      </c>
      <c r="AU495" s="1240" t="n"/>
      <c r="AV495" s="1241" t="n"/>
      <c r="AW495" s="1242">
        <f>+H495-AV495</f>
        <v/>
      </c>
    </row>
    <row r="496" ht="17.25" customHeight="1">
      <c r="A496" s="973" t="n"/>
      <c r="B496" s="971" t="n"/>
      <c r="C496" s="972" t="n"/>
      <c r="D496" s="973"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73"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73"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73"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75" t="n"/>
      <c r="E500" s="975" t="n"/>
      <c r="F500" s="998" t="n"/>
      <c r="G500" s="998" t="n"/>
      <c r="H500" s="975" t="n"/>
      <c r="I500" s="975" t="n"/>
      <c r="J500" s="975" t="n"/>
      <c r="K500" s="1189">
        <f>K495=L500</f>
        <v/>
      </c>
      <c r="L500" s="491">
        <f>SUM(L495:L499)</f>
        <v/>
      </c>
      <c r="M500" s="1190" t="inlineStr">
        <is>
          <t xml:space="preserve">“Verdadero” indica que la cantidad por lote, coincide con el saldo que inicia al mes siguiente. "Falso" no coinicide. </t>
        </is>
      </c>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413">
        <f>MAYO!K501</f>
        <v/>
      </c>
      <c r="E501" s="339">
        <f>H97</f>
        <v/>
      </c>
      <c r="F501" s="338" t="n">
        <v>0</v>
      </c>
      <c r="G501" s="338" t="n">
        <v>0</v>
      </c>
      <c r="H501" s="1235">
        <f>+F501+G501</f>
        <v/>
      </c>
      <c r="I501" s="340">
        <f>+AM501</f>
        <v/>
      </c>
      <c r="J501" s="341">
        <f>+H501+I501</f>
        <v/>
      </c>
      <c r="K501" s="583">
        <f>+(D501+E501)-(J501)</f>
        <v/>
      </c>
      <c r="L501" s="253" t="n"/>
      <c r="M501" s="254" t="n"/>
      <c r="N501" s="254" t="inlineStr"/>
      <c r="O501" s="1183" t="inlineStr"/>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v>0</v>
      </c>
      <c r="AA501" s="648" t="n">
        <v>0</v>
      </c>
      <c r="AB501" s="649">
        <f>+Z501+AA501</f>
        <v/>
      </c>
      <c r="AC501" s="648" t="n">
        <v>0</v>
      </c>
      <c r="AD501" s="648" t="n">
        <v>0</v>
      </c>
      <c r="AE501" s="648" t="n">
        <v>0</v>
      </c>
      <c r="AF501" s="648" t="n">
        <v>0</v>
      </c>
      <c r="AG501" s="648" t="n">
        <v>0</v>
      </c>
      <c r="AH501" s="648" t="n">
        <v>0</v>
      </c>
      <c r="AI501" s="648" t="n">
        <v>0</v>
      </c>
      <c r="AJ501" s="648" t="n">
        <v>0</v>
      </c>
      <c r="AK501" s="648" t="n">
        <v>0</v>
      </c>
      <c r="AL501" s="648" t="n">
        <v>0</v>
      </c>
      <c r="AM501" s="421">
        <f>SUM(AB501:AL505)</f>
        <v/>
      </c>
      <c r="AN501" s="726" t="n"/>
      <c r="AQ501" s="1238">
        <f>IFERROR(I501/J501*100,"0")</f>
        <v/>
      </c>
      <c r="AR501" s="343">
        <f>IFERROR(1/(1-(AQ501/100)),"0")</f>
        <v/>
      </c>
      <c r="AS501" s="1239" t="n">
        <v>30</v>
      </c>
      <c r="AT501" s="345" t="n">
        <v>10</v>
      </c>
      <c r="AU501" s="1240" t="n"/>
      <c r="AV501" s="1241" t="n"/>
      <c r="AW501" s="1242">
        <f>+H501-AV501</f>
        <v/>
      </c>
    </row>
    <row r="502" ht="17.25" customHeight="1">
      <c r="A502" s="973" t="n"/>
      <c r="B502" s="971" t="n"/>
      <c r="C502" s="972" t="n"/>
      <c r="D502" s="973"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73"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73"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73"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75" t="n"/>
      <c r="E506" s="975" t="n"/>
      <c r="F506" s="998" t="n"/>
      <c r="G506" s="998" t="n"/>
      <c r="H506" s="975" t="n"/>
      <c r="I506" s="975" t="n"/>
      <c r="J506" s="975" t="n"/>
      <c r="K506" s="1189">
        <f>K501=L506</f>
        <v/>
      </c>
      <c r="L506" s="491">
        <f>SUM(L501:L505)</f>
        <v/>
      </c>
      <c r="M506" s="1190" t="inlineStr">
        <is>
          <t xml:space="preserve">“Verdadero” indica que la cantidad por lote, coincide con el saldo que inicia al mes siguiente. "Falso" no coinicide. </t>
        </is>
      </c>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413">
        <f>MAYO!K507</f>
        <v/>
      </c>
      <c r="E507" s="339">
        <f>H103</f>
        <v/>
      </c>
      <c r="F507" s="338" t="n">
        <v>2331</v>
      </c>
      <c r="G507" s="338" t="n">
        <v>23</v>
      </c>
      <c r="H507" s="1235">
        <f>+F507+G507</f>
        <v/>
      </c>
      <c r="I507" s="340">
        <f>+AM507</f>
        <v/>
      </c>
      <c r="J507" s="341">
        <f>+H507+I507</f>
        <v/>
      </c>
      <c r="K507" s="583">
        <f>+(D507+E507)-(J507)</f>
        <v/>
      </c>
      <c r="L507" s="253" t="n">
        <v>1852</v>
      </c>
      <c r="M507" s="254" t="inlineStr">
        <is>
          <t>0126N030</t>
        </is>
      </c>
      <c r="N507" s="254" t="inlineStr">
        <is>
          <t>Serum</t>
        </is>
      </c>
      <c r="O507" s="1183" t="inlineStr">
        <is>
          <t>31/07/2028</t>
        </is>
      </c>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v>699</v>
      </c>
      <c r="AA507" s="648" t="n">
        <v>564</v>
      </c>
      <c r="AB507" s="649">
        <f>+Z507+AA507</f>
        <v/>
      </c>
      <c r="AC507" s="648" t="n">
        <v>0</v>
      </c>
      <c r="AD507" s="648" t="n">
        <v>0</v>
      </c>
      <c r="AE507" s="648" t="n">
        <v>0</v>
      </c>
      <c r="AF507" s="648" t="n">
        <v>0</v>
      </c>
      <c r="AG507" s="648" t="n">
        <v>0</v>
      </c>
      <c r="AH507" s="648" t="n">
        <v>0</v>
      </c>
      <c r="AI507" s="648" t="n">
        <v>0</v>
      </c>
      <c r="AJ507" s="648" t="n">
        <v>0</v>
      </c>
      <c r="AK507" s="648" t="n">
        <v>0</v>
      </c>
      <c r="AL507" s="648" t="n">
        <v>0</v>
      </c>
      <c r="AM507" s="421">
        <f>SUM(AB507:AL511)</f>
        <v/>
      </c>
      <c r="AN507" s="726" t="n"/>
      <c r="AQ507" s="1238">
        <f>IFERROR(I507/J507*100,"0")</f>
        <v/>
      </c>
      <c r="AR507" s="343">
        <f>IFERROR(1/(1-(AQ507/100)),"0")</f>
        <v/>
      </c>
      <c r="AS507" s="1239" t="n">
        <v>0</v>
      </c>
      <c r="AT507" s="345" t="n">
        <v>1</v>
      </c>
      <c r="AU507" s="1240" t="n"/>
      <c r="AV507" s="1241" t="n"/>
      <c r="AW507" s="1242">
        <f>+H507-AV507</f>
        <v/>
      </c>
    </row>
    <row r="508" ht="17.25" customHeight="1">
      <c r="A508" s="973" t="n"/>
      <c r="B508" s="971" t="n"/>
      <c r="C508" s="972" t="n"/>
      <c r="D508" s="973" t="n"/>
      <c r="E508" s="973" t="n"/>
      <c r="F508" s="994" t="n"/>
      <c r="G508" s="994" t="n"/>
      <c r="H508" s="973" t="n"/>
      <c r="I508" s="973" t="n"/>
      <c r="J508" s="973" t="n"/>
      <c r="K508" s="973" t="n"/>
      <c r="L508" s="253" t="n">
        <v>241</v>
      </c>
      <c r="M508" s="254" t="inlineStr">
        <is>
          <t>0094W002</t>
        </is>
      </c>
      <c r="N508" s="254" t="inlineStr">
        <is>
          <t>Serum</t>
        </is>
      </c>
      <c r="O508" s="1183" t="inlineStr">
        <is>
          <t>30/11/2026</t>
        </is>
      </c>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73" t="n"/>
      <c r="E509" s="973" t="n"/>
      <c r="F509" s="994" t="n"/>
      <c r="G509" s="994" t="n"/>
      <c r="H509" s="973" t="n"/>
      <c r="I509" s="973" t="n"/>
      <c r="J509" s="973" t="n"/>
      <c r="K509" s="973" t="n"/>
      <c r="L509" s="253" t="n"/>
      <c r="M509" s="254" t="n"/>
      <c r="N509" s="254" t="inlineStr"/>
      <c r="O509" s="1183" t="inlineStr"/>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73" t="n"/>
      <c r="E510" s="973" t="n"/>
      <c r="F510" s="994" t="n"/>
      <c r="G510" s="994" t="n"/>
      <c r="H510" s="973" t="n"/>
      <c r="I510" s="973" t="n"/>
      <c r="J510" s="973" t="n"/>
      <c r="K510" s="973" t="n"/>
      <c r="L510" s="253" t="n">
        <v>307</v>
      </c>
      <c r="M510" s="254" t="inlineStr">
        <is>
          <t>0095M002</t>
        </is>
      </c>
      <c r="N510" s="254" t="inlineStr">
        <is>
          <t>Serum</t>
        </is>
      </c>
      <c r="O510" s="1183" t="inlineStr">
        <is>
          <t>30/11/2027</t>
        </is>
      </c>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73" t="n"/>
      <c r="E511" s="973" t="n"/>
      <c r="F511" s="994" t="n"/>
      <c r="G511" s="994" t="n"/>
      <c r="H511" s="973" t="n"/>
      <c r="I511" s="973" t="n"/>
      <c r="J511" s="973" t="n"/>
      <c r="K511" s="975" t="n"/>
      <c r="L511" s="253" t="n">
        <v>128</v>
      </c>
      <c r="M511" s="254" t="inlineStr">
        <is>
          <t>0096M003</t>
        </is>
      </c>
      <c r="N511" s="254" t="inlineStr">
        <is>
          <t>Serum</t>
        </is>
      </c>
      <c r="O511" s="1183" t="inlineStr">
        <is>
          <t>31/07/2028</t>
        </is>
      </c>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75" t="n"/>
      <c r="E512" s="975" t="n"/>
      <c r="F512" s="998" t="n"/>
      <c r="G512" s="998" t="n"/>
      <c r="H512" s="975" t="n"/>
      <c r="I512" s="975" t="n"/>
      <c r="J512" s="975" t="n"/>
      <c r="K512" s="1189">
        <f>K507=L512</f>
        <v/>
      </c>
      <c r="L512" s="491">
        <f>SUM(L507:L511)</f>
        <v/>
      </c>
      <c r="M512" s="1190" t="inlineStr">
        <is>
          <t xml:space="preserve">“Verdadero” indica que la cantidad por lote, coincide con el saldo que inicia al mes siguiente. "Falso" no coinicide. </t>
        </is>
      </c>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413">
        <f>MAYO!K513</f>
        <v/>
      </c>
      <c r="E513" s="339">
        <f>H109</f>
        <v/>
      </c>
      <c r="F513" s="338" t="n">
        <v>0</v>
      </c>
      <c r="G513" s="338" t="n">
        <v>0</v>
      </c>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v>0</v>
      </c>
      <c r="AA513" s="648" t="n">
        <v>0</v>
      </c>
      <c r="AB513" s="649">
        <f>+Z513+AA513</f>
        <v/>
      </c>
      <c r="AC513" s="648" t="n">
        <v>0</v>
      </c>
      <c r="AD513" s="648" t="n">
        <v>0</v>
      </c>
      <c r="AE513" s="648" t="n">
        <v>0</v>
      </c>
      <c r="AF513" s="648" t="n">
        <v>0</v>
      </c>
      <c r="AG513" s="648" t="n">
        <v>0</v>
      </c>
      <c r="AH513" s="648" t="n">
        <v>0</v>
      </c>
      <c r="AI513" s="648" t="n">
        <v>0</v>
      </c>
      <c r="AJ513" s="648" t="n">
        <v>0</v>
      </c>
      <c r="AK513" s="648" t="n">
        <v>0</v>
      </c>
      <c r="AL513" s="648" t="n">
        <v>0</v>
      </c>
      <c r="AM513" s="421">
        <f>SUM(AB513:AL517)</f>
        <v/>
      </c>
      <c r="AN513" s="726" t="n"/>
      <c r="AQ513" s="1238">
        <f>IFERROR(I513/J513*100,"0")</f>
        <v/>
      </c>
      <c r="AR513" s="343">
        <f>IFERROR(1/(1-(AQ513/100)),"0")</f>
        <v/>
      </c>
      <c r="AS513" s="1239" t="n">
        <v>30</v>
      </c>
      <c r="AT513" s="345" t="n">
        <v>10</v>
      </c>
      <c r="AU513" s="1240" t="n"/>
      <c r="AV513" s="1241" t="n"/>
      <c r="AW513" s="1242">
        <f>+H513-AV513</f>
        <v/>
      </c>
    </row>
    <row r="514" ht="17.25" customHeight="1">
      <c r="A514" s="973" t="n"/>
      <c r="B514" s="971" t="n"/>
      <c r="C514" s="972" t="n"/>
      <c r="D514" s="973"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73"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73"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73"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75" t="n"/>
      <c r="E518" s="975" t="n"/>
      <c r="F518" s="998" t="n"/>
      <c r="G518" s="998" t="n"/>
      <c r="H518" s="975" t="n"/>
      <c r="I518" s="975" t="n"/>
      <c r="J518" s="975" t="n"/>
      <c r="K518" s="1189">
        <f>K513=L518</f>
        <v/>
      </c>
      <c r="L518" s="491">
        <f>SUM(L513:L517)</f>
        <v/>
      </c>
      <c r="M518" s="1190" t="inlineStr">
        <is>
          <t xml:space="preserve">“Verdadero” indica que la cantidad por lote, coincide con el saldo que inicia al mes siguiente. "Falso" no coinicide. </t>
        </is>
      </c>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413">
        <f>MAYO!K519</f>
        <v/>
      </c>
      <c r="E519" s="339">
        <f>H115</f>
        <v/>
      </c>
      <c r="F519" s="338" t="n">
        <v>0</v>
      </c>
      <c r="G519" s="338" t="n">
        <v>0</v>
      </c>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v>0</v>
      </c>
      <c r="AA519" s="648" t="n">
        <v>0</v>
      </c>
      <c r="AB519" s="649">
        <f>+Z519+AA519</f>
        <v/>
      </c>
      <c r="AC519" s="648" t="n">
        <v>0</v>
      </c>
      <c r="AD519" s="648" t="n">
        <v>0</v>
      </c>
      <c r="AE519" s="648" t="n">
        <v>0</v>
      </c>
      <c r="AF519" s="648" t="n">
        <v>0</v>
      </c>
      <c r="AG519" s="648" t="n">
        <v>0</v>
      </c>
      <c r="AH519" s="648" t="n">
        <v>0</v>
      </c>
      <c r="AI519" s="648" t="n">
        <v>0</v>
      </c>
      <c r="AJ519" s="648" t="n">
        <v>0</v>
      </c>
      <c r="AK519" s="648" t="n">
        <v>0</v>
      </c>
      <c r="AL519" s="648" t="n">
        <v>0</v>
      </c>
      <c r="AM519" s="421">
        <f>SUM(AB519:AL523)</f>
        <v/>
      </c>
      <c r="AN519" s="726" t="n"/>
      <c r="AQ519" s="1238">
        <f>IFERROR(I519/J519*100,"0")</f>
        <v/>
      </c>
      <c r="AR519" s="343">
        <f>IFERROR(1/(1-(AQ519/100)),"0")</f>
        <v/>
      </c>
      <c r="AS519" s="1239" t="n">
        <v>0</v>
      </c>
      <c r="AT519" s="345" t="n">
        <v>1</v>
      </c>
      <c r="AU519" s="1240" t="n"/>
      <c r="AV519" s="1241" t="n"/>
      <c r="AW519" s="1242">
        <f>+H519-AV519</f>
        <v/>
      </c>
    </row>
    <row r="520" ht="17.25" customHeight="1">
      <c r="A520" s="973" t="n"/>
      <c r="B520" s="971" t="n"/>
      <c r="C520" s="972" t="n"/>
      <c r="D520" s="973"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73"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73"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73"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75" t="n"/>
      <c r="E524" s="975" t="n"/>
      <c r="F524" s="998" t="n"/>
      <c r="G524" s="998" t="n"/>
      <c r="H524" s="975" t="n"/>
      <c r="I524" s="975" t="n"/>
      <c r="J524" s="975" t="n"/>
      <c r="K524" s="1189">
        <f>K519=L524</f>
        <v/>
      </c>
      <c r="L524" s="491">
        <f>SUM(L519:L523)</f>
        <v/>
      </c>
      <c r="M524" s="1190" t="inlineStr">
        <is>
          <t xml:space="preserve">“Verdadero” indica que la cantidad por lote, coincide con el saldo que inicia al mes siguiente. "Falso" no coinicide. </t>
        </is>
      </c>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413">
        <f>MAYO!K525</f>
        <v/>
      </c>
      <c r="E525" s="339">
        <f>H121</f>
        <v/>
      </c>
      <c r="F525" s="338" t="n">
        <v>2233</v>
      </c>
      <c r="G525" s="338" t="n">
        <v>35</v>
      </c>
      <c r="H525" s="1235">
        <f>+F525+G525</f>
        <v/>
      </c>
      <c r="I525" s="340">
        <f>+AM525</f>
        <v/>
      </c>
      <c r="J525" s="341">
        <f>+H525+I525</f>
        <v/>
      </c>
      <c r="K525" s="583">
        <f>+(D525+E525)-(J525)</f>
        <v/>
      </c>
      <c r="L525" s="253" t="n">
        <v>6511</v>
      </c>
      <c r="M525" s="254" t="inlineStr">
        <is>
          <t>Y3D32</t>
        </is>
      </c>
      <c r="N525" s="254" t="inlineStr">
        <is>
          <t>Sanofi Pasteur</t>
        </is>
      </c>
      <c r="O525" s="1183" t="inlineStr">
        <is>
          <t>30/04/2027</t>
        </is>
      </c>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v>2317</v>
      </c>
      <c r="AA525" s="648" t="n">
        <v>924</v>
      </c>
      <c r="AB525" s="649">
        <f>+Z525+AA525</f>
        <v/>
      </c>
      <c r="AC525" s="648" t="n">
        <v>0</v>
      </c>
      <c r="AD525" s="648" t="n">
        <v>0</v>
      </c>
      <c r="AE525" s="648" t="n">
        <v>0</v>
      </c>
      <c r="AF525" s="648" t="n">
        <v>0</v>
      </c>
      <c r="AG525" s="648" t="n">
        <v>0</v>
      </c>
      <c r="AH525" s="648" t="n">
        <v>0</v>
      </c>
      <c r="AI525" s="648" t="n">
        <v>0</v>
      </c>
      <c r="AJ525" s="648" t="n">
        <v>0</v>
      </c>
      <c r="AK525" s="648" t="n">
        <v>0</v>
      </c>
      <c r="AL525" s="648" t="n">
        <v>0</v>
      </c>
      <c r="AM525" s="421">
        <f>SUM(AB525:AL529)</f>
        <v/>
      </c>
      <c r="AN525" s="726" t="n"/>
      <c r="AQ525" s="1238">
        <f>IFERROR(I525/J525*100,"0")</f>
        <v/>
      </c>
      <c r="AR525" s="343">
        <f>IFERROR(1/(1-(AQ525/100)),"0")</f>
        <v/>
      </c>
      <c r="AS525" s="1239" t="n">
        <v>70</v>
      </c>
      <c r="AT525" s="345" t="n">
        <v>10</v>
      </c>
      <c r="AU525" s="1240" t="n"/>
      <c r="AV525" s="1241" t="n"/>
      <c r="AW525" s="1242">
        <f>+H525-AV525</f>
        <v/>
      </c>
    </row>
    <row r="526" ht="17.25" customHeight="1">
      <c r="A526" s="973" t="n"/>
      <c r="B526" s="971" t="n"/>
      <c r="C526" s="972" t="n"/>
      <c r="D526" s="973" t="n"/>
      <c r="E526" s="973" t="n"/>
      <c r="F526" s="994" t="n"/>
      <c r="G526" s="994" t="n"/>
      <c r="H526" s="973" t="n"/>
      <c r="I526" s="973" t="n"/>
      <c r="J526" s="973" t="n"/>
      <c r="K526" s="973" t="n"/>
      <c r="L526" s="253" t="n">
        <v>28</v>
      </c>
      <c r="M526" s="254" t="inlineStr">
        <is>
          <t>318</t>
        </is>
      </c>
      <c r="N526" s="254" t="inlineStr">
        <is>
          <t>Sanofi Pasteur</t>
        </is>
      </c>
      <c r="O526" s="1183" t="inlineStr">
        <is>
          <t>30/04/2027</t>
        </is>
      </c>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73" t="n"/>
      <c r="E527" s="973" t="n"/>
      <c r="F527" s="994" t="n"/>
      <c r="G527" s="994" t="n"/>
      <c r="H527" s="973" t="n"/>
      <c r="I527" s="973" t="n"/>
      <c r="J527" s="973" t="n"/>
      <c r="K527" s="973" t="n"/>
      <c r="L527" s="253" t="n"/>
      <c r="M527" s="254" t="n"/>
      <c r="N527" s="254" t="inlineStr"/>
      <c r="O527" s="1183" t="inlineStr"/>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73" t="n"/>
      <c r="E528" s="973" t="n"/>
      <c r="F528" s="994" t="n"/>
      <c r="G528" s="994" t="n"/>
      <c r="H528" s="973" t="n"/>
      <c r="I528" s="973" t="n"/>
      <c r="J528" s="973" t="n"/>
      <c r="K528" s="973" t="n"/>
      <c r="L528" s="253" t="n"/>
      <c r="M528" s="254" t="n"/>
      <c r="N528" s="254" t="inlineStr"/>
      <c r="O528" s="1183" t="inlineStr"/>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73" t="n"/>
      <c r="E529" s="973" t="n"/>
      <c r="F529" s="994" t="n"/>
      <c r="G529" s="994" t="n"/>
      <c r="H529" s="973" t="n"/>
      <c r="I529" s="973" t="n"/>
      <c r="J529" s="973" t="n"/>
      <c r="K529" s="975" t="n"/>
      <c r="L529" s="253" t="n"/>
      <c r="M529" s="254" t="n"/>
      <c r="N529" s="254" t="inlineStr"/>
      <c r="O529" s="1183" t="inlineStr"/>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75" t="n"/>
      <c r="E530" s="975" t="n"/>
      <c r="F530" s="998" t="n"/>
      <c r="G530" s="998" t="n"/>
      <c r="H530" s="975" t="n"/>
      <c r="I530" s="975" t="n"/>
      <c r="J530" s="975" t="n"/>
      <c r="K530" s="1189">
        <f>K525=L530</f>
        <v/>
      </c>
      <c r="L530" s="491">
        <f>SUM(L525:L529)</f>
        <v/>
      </c>
      <c r="M530" s="1190" t="inlineStr">
        <is>
          <t xml:space="preserve">“Verdadero” indica que la cantidad por lote, coincide con el saldo que inicia al mes siguiente. "Falso" no coinicide. </t>
        </is>
      </c>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413">
        <f>MAYO!K531</f>
        <v/>
      </c>
      <c r="E531" s="339">
        <f>H127</f>
        <v/>
      </c>
      <c r="F531" s="338" t="n">
        <v>552</v>
      </c>
      <c r="G531" s="338" t="n">
        <v>13</v>
      </c>
      <c r="H531" s="1235">
        <f>+F531+G531</f>
        <v/>
      </c>
      <c r="I531" s="340">
        <f>+AM531</f>
        <v/>
      </c>
      <c r="J531" s="341">
        <f>+H531+I531</f>
        <v/>
      </c>
      <c r="K531" s="583">
        <f>+(D531+E531)-(J531)</f>
        <v/>
      </c>
      <c r="L531" s="253" t="n">
        <v>1522</v>
      </c>
      <c r="M531" s="254" t="inlineStr">
        <is>
          <t>AB202404013</t>
        </is>
      </c>
      <c r="N531" s="254" t="inlineStr">
        <is>
          <t>Sinovac</t>
        </is>
      </c>
      <c r="O531" s="1183" t="inlineStr">
        <is>
          <t>21/10/2027</t>
        </is>
      </c>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v>0</v>
      </c>
      <c r="AA531" s="648" t="n">
        <v>0</v>
      </c>
      <c r="AB531" s="649">
        <f>+Z531+AA531</f>
        <v/>
      </c>
      <c r="AC531" s="648" t="n">
        <v>0</v>
      </c>
      <c r="AD531" s="648" t="n">
        <v>0</v>
      </c>
      <c r="AE531" s="648" t="n">
        <v>0</v>
      </c>
      <c r="AF531" s="648" t="n">
        <v>0</v>
      </c>
      <c r="AG531" s="648" t="n">
        <v>0</v>
      </c>
      <c r="AH531" s="648" t="n">
        <v>0</v>
      </c>
      <c r="AI531" s="648" t="n">
        <v>0</v>
      </c>
      <c r="AJ531" s="648" t="n">
        <v>0</v>
      </c>
      <c r="AK531" s="648" t="n">
        <v>0</v>
      </c>
      <c r="AL531" s="648" t="n">
        <v>0</v>
      </c>
      <c r="AM531" s="421">
        <f>SUM(AB531:AL535)</f>
        <v/>
      </c>
      <c r="AN531" s="726" t="n"/>
      <c r="AQ531" s="1238">
        <f>IFERROR(I531/J531*100,"0")</f>
        <v/>
      </c>
      <c r="AR531" s="343">
        <f>IFERROR(1/(1-(AQ531/100)),"0")</f>
        <v/>
      </c>
      <c r="AS531" s="1239" t="n">
        <v>0</v>
      </c>
      <c r="AT531" s="345" t="n">
        <v>1</v>
      </c>
      <c r="AU531" s="1240" t="n"/>
      <c r="AV531" s="1241" t="n"/>
      <c r="AW531" s="1242">
        <f>+H531-AV531</f>
        <v/>
      </c>
    </row>
    <row r="532" ht="17.25" customHeight="1">
      <c r="A532" s="973" t="n"/>
      <c r="B532" s="971" t="n"/>
      <c r="C532" s="972" t="n"/>
      <c r="D532" s="973" t="n"/>
      <c r="E532" s="973" t="n"/>
      <c r="F532" s="994" t="n"/>
      <c r="G532" s="994" t="n"/>
      <c r="H532" s="973" t="n"/>
      <c r="I532" s="973" t="n"/>
      <c r="J532" s="973" t="n"/>
      <c r="K532" s="973" t="n"/>
      <c r="L532" s="253" t="n">
        <v>417</v>
      </c>
      <c r="M532" s="254" t="inlineStr">
        <is>
          <t>AB202403009</t>
        </is>
      </c>
      <c r="N532" s="254" t="inlineStr">
        <is>
          <t>Sinovac</t>
        </is>
      </c>
      <c r="O532" s="1183" t="inlineStr">
        <is>
          <t>04/09/2027</t>
        </is>
      </c>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73" t="n"/>
      <c r="E533" s="973" t="n"/>
      <c r="F533" s="994" t="n"/>
      <c r="G533" s="994" t="n"/>
      <c r="H533" s="973" t="n"/>
      <c r="I533" s="973" t="n"/>
      <c r="J533" s="973" t="n"/>
      <c r="K533" s="973" t="n"/>
      <c r="L533" s="253" t="n">
        <v>50</v>
      </c>
      <c r="M533" s="254" t="inlineStr">
        <is>
          <t>AB202410043</t>
        </is>
      </c>
      <c r="N533" s="254" t="inlineStr">
        <is>
          <t>Sinovac</t>
        </is>
      </c>
      <c r="O533" s="1183" t="inlineStr">
        <is>
          <t>25/04/2028</t>
        </is>
      </c>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73" t="n"/>
      <c r="E534" s="973" t="n"/>
      <c r="F534" s="994" t="n"/>
      <c r="G534" s="994" t="n"/>
      <c r="H534" s="973" t="n"/>
      <c r="I534" s="973" t="n"/>
      <c r="J534" s="973" t="n"/>
      <c r="K534" s="973" t="n"/>
      <c r="L534" s="253" t="n">
        <v>28</v>
      </c>
      <c r="M534" s="254" t="inlineStr">
        <is>
          <t>AB202403008</t>
        </is>
      </c>
      <c r="N534" s="254" t="inlineStr">
        <is>
          <t>Sinovac</t>
        </is>
      </c>
      <c r="O534" s="1183" t="inlineStr">
        <is>
          <t>04/09/2027</t>
        </is>
      </c>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73" t="n"/>
      <c r="E535" s="973" t="n"/>
      <c r="F535" s="994" t="n"/>
      <c r="G535" s="994" t="n"/>
      <c r="H535" s="973" t="n"/>
      <c r="I535" s="973" t="n"/>
      <c r="J535" s="973" t="n"/>
      <c r="K535" s="975" t="n"/>
      <c r="L535" s="253" t="n">
        <v>10</v>
      </c>
      <c r="M535" s="254" t="inlineStr">
        <is>
          <t>B202411048</t>
        </is>
      </c>
      <c r="N535" s="254" t="inlineStr">
        <is>
          <t>Sinovac</t>
        </is>
      </c>
      <c r="O535" s="1183" t="inlineStr">
        <is>
          <t>03/05/2028</t>
        </is>
      </c>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75" t="n"/>
      <c r="E536" s="975" t="n"/>
      <c r="F536" s="998" t="n"/>
      <c r="G536" s="998" t="n"/>
      <c r="H536" s="975" t="n"/>
      <c r="I536" s="975" t="n"/>
      <c r="J536" s="975" t="n"/>
      <c r="K536" s="1189">
        <f>K531=L536</f>
        <v/>
      </c>
      <c r="L536" s="491">
        <f>SUM(L531:L535)</f>
        <v/>
      </c>
      <c r="M536" s="1190" t="inlineStr">
        <is>
          <t xml:space="preserve">“Verdadero” indica que la cantidad por lote, coincide con el saldo que inicia al mes siguiente. "Falso" no coinicide. </t>
        </is>
      </c>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413">
        <f>MAYO!K537</f>
        <v/>
      </c>
      <c r="E537" s="339">
        <f>H133</f>
        <v/>
      </c>
      <c r="F537" s="338" t="n">
        <v>1247</v>
      </c>
      <c r="G537" s="338" t="n">
        <v>20</v>
      </c>
      <c r="H537" s="1235">
        <f>+F537+G537</f>
        <v/>
      </c>
      <c r="I537" s="340">
        <f>+AM537</f>
        <v/>
      </c>
      <c r="J537" s="341">
        <f>+H537+I537</f>
        <v/>
      </c>
      <c r="K537" s="583">
        <f>+(D537+E537)-(J537)</f>
        <v/>
      </c>
      <c r="L537" s="253" t="n">
        <v>1356</v>
      </c>
      <c r="M537" s="254" t="inlineStr">
        <is>
          <t>BB202506051</t>
        </is>
      </c>
      <c r="N537" s="254" t="inlineStr">
        <is>
          <t>Sinovac</t>
        </is>
      </c>
      <c r="O537" s="1183" t="inlineStr">
        <is>
          <t>12/06/2027</t>
        </is>
      </c>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v>1</v>
      </c>
      <c r="AA537" s="648" t="n">
        <v>0</v>
      </c>
      <c r="AB537" s="649">
        <f>+Z537+AA537</f>
        <v/>
      </c>
      <c r="AC537" s="648" t="n">
        <v>0</v>
      </c>
      <c r="AD537" s="648" t="n">
        <v>0</v>
      </c>
      <c r="AE537" s="648" t="n">
        <v>0</v>
      </c>
      <c r="AF537" s="648" t="n">
        <v>0</v>
      </c>
      <c r="AG537" s="648" t="n">
        <v>0</v>
      </c>
      <c r="AH537" s="648" t="n">
        <v>0</v>
      </c>
      <c r="AI537" s="648" t="n">
        <v>0</v>
      </c>
      <c r="AJ537" s="648" t="n">
        <v>0</v>
      </c>
      <c r="AK537" s="648" t="n">
        <v>0</v>
      </c>
      <c r="AL537" s="648" t="n">
        <v>0</v>
      </c>
      <c r="AM537" s="421">
        <f>SUM(AB537:AL541)</f>
        <v/>
      </c>
      <c r="AN537" s="726" t="n"/>
      <c r="AQ537" s="1238">
        <f>IFERROR(I537/J537*100,"0")</f>
        <v/>
      </c>
      <c r="AR537" s="343">
        <f>IFERROR(1/(1-(AQ537/100)),"0")</f>
        <v/>
      </c>
      <c r="AS537" s="1239" t="n">
        <v>0</v>
      </c>
      <c r="AT537" s="345" t="n">
        <v>1</v>
      </c>
      <c r="AU537" s="1240" t="n"/>
      <c r="AV537" s="1241" t="n"/>
      <c r="AW537" s="1242">
        <f>+H537-AV537</f>
        <v/>
      </c>
    </row>
    <row r="538" ht="17.25" customHeight="1">
      <c r="A538" s="973" t="n"/>
      <c r="B538" s="971" t="n"/>
      <c r="C538" s="972" t="n"/>
      <c r="D538" s="973" t="n"/>
      <c r="E538" s="973" t="n"/>
      <c r="F538" s="994" t="n"/>
      <c r="G538" s="994" t="n"/>
      <c r="H538" s="973" t="n"/>
      <c r="I538" s="973" t="n"/>
      <c r="J538" s="973" t="n"/>
      <c r="K538" s="973" t="n"/>
      <c r="L538" s="253" t="n">
        <v>416</v>
      </c>
      <c r="M538" s="254" t="inlineStr">
        <is>
          <t>BB202506052</t>
        </is>
      </c>
      <c r="N538" s="254" t="inlineStr">
        <is>
          <t>Sinovac</t>
        </is>
      </c>
      <c r="O538" s="1183" t="inlineStr">
        <is>
          <t>16/06/2027</t>
        </is>
      </c>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73" t="n"/>
      <c r="E539" s="973" t="n"/>
      <c r="F539" s="994" t="n"/>
      <c r="G539" s="994" t="n"/>
      <c r="H539" s="973" t="n"/>
      <c r="I539" s="973" t="n"/>
      <c r="J539" s="973" t="n"/>
      <c r="K539" s="973" t="n"/>
      <c r="L539" s="253" t="n">
        <v>8</v>
      </c>
      <c r="M539" s="254" t="inlineStr">
        <is>
          <t>Z002927</t>
        </is>
      </c>
      <c r="N539" s="254" t="inlineStr">
        <is>
          <t>MSD</t>
        </is>
      </c>
      <c r="O539" s="1183" t="inlineStr">
        <is>
          <t>14/01/2027</t>
        </is>
      </c>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73" t="n"/>
      <c r="E540" s="973" t="n"/>
      <c r="F540" s="994" t="n"/>
      <c r="G540" s="994" t="n"/>
      <c r="H540" s="973" t="n"/>
      <c r="I540" s="973" t="n"/>
      <c r="J540" s="973" t="n"/>
      <c r="K540" s="973" t="n"/>
      <c r="L540" s="253" t="n">
        <v>4</v>
      </c>
      <c r="M540" s="254" t="inlineStr">
        <is>
          <t>Y018866</t>
        </is>
      </c>
      <c r="N540" s="254" t="inlineStr">
        <is>
          <t>MSD</t>
        </is>
      </c>
      <c r="O540" s="1183" t="inlineStr">
        <is>
          <t>13/11/2026</t>
        </is>
      </c>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73" t="n"/>
      <c r="E541" s="973" t="n"/>
      <c r="F541" s="994" t="n"/>
      <c r="G541" s="994" t="n"/>
      <c r="H541" s="973" t="n"/>
      <c r="I541" s="973" t="n"/>
      <c r="J541" s="973" t="n"/>
      <c r="K541" s="975" t="n"/>
      <c r="L541" s="253" t="n">
        <v>1</v>
      </c>
      <c r="M541" s="254" t="inlineStr">
        <is>
          <t>Z002992</t>
        </is>
      </c>
      <c r="N541" s="254" t="inlineStr">
        <is>
          <t>MSD</t>
        </is>
      </c>
      <c r="O541" s="1183" t="inlineStr">
        <is>
          <t>15/01/2027</t>
        </is>
      </c>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75" t="n"/>
      <c r="E542" s="975" t="n"/>
      <c r="F542" s="998" t="n"/>
      <c r="G542" s="998" t="n"/>
      <c r="H542" s="975" t="n"/>
      <c r="I542" s="975" t="n"/>
      <c r="J542" s="975" t="n"/>
      <c r="K542" s="1189">
        <f>K537=L542</f>
        <v/>
      </c>
      <c r="L542" s="491">
        <f>SUM(L537:L541)</f>
        <v/>
      </c>
      <c r="M542" s="1190" t="inlineStr">
        <is>
          <t xml:space="preserve">“Verdadero” indica que la cantidad por lote, coincide con el saldo que inicia al mes siguiente. "Falso" no coinicide. </t>
        </is>
      </c>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413">
        <f>MAYO!K543</f>
        <v/>
      </c>
      <c r="E543" s="339">
        <f>H139</f>
        <v/>
      </c>
      <c r="F543" s="338" t="n">
        <v>0</v>
      </c>
      <c r="G543" s="338" t="n">
        <v>0</v>
      </c>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v>0</v>
      </c>
      <c r="AA543" s="648" t="n">
        <v>0</v>
      </c>
      <c r="AB543" s="649">
        <f>+Z543+AA543</f>
        <v/>
      </c>
      <c r="AC543" s="648" t="n">
        <v>0</v>
      </c>
      <c r="AD543" s="648" t="n">
        <v>0</v>
      </c>
      <c r="AE543" s="648" t="n">
        <v>0</v>
      </c>
      <c r="AF543" s="648" t="n">
        <v>0</v>
      </c>
      <c r="AG543" s="648" t="n">
        <v>0</v>
      </c>
      <c r="AH543" s="648" t="n">
        <v>0</v>
      </c>
      <c r="AI543" s="648" t="n">
        <v>0</v>
      </c>
      <c r="AJ543" s="648" t="n">
        <v>0</v>
      </c>
      <c r="AK543" s="648" t="n">
        <v>0</v>
      </c>
      <c r="AL543" s="648" t="n">
        <v>0</v>
      </c>
      <c r="AM543" s="421">
        <f>SUM(AB543:AL547)</f>
        <v/>
      </c>
      <c r="AN543" s="726" t="n"/>
      <c r="AQ543" s="1238">
        <f>IFERROR(I543/J543*100,"0")</f>
        <v/>
      </c>
      <c r="AR543" s="343">
        <f>IFERROR(1/(1-(AQ543/100)),"0")</f>
        <v/>
      </c>
      <c r="AS543" s="1239" t="n">
        <v>0</v>
      </c>
      <c r="AT543" s="345" t="n">
        <v>1</v>
      </c>
      <c r="AU543" s="1240" t="n"/>
      <c r="AV543" s="1241" t="n"/>
      <c r="AW543" s="1242">
        <f>+H543-AV543</f>
        <v/>
      </c>
    </row>
    <row r="544" ht="17.25" customHeight="1">
      <c r="A544" s="973" t="n"/>
      <c r="B544" s="971" t="n"/>
      <c r="C544" s="972" t="n"/>
      <c r="D544" s="973"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73"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73"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73"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75" t="n"/>
      <c r="E548" s="975" t="n"/>
      <c r="F548" s="998" t="n"/>
      <c r="G548" s="998" t="n"/>
      <c r="H548" s="975" t="n"/>
      <c r="I548" s="975" t="n"/>
      <c r="J548" s="975" t="n"/>
      <c r="K548" s="1189">
        <f>K543=L548</f>
        <v/>
      </c>
      <c r="L548" s="491">
        <f>SUM(L543:L547)</f>
        <v/>
      </c>
      <c r="M548" s="1190" t="inlineStr">
        <is>
          <t xml:space="preserve">“Verdadero” indica que la cantidad por lote, coincide con el saldo que inicia al mes siguiente. "Falso" no coinicide. </t>
        </is>
      </c>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413">
        <f>MAYO!K549</f>
        <v/>
      </c>
      <c r="E549" s="339">
        <f>H145</f>
        <v/>
      </c>
      <c r="F549" s="338" t="n">
        <v>1063</v>
      </c>
      <c r="G549" s="338" t="n">
        <v>14</v>
      </c>
      <c r="H549" s="1235">
        <f>+F549+G549</f>
        <v/>
      </c>
      <c r="I549" s="340">
        <f>+AM549</f>
        <v/>
      </c>
      <c r="J549" s="341">
        <f>+H549+I549</f>
        <v/>
      </c>
      <c r="K549" s="583">
        <f>+(D549+E549)-(J549)</f>
        <v/>
      </c>
      <c r="L549" s="253" t="n">
        <v>731</v>
      </c>
      <c r="M549" s="254" t="inlineStr">
        <is>
          <t>2334L016E</t>
        </is>
      </c>
      <c r="N549" s="254" t="inlineStr">
        <is>
          <t>Serum</t>
        </is>
      </c>
      <c r="O549" s="1183" t="inlineStr">
        <is>
          <t>31/03/2027</t>
        </is>
      </c>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v>69</v>
      </c>
      <c r="AA549" s="648" t="n">
        <v>67</v>
      </c>
      <c r="AB549" s="649">
        <f>+Z549+AA549</f>
        <v/>
      </c>
      <c r="AC549" s="648" t="n">
        <v>0</v>
      </c>
      <c r="AD549" s="648" t="n">
        <v>0</v>
      </c>
      <c r="AE549" s="648" t="n">
        <v>0</v>
      </c>
      <c r="AF549" s="648" t="n">
        <v>0</v>
      </c>
      <c r="AG549" s="648" t="n">
        <v>0</v>
      </c>
      <c r="AH549" s="648" t="n">
        <v>0</v>
      </c>
      <c r="AI549" s="648" t="n">
        <v>0</v>
      </c>
      <c r="AJ549" s="648" t="n">
        <v>0</v>
      </c>
      <c r="AK549" s="648" t="n">
        <v>0</v>
      </c>
      <c r="AL549" s="648" t="n">
        <v>0</v>
      </c>
      <c r="AM549" s="421">
        <f>SUM(AB549:AL553)</f>
        <v/>
      </c>
      <c r="AN549" s="726" t="n"/>
      <c r="AQ549" s="1238">
        <f>IFERROR(I549/J549*100,"0")</f>
        <v/>
      </c>
      <c r="AR549" s="343">
        <f>IFERROR(1/(1-(AQ549/100)),"0")</f>
        <v/>
      </c>
      <c r="AS549" s="1239" t="n">
        <v>15</v>
      </c>
      <c r="AT549" s="345" t="n">
        <v>10</v>
      </c>
      <c r="AU549" s="1240" t="n"/>
      <c r="AV549" s="1241" t="n"/>
      <c r="AW549" s="1242">
        <f>+H549-AV549</f>
        <v/>
      </c>
    </row>
    <row r="550" ht="17.25" customHeight="1">
      <c r="A550" s="973" t="n"/>
      <c r="B550" s="971" t="n"/>
      <c r="C550" s="972" t="n"/>
      <c r="D550" s="973" t="n"/>
      <c r="E550" s="973" t="n"/>
      <c r="F550" s="994" t="n"/>
      <c r="G550" s="994" t="n"/>
      <c r="H550" s="973" t="n"/>
      <c r="I550" s="973" t="n"/>
      <c r="J550" s="973" t="n"/>
      <c r="K550" s="973" t="n"/>
      <c r="L550" s="253" t="n">
        <v>614</v>
      </c>
      <c r="M550" s="254" t="inlineStr">
        <is>
          <t>2335L013D</t>
        </is>
      </c>
      <c r="N550" s="254" t="inlineStr">
        <is>
          <t>Serum</t>
        </is>
      </c>
      <c r="O550" s="1183" t="inlineStr">
        <is>
          <t>30/04/2028</t>
        </is>
      </c>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73" t="n"/>
      <c r="E551" s="973" t="n"/>
      <c r="F551" s="994" t="n"/>
      <c r="G551" s="994" t="n"/>
      <c r="H551" s="973" t="n"/>
      <c r="I551" s="973" t="n"/>
      <c r="J551" s="973" t="n"/>
      <c r="K551" s="973" t="n"/>
      <c r="L551" s="253" t="n">
        <v>652</v>
      </c>
      <c r="M551" s="254" t="inlineStr">
        <is>
          <t>2334L010B</t>
        </is>
      </c>
      <c r="N551" s="254" t="inlineStr">
        <is>
          <t>Serum</t>
        </is>
      </c>
      <c r="O551" s="1183" t="inlineStr">
        <is>
          <t>31/01/2027</t>
        </is>
      </c>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73" t="n"/>
      <c r="E552" s="973" t="n"/>
      <c r="F552" s="994" t="n"/>
      <c r="G552" s="994" t="n"/>
      <c r="H552" s="973" t="n"/>
      <c r="I552" s="973" t="n"/>
      <c r="J552" s="973" t="n"/>
      <c r="K552" s="973" t="n"/>
      <c r="L552" s="253" t="n">
        <v>18</v>
      </c>
      <c r="M552" s="254" t="inlineStr">
        <is>
          <t>2333X043B</t>
        </is>
      </c>
      <c r="N552" s="254" t="inlineStr">
        <is>
          <t>Serum</t>
        </is>
      </c>
      <c r="O552" s="1183" t="inlineStr">
        <is>
          <t>31/10/2026</t>
        </is>
      </c>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73" t="n"/>
      <c r="E553" s="973" t="n"/>
      <c r="F553" s="994" t="n"/>
      <c r="G553" s="994" t="n"/>
      <c r="H553" s="973" t="n"/>
      <c r="I553" s="973" t="n"/>
      <c r="J553" s="973" t="n"/>
      <c r="K553" s="975" t="n"/>
      <c r="L553" s="253" t="n"/>
      <c r="M553" s="254" t="n"/>
      <c r="N553" s="254" t="n"/>
      <c r="O553" s="1183" t="n"/>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75" t="n"/>
      <c r="E554" s="975" t="n"/>
      <c r="F554" s="998" t="n"/>
      <c r="G554" s="998" t="n"/>
      <c r="H554" s="975" t="n"/>
      <c r="I554" s="975" t="n"/>
      <c r="J554" s="975" t="n"/>
      <c r="K554" s="1189">
        <f>K549=L554</f>
        <v/>
      </c>
      <c r="L554" s="491">
        <f>SUM(L549:L553)</f>
        <v/>
      </c>
      <c r="M554" s="1190" t="inlineStr">
        <is>
          <t xml:space="preserve">“Verdadero” indica que la cantidad por lote, coincide con el saldo que inicia al mes siguiente. "Falso" no coinicide. </t>
        </is>
      </c>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413">
        <f>MAYO!K555</f>
        <v/>
      </c>
      <c r="E555" s="339">
        <f>H151</f>
        <v/>
      </c>
      <c r="F555" s="338" t="n">
        <v>550</v>
      </c>
      <c r="G555" s="338" t="n">
        <v>25</v>
      </c>
      <c r="H555" s="1235">
        <f>+F555+G555</f>
        <v/>
      </c>
      <c r="I555" s="340">
        <f>+AM555</f>
        <v/>
      </c>
      <c r="J555" s="341">
        <f>+H555+I555</f>
        <v/>
      </c>
      <c r="K555" s="583">
        <f>+(D555+E555)-(J555)</f>
        <v/>
      </c>
      <c r="L555" s="253" t="n">
        <v>601</v>
      </c>
      <c r="M555" s="254" t="inlineStr">
        <is>
          <t>3CA50C1</t>
        </is>
      </c>
      <c r="N555" s="254" t="inlineStr">
        <is>
          <t>Sanofi Pasteur</t>
        </is>
      </c>
      <c r="O555" s="1183" t="inlineStr">
        <is>
          <t>30/09/2027</t>
        </is>
      </c>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v>0</v>
      </c>
      <c r="AA555" s="648" t="n">
        <v>0</v>
      </c>
      <c r="AB555" s="649">
        <f>+Z555+AA555</f>
        <v/>
      </c>
      <c r="AC555" s="648" t="n">
        <v>0</v>
      </c>
      <c r="AD555" s="648" t="n">
        <v>0</v>
      </c>
      <c r="AE555" s="648" t="n">
        <v>0</v>
      </c>
      <c r="AF555" s="648" t="n">
        <v>0</v>
      </c>
      <c r="AG555" s="648" t="n">
        <v>0</v>
      </c>
      <c r="AH555" s="648" t="n">
        <v>0</v>
      </c>
      <c r="AI555" s="648" t="n">
        <v>0</v>
      </c>
      <c r="AJ555" s="648" t="n">
        <v>0</v>
      </c>
      <c r="AK555" s="648" t="n">
        <v>0</v>
      </c>
      <c r="AL555" s="648" t="n">
        <v>0</v>
      </c>
      <c r="AM555" s="421">
        <f>SUM(AB555:AL559)</f>
        <v/>
      </c>
      <c r="AN555" s="726" t="n"/>
      <c r="AQ555" s="1238">
        <f>IFERROR(I555/J555*100,"0")</f>
        <v/>
      </c>
      <c r="AR555" s="343">
        <f>IFERROR(1/(1-(AQ555/100)),"0")</f>
        <v/>
      </c>
      <c r="AS555" s="1239" t="n">
        <v>0</v>
      </c>
      <c r="AT555" s="345" t="n">
        <v>1</v>
      </c>
      <c r="AU555" s="1240" t="n"/>
      <c r="AV555" s="1241" t="n"/>
      <c r="AW555" s="1242">
        <f>+H555-AV555</f>
        <v/>
      </c>
    </row>
    <row r="556" ht="17.25" customHeight="1">
      <c r="A556" s="973" t="n"/>
      <c r="B556" s="971" t="n"/>
      <c r="C556" s="972" t="n"/>
      <c r="D556" s="973" t="n"/>
      <c r="E556" s="973" t="n"/>
      <c r="F556" s="994" t="n"/>
      <c r="G556" s="994" t="n"/>
      <c r="H556" s="973" t="n"/>
      <c r="I556" s="973" t="n"/>
      <c r="J556" s="973" t="n"/>
      <c r="K556" s="973" t="n"/>
      <c r="L556" s="253" t="n">
        <v>603</v>
      </c>
      <c r="M556" s="254" t="inlineStr">
        <is>
          <t>5DA79D1</t>
        </is>
      </c>
      <c r="N556" s="254" t="inlineStr">
        <is>
          <t>Sanofi Pasteur</t>
        </is>
      </c>
      <c r="O556" s="1183" t="inlineStr">
        <is>
          <t>30/09/2028</t>
        </is>
      </c>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73" t="n"/>
      <c r="E557" s="973" t="n"/>
      <c r="F557" s="994" t="n"/>
      <c r="G557" s="994" t="n"/>
      <c r="H557" s="973" t="n"/>
      <c r="I557" s="973" t="n"/>
      <c r="J557" s="973" t="n"/>
      <c r="K557" s="973" t="n"/>
      <c r="L557" s="253" t="n">
        <v>3</v>
      </c>
      <c r="M557" s="254" t="inlineStr">
        <is>
          <t>AC37B466AA</t>
        </is>
      </c>
      <c r="N557" s="254" t="inlineStr">
        <is>
          <t>Glaxo SmithKline</t>
        </is>
      </c>
      <c r="O557" s="1183" t="inlineStr">
        <is>
          <t>31/03/2027</t>
        </is>
      </c>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73" t="n"/>
      <c r="E558" s="973" t="n"/>
      <c r="F558" s="994" t="n"/>
      <c r="G558" s="994" t="n"/>
      <c r="H558" s="973" t="n"/>
      <c r="I558" s="973" t="n"/>
      <c r="J558" s="973" t="n"/>
      <c r="K558" s="973" t="n"/>
      <c r="L558" s="253" t="n"/>
      <c r="M558" s="254" t="n"/>
      <c r="N558" s="254" t="n"/>
      <c r="O558" s="1183" t="n"/>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73"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75" t="n"/>
      <c r="E560" s="975" t="n"/>
      <c r="F560" s="998" t="n"/>
      <c r="G560" s="998" t="n"/>
      <c r="H560" s="975" t="n"/>
      <c r="I560" s="975" t="n"/>
      <c r="J560" s="975" t="n"/>
      <c r="K560" s="1189">
        <f>K555=L560</f>
        <v/>
      </c>
      <c r="L560" s="491">
        <f>SUM(L555:L559)</f>
        <v/>
      </c>
      <c r="M560" s="1190" t="inlineStr">
        <is>
          <t xml:space="preserve">“Verdadero” indica que la cantidad por lote, coincide con el saldo que inicia al mes siguiente. "Falso" no coinicide. </t>
        </is>
      </c>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66">
        <f>MAYO!K561</f>
        <v/>
      </c>
      <c r="E561" s="339">
        <f>H157</f>
        <v/>
      </c>
      <c r="F561" s="338" t="n">
        <v>3346</v>
      </c>
      <c r="G561" s="338" t="n">
        <v>25</v>
      </c>
      <c r="H561" s="1235">
        <f>+F561+G561</f>
        <v/>
      </c>
      <c r="I561" s="340">
        <f>+AM561</f>
        <v/>
      </c>
      <c r="J561" s="341">
        <f>+H561+I561</f>
        <v/>
      </c>
      <c r="K561" s="583">
        <f>+(D561-D564+D565)+E561-J561</f>
        <v/>
      </c>
      <c r="L561" s="253" t="n">
        <v>1339</v>
      </c>
      <c r="M561" s="254" t="inlineStr">
        <is>
          <t>2600761-00</t>
        </is>
      </c>
      <c r="N561" s="254" t="inlineStr">
        <is>
          <t>BUTANTAN</t>
        </is>
      </c>
      <c r="O561" s="1183" t="inlineStr">
        <is>
          <t>31/01/2027</t>
        </is>
      </c>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v>84</v>
      </c>
      <c r="AA561" s="648" t="n">
        <v>89</v>
      </c>
      <c r="AB561" s="649">
        <f>+Z561+AA561</f>
        <v/>
      </c>
      <c r="AC561" s="648" t="n">
        <v>0</v>
      </c>
      <c r="AD561" s="648" t="n">
        <v>0</v>
      </c>
      <c r="AE561" s="648" t="n">
        <v>0</v>
      </c>
      <c r="AF561" s="648" t="n">
        <v>0</v>
      </c>
      <c r="AG561" s="648" t="n">
        <v>0</v>
      </c>
      <c r="AH561" s="648" t="n">
        <v>0</v>
      </c>
      <c r="AI561" s="648" t="n">
        <v>0</v>
      </c>
      <c r="AJ561" s="648" t="n">
        <v>1</v>
      </c>
      <c r="AK561" s="648" t="n">
        <v>0</v>
      </c>
      <c r="AL561" s="648" t="n">
        <v>0</v>
      </c>
      <c r="AM561" s="421">
        <f>SUM(AB561:AL565)</f>
        <v/>
      </c>
      <c r="AN561" s="726" t="n"/>
      <c r="AQ561" s="1238">
        <f>IFERROR(I561/J561*100,"0")</f>
        <v/>
      </c>
      <c r="AR561" s="343">
        <f>IFERROR(1/(1-(AQ561/100)),"0")</f>
        <v/>
      </c>
      <c r="AS561" s="1239" t="n">
        <v>15</v>
      </c>
      <c r="AT561" s="345" t="n">
        <v>20</v>
      </c>
      <c r="AU561" s="1240" t="n"/>
      <c r="AV561" s="1241" t="n"/>
      <c r="AW561" s="1242">
        <f>+H561-AV561</f>
        <v/>
      </c>
    </row>
    <row r="562" ht="19.5" customHeight="1">
      <c r="A562" s="973" t="n"/>
      <c r="B562" s="971" t="n"/>
      <c r="C562" s="972" t="n"/>
      <c r="D562" s="973" t="n"/>
      <c r="E562" s="973" t="n"/>
      <c r="F562" s="994" t="n"/>
      <c r="G562" s="994" t="n"/>
      <c r="H562" s="973" t="n"/>
      <c r="I562" s="973" t="n"/>
      <c r="J562" s="973" t="n"/>
      <c r="K562" s="973" t="n"/>
      <c r="L562" s="253" t="n"/>
      <c r="M562" s="254" t="n"/>
      <c r="N562" s="254" t="inlineStr"/>
      <c r="O562" s="1183" t="inlineStr"/>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75" t="n"/>
      <c r="E563" s="973" t="n"/>
      <c r="F563" s="994" t="n"/>
      <c r="G563" s="994" t="n"/>
      <c r="H563" s="973" t="n"/>
      <c r="I563" s="973" t="n"/>
      <c r="J563" s="973" t="n"/>
      <c r="K563" s="973" t="n"/>
      <c r="L563" s="253" t="n"/>
      <c r="M563" s="254" t="n"/>
      <c r="N563" s="254" t="inlineStr"/>
      <c r="O563" s="1183" t="inlineStr"/>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c r="M564" s="254" t="n"/>
      <c r="N564" s="254" t="inlineStr"/>
      <c r="O564" s="1183" t="inlineStr"/>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inlineStr"/>
      <c r="O565" s="1183" t="inlineStr"/>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inlineStr">
        <is>
          <t xml:space="preserve">“Verdadero” indica que la cantidad por lote, coincide con el saldo que inicia al mes siguiente. "Falso" no coinicide. </t>
        </is>
      </c>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66">
        <f>MAYO!K567</f>
        <v/>
      </c>
      <c r="E567" s="1244">
        <f>H163</f>
        <v/>
      </c>
      <c r="F567" s="338" t="n">
        <v>9572</v>
      </c>
      <c r="G567" s="338" t="n">
        <v>91</v>
      </c>
      <c r="H567" s="1235">
        <f>+F567+G567</f>
        <v/>
      </c>
      <c r="I567" s="340">
        <f>+AM567</f>
        <v/>
      </c>
      <c r="J567" s="341">
        <f>+H567+I567</f>
        <v/>
      </c>
      <c r="K567" s="583">
        <f>(D567-D570+D571+E567)-(J567)</f>
        <v/>
      </c>
      <c r="L567" s="253" t="n">
        <v>4738</v>
      </c>
      <c r="M567" s="254" t="inlineStr">
        <is>
          <t>V50526002</t>
        </is>
      </c>
      <c r="N567" s="254" t="inlineStr">
        <is>
          <t>GC BIOPHARMA CORP</t>
        </is>
      </c>
      <c r="O567" s="1183" t="inlineStr">
        <is>
          <t>29/01/2027</t>
        </is>
      </c>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v>113</v>
      </c>
      <c r="AA567" s="648" t="n">
        <v>92</v>
      </c>
      <c r="AB567" s="649">
        <f>+Z567+AA567</f>
        <v/>
      </c>
      <c r="AC567" s="648" t="n">
        <v>0</v>
      </c>
      <c r="AD567" s="648" t="n">
        <v>0</v>
      </c>
      <c r="AE567" s="648" t="n">
        <v>0</v>
      </c>
      <c r="AF567" s="648" t="n">
        <v>0</v>
      </c>
      <c r="AG567" s="648" t="n">
        <v>0</v>
      </c>
      <c r="AH567" s="648" t="n">
        <v>0</v>
      </c>
      <c r="AI567" s="648" t="n">
        <v>0</v>
      </c>
      <c r="AJ567" s="648" t="n">
        <v>0</v>
      </c>
      <c r="AK567" s="648" t="n">
        <v>0</v>
      </c>
      <c r="AL567" s="648" t="n">
        <v>0</v>
      </c>
      <c r="AM567" s="421">
        <f>SUM(AB567:AL571)</f>
        <v/>
      </c>
      <c r="AN567" s="726" t="n"/>
      <c r="AQ567" s="1238">
        <f>IFERROR(I567/J567*100,"0")</f>
        <v/>
      </c>
      <c r="AR567" s="343">
        <f>IFERROR(1/(1-(AQ567/100)),"0")</f>
        <v/>
      </c>
      <c r="AS567" s="1239" t="n">
        <v>10</v>
      </c>
      <c r="AT567" s="345" t="n">
        <v>10</v>
      </c>
      <c r="AU567" s="1240" t="n"/>
      <c r="AV567" s="1241" t="n"/>
      <c r="AW567" s="1242">
        <f>+H567-AV567</f>
        <v/>
      </c>
    </row>
    <row r="568" ht="19.5" customHeight="1">
      <c r="A568" s="973" t="n"/>
      <c r="B568" s="971" t="n"/>
      <c r="C568" s="972" t="n"/>
      <c r="D568" s="973" t="n"/>
      <c r="E568" s="973" t="n"/>
      <c r="F568" s="994" t="n"/>
      <c r="G568" s="994" t="n"/>
      <c r="H568" s="973" t="n"/>
      <c r="I568" s="973" t="n"/>
      <c r="J568" s="973" t="n"/>
      <c r="K568" s="973" t="n"/>
      <c r="L568" s="253" t="n">
        <v>5868</v>
      </c>
      <c r="M568" s="254" t="inlineStr">
        <is>
          <t>2600761-00</t>
        </is>
      </c>
      <c r="N568" s="254" t="inlineStr">
        <is>
          <t>BUTANTAN</t>
        </is>
      </c>
      <c r="O568" s="1183" t="inlineStr">
        <is>
          <t>31/01/2027</t>
        </is>
      </c>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75" t="n"/>
      <c r="E569" s="973" t="n"/>
      <c r="F569" s="994" t="n"/>
      <c r="G569" s="994" t="n"/>
      <c r="H569" s="973" t="n"/>
      <c r="I569" s="973" t="n"/>
      <c r="J569" s="973" t="n"/>
      <c r="K569" s="973" t="n"/>
      <c r="L569" s="253" t="n"/>
      <c r="M569" s="254" t="n"/>
      <c r="N569" s="254" t="inlineStr"/>
      <c r="O569" s="1183" t="inlineStr"/>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v>616</v>
      </c>
      <c r="M570" s="254" t="inlineStr">
        <is>
          <t>V50526006</t>
        </is>
      </c>
      <c r="N570" s="254" t="inlineStr">
        <is>
          <t>GC BIOPHARMA CORP</t>
        </is>
      </c>
      <c r="O570" s="1183" t="inlineStr">
        <is>
          <t>08/02/2027</t>
        </is>
      </c>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inlineStr"/>
      <c r="O571" s="1183" t="inlineStr"/>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inlineStr">
        <is>
          <t xml:space="preserve">“Verdadero” indica que la cantidad por lote, coincide con el saldo que inicia al mes siguiente. "Falso" no coinicide. </t>
        </is>
      </c>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413">
        <f>MAYO!K573</f>
        <v/>
      </c>
      <c r="E573" s="339">
        <f>H169</f>
        <v/>
      </c>
      <c r="F573" s="338" t="n">
        <v>489</v>
      </c>
      <c r="G573" s="338" t="n">
        <v>19</v>
      </c>
      <c r="H573" s="1235">
        <f>+F573+G573</f>
        <v/>
      </c>
      <c r="I573" s="340">
        <f>+AM573</f>
        <v/>
      </c>
      <c r="J573" s="341">
        <f>+H573+I573</f>
        <v/>
      </c>
      <c r="K573" s="583">
        <f>+(D573+E573)-(J573)</f>
        <v/>
      </c>
      <c r="L573" s="253" t="n">
        <v>287</v>
      </c>
      <c r="M573" s="254" t="inlineStr">
        <is>
          <t>NJ0375</t>
        </is>
      </c>
      <c r="N573" s="254" t="inlineStr">
        <is>
          <t>PFIZER</t>
        </is>
      </c>
      <c r="O573" s="1183" t="inlineStr">
        <is>
          <t>31/01/2029</t>
        </is>
      </c>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v>0</v>
      </c>
      <c r="AA573" s="648" t="n">
        <v>0</v>
      </c>
      <c r="AB573" s="649">
        <f>+Z573+AA573</f>
        <v/>
      </c>
      <c r="AC573" s="648" t="n">
        <v>0</v>
      </c>
      <c r="AD573" s="648" t="n">
        <v>0</v>
      </c>
      <c r="AE573" s="648" t="n">
        <v>0</v>
      </c>
      <c r="AF573" s="648" t="n">
        <v>0</v>
      </c>
      <c r="AG573" s="648" t="n">
        <v>0</v>
      </c>
      <c r="AH573" s="648" t="n">
        <v>0</v>
      </c>
      <c r="AI573" s="648" t="n">
        <v>0</v>
      </c>
      <c r="AJ573" s="648" t="n">
        <v>0</v>
      </c>
      <c r="AK573" s="648" t="n">
        <v>0</v>
      </c>
      <c r="AL573" s="648" t="n">
        <v>0</v>
      </c>
      <c r="AM573" s="421">
        <f>SUM(AB573:AL577)</f>
        <v/>
      </c>
      <c r="AN573" s="726" t="n"/>
      <c r="AQ573" s="1238">
        <f>IFERROR(I573/J573*100,"0")</f>
        <v/>
      </c>
      <c r="AR573" s="343">
        <f>IFERROR(1/(1-(AQ573/100)),"0")</f>
        <v/>
      </c>
      <c r="AS573" s="1239" t="n">
        <v>0</v>
      </c>
      <c r="AT573" s="345" t="n">
        <v>1</v>
      </c>
      <c r="AU573" s="1240" t="n"/>
      <c r="AV573" s="1241" t="n"/>
      <c r="AW573" s="1242">
        <f>+H573-AV573</f>
        <v/>
      </c>
    </row>
    <row r="574" ht="17.25" customHeight="1">
      <c r="A574" s="973" t="n"/>
      <c r="B574" s="971" t="n"/>
      <c r="C574" s="972" t="n"/>
      <c r="D574" s="973" t="n"/>
      <c r="E574" s="973" t="n"/>
      <c r="F574" s="994" t="n"/>
      <c r="G574" s="994" t="n"/>
      <c r="H574" s="973" t="n"/>
      <c r="I574" s="973" t="n"/>
      <c r="J574" s="973" t="n"/>
      <c r="K574" s="973" t="n"/>
      <c r="L574" s="253" t="n">
        <v>163</v>
      </c>
      <c r="M574" s="254" t="inlineStr">
        <is>
          <t>MH8217</t>
        </is>
      </c>
      <c r="N574" s="254" t="inlineStr">
        <is>
          <t>PFIZER</t>
        </is>
      </c>
      <c r="O574" s="1183" t="inlineStr">
        <is>
          <t>30/06/2027</t>
        </is>
      </c>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73" t="n"/>
      <c r="E575" s="973" t="n"/>
      <c r="F575" s="994" t="n"/>
      <c r="G575" s="994" t="n"/>
      <c r="H575" s="973" t="n"/>
      <c r="I575" s="973" t="n"/>
      <c r="J575" s="973" t="n"/>
      <c r="K575" s="973" t="n"/>
      <c r="L575" s="253" t="n">
        <v>127</v>
      </c>
      <c r="M575" s="254" t="inlineStr">
        <is>
          <t>NC6343</t>
        </is>
      </c>
      <c r="N575" s="254" t="inlineStr">
        <is>
          <t>PFIZER</t>
        </is>
      </c>
      <c r="O575" s="1183" t="inlineStr">
        <is>
          <t>31/10/2027</t>
        </is>
      </c>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73" t="n"/>
      <c r="E576" s="973" t="n"/>
      <c r="F576" s="994" t="n"/>
      <c r="G576" s="994" t="n"/>
      <c r="H576" s="973" t="n"/>
      <c r="I576" s="973" t="n"/>
      <c r="J576" s="973" t="n"/>
      <c r="K576" s="973" t="n"/>
      <c r="L576" s="253" t="n"/>
      <c r="M576" s="254" t="n"/>
      <c r="N576" s="254" t="inlineStr"/>
      <c r="O576" s="1183" t="inlineStr"/>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73" t="n"/>
      <c r="E577" s="973" t="n"/>
      <c r="F577" s="994" t="n"/>
      <c r="G577" s="994" t="n"/>
      <c r="H577" s="973" t="n"/>
      <c r="I577" s="973" t="n"/>
      <c r="J577" s="973" t="n"/>
      <c r="K577" s="975" t="n"/>
      <c r="L577" s="253" t="n"/>
      <c r="M577" s="254" t="n"/>
      <c r="N577" s="254" t="inlineStr"/>
      <c r="O577" s="1183" t="inlineStr"/>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75" t="n"/>
      <c r="E578" s="975" t="n"/>
      <c r="F578" s="998" t="n"/>
      <c r="G578" s="998" t="n"/>
      <c r="H578" s="975" t="n"/>
      <c r="I578" s="975" t="n"/>
      <c r="J578" s="975" t="n"/>
      <c r="K578" s="1189">
        <f>K573=L578</f>
        <v/>
      </c>
      <c r="L578" s="491">
        <f>SUM(L573:L577)</f>
        <v/>
      </c>
      <c r="M578" s="1190" t="inlineStr">
        <is>
          <t xml:space="preserve">“Verdadero” indica que la cantidad por lote, coincide con el saldo que inicia al mes siguiente. "Falso" no coinicide. </t>
        </is>
      </c>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413">
        <f>MAYO!K579</f>
        <v/>
      </c>
      <c r="E579" s="339">
        <f>H175</f>
        <v/>
      </c>
      <c r="F579" s="338" t="n">
        <v>1077</v>
      </c>
      <c r="G579" s="338" t="n">
        <v>31</v>
      </c>
      <c r="H579" s="1235">
        <f>+F579+G579</f>
        <v/>
      </c>
      <c r="I579" s="340">
        <f>+AM579</f>
        <v/>
      </c>
      <c r="J579" s="341">
        <f>+H579+I579</f>
        <v/>
      </c>
      <c r="K579" s="583">
        <f>+(D579+E579)-(J579)</f>
        <v/>
      </c>
      <c r="L579" s="253" t="n">
        <v>1454</v>
      </c>
      <c r="M579" s="254" t="inlineStr">
        <is>
          <t>Z004516</t>
        </is>
      </c>
      <c r="N579" s="254" t="inlineStr">
        <is>
          <t>MSD</t>
        </is>
      </c>
      <c r="O579" s="1183" t="inlineStr">
        <is>
          <t>22/09/2027</t>
        </is>
      </c>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v>0</v>
      </c>
      <c r="AA579" s="648" t="n">
        <v>0</v>
      </c>
      <c r="AB579" s="649">
        <f>+Z579+AA579</f>
        <v/>
      </c>
      <c r="AC579" s="648" t="n">
        <v>0</v>
      </c>
      <c r="AD579" s="648" t="n">
        <v>0</v>
      </c>
      <c r="AE579" s="648" t="n">
        <v>0</v>
      </c>
      <c r="AF579" s="648" t="n">
        <v>0</v>
      </c>
      <c r="AG579" s="648" t="n">
        <v>0</v>
      </c>
      <c r="AH579" s="648" t="n">
        <v>0</v>
      </c>
      <c r="AI579" s="648" t="n">
        <v>0</v>
      </c>
      <c r="AJ579" s="648" t="n">
        <v>0</v>
      </c>
      <c r="AK579" s="648" t="n">
        <v>0</v>
      </c>
      <c r="AL579" s="648" t="n">
        <v>0</v>
      </c>
      <c r="AM579" s="421">
        <f>SUM(AB579:AL583)</f>
        <v/>
      </c>
      <c r="AN579" s="726" t="n"/>
      <c r="AQ579" s="1238">
        <f>IFERROR(I579/J579*100,"0")</f>
        <v/>
      </c>
      <c r="AR579" s="343">
        <f>IFERROR(1/(1-(AQ579/100)),"0")</f>
        <v/>
      </c>
      <c r="AS579" s="1239" t="n">
        <v>0</v>
      </c>
      <c r="AT579" s="345" t="n">
        <v>1</v>
      </c>
      <c r="AU579" s="1240" t="n"/>
      <c r="AV579" s="1241" t="n"/>
      <c r="AW579" s="1242">
        <f>+H579-AV579</f>
        <v/>
      </c>
    </row>
    <row r="580" ht="17.25" customHeight="1">
      <c r="A580" s="973" t="n"/>
      <c r="B580" s="971" t="n"/>
      <c r="C580" s="972" t="n"/>
      <c r="D580" s="973" t="n"/>
      <c r="E580" s="973" t="n"/>
      <c r="F580" s="994" t="n"/>
      <c r="G580" s="994" t="n"/>
      <c r="H580" s="973" t="n"/>
      <c r="I580" s="973" t="n"/>
      <c r="J580" s="973" t="n"/>
      <c r="K580" s="973" t="n"/>
      <c r="L580" s="253" t="n">
        <v>1330</v>
      </c>
      <c r="M580" s="254" t="inlineStr">
        <is>
          <t>Y017576</t>
        </is>
      </c>
      <c r="N580" s="254" t="inlineStr">
        <is>
          <t>MERCK SHARP DOHME</t>
        </is>
      </c>
      <c r="O580" s="1183" t="inlineStr">
        <is>
          <t>05/06/2027</t>
        </is>
      </c>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73" t="n"/>
      <c r="E581" s="973" t="n"/>
      <c r="F581" s="994" t="n"/>
      <c r="G581" s="994" t="n"/>
      <c r="H581" s="973" t="n"/>
      <c r="I581" s="973" t="n"/>
      <c r="J581" s="973" t="n"/>
      <c r="K581" s="973" t="n"/>
      <c r="L581" s="253" t="n">
        <v>829</v>
      </c>
      <c r="M581" s="254" t="inlineStr">
        <is>
          <t>Y014828</t>
        </is>
      </c>
      <c r="N581" s="254" t="inlineStr">
        <is>
          <t>MERCK SHARP DOHME</t>
        </is>
      </c>
      <c r="O581" s="1183" t="inlineStr">
        <is>
          <t>31/05/2027</t>
        </is>
      </c>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73" t="n"/>
      <c r="E582" s="973" t="n"/>
      <c r="F582" s="994" t="n"/>
      <c r="G582" s="994" t="n"/>
      <c r="H582" s="973" t="n"/>
      <c r="I582" s="973" t="n"/>
      <c r="J582" s="973" t="n"/>
      <c r="K582" s="973" t="n"/>
      <c r="L582" s="253" t="n">
        <v>20</v>
      </c>
      <c r="M582" s="254" t="inlineStr">
        <is>
          <t>Y004352</t>
        </is>
      </c>
      <c r="N582" s="254" t="inlineStr">
        <is>
          <t>MSD</t>
        </is>
      </c>
      <c r="O582" s="1183" t="inlineStr">
        <is>
          <t>20/11/2026</t>
        </is>
      </c>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73"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75" t="n"/>
      <c r="E584" s="975" t="n"/>
      <c r="F584" s="998" t="n"/>
      <c r="G584" s="998" t="n"/>
      <c r="H584" s="975" t="n"/>
      <c r="I584" s="975" t="n"/>
      <c r="J584" s="975" t="n"/>
      <c r="K584" s="1189">
        <f>K579=L584</f>
        <v/>
      </c>
      <c r="L584" s="491">
        <f>SUM(L579:L583)</f>
        <v/>
      </c>
      <c r="M584" s="1190" t="inlineStr">
        <is>
          <t xml:space="preserve">“Verdadero” indica que la cantidad por lote, coincide con el saldo que inicia al mes siguiente. "Falso" no coinicide. </t>
        </is>
      </c>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413">
        <f>MAYO!K585</f>
        <v/>
      </c>
      <c r="E585" s="339">
        <f>H181</f>
        <v/>
      </c>
      <c r="F585" s="338" t="n">
        <v>0</v>
      </c>
      <c r="G585" s="338" t="n">
        <v>0</v>
      </c>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v>0</v>
      </c>
      <c r="AA585" s="648" t="n">
        <v>0</v>
      </c>
      <c r="AB585" s="649">
        <f>+Z585+AA585</f>
        <v/>
      </c>
      <c r="AC585" s="648" t="n">
        <v>0</v>
      </c>
      <c r="AD585" s="648" t="n">
        <v>0</v>
      </c>
      <c r="AE585" s="648" t="n">
        <v>0</v>
      </c>
      <c r="AF585" s="648" t="n">
        <v>0</v>
      </c>
      <c r="AG585" s="648" t="n">
        <v>0</v>
      </c>
      <c r="AH585" s="648" t="n">
        <v>0</v>
      </c>
      <c r="AI585" s="648" t="n">
        <v>0</v>
      </c>
      <c r="AJ585" s="648" t="n">
        <v>0</v>
      </c>
      <c r="AK585" s="648" t="n">
        <v>0</v>
      </c>
      <c r="AL585" s="648" t="n">
        <v>0</v>
      </c>
      <c r="AM585" s="421">
        <f>SUM(AB585:AL589)</f>
        <v/>
      </c>
      <c r="AN585" s="726" t="n"/>
      <c r="AQ585" s="1238">
        <f>IFERROR(I585/J585*100,"0")</f>
        <v/>
      </c>
      <c r="AR585" s="343">
        <f>IFERROR(1/(1-(AQ585/100)),"0")</f>
        <v/>
      </c>
      <c r="AS585" s="1239" t="n">
        <v>0</v>
      </c>
      <c r="AT585" s="345" t="n">
        <v>1</v>
      </c>
      <c r="AU585" s="1240" t="n"/>
      <c r="AV585" s="1241" t="n"/>
      <c r="AW585" s="1242">
        <f>+H585-AV585</f>
        <v/>
      </c>
    </row>
    <row r="586" ht="17.25" customHeight="1">
      <c r="A586" s="973" t="n"/>
      <c r="B586" s="971" t="n"/>
      <c r="C586" s="972" t="n"/>
      <c r="D586" s="973"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73"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73"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73"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75" t="n"/>
      <c r="E590" s="975" t="n"/>
      <c r="F590" s="998" t="n"/>
      <c r="G590" s="998" t="n"/>
      <c r="H590" s="975" t="n"/>
      <c r="I590" s="975" t="n"/>
      <c r="J590" s="975" t="n"/>
      <c r="K590" s="1189">
        <f>K585=L590</f>
        <v/>
      </c>
      <c r="L590" s="491">
        <f>SUM(L585:L589)</f>
        <v/>
      </c>
      <c r="M590" s="1190" t="inlineStr">
        <is>
          <t xml:space="preserve">“Verdadero” indica que la cantidad por lote, coincide con el saldo que inicia al mes siguiente. "Falso" no coinicide. </t>
        </is>
      </c>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413">
        <f>MAYO!K591</f>
        <v/>
      </c>
      <c r="E591" s="339">
        <f>H187</f>
        <v/>
      </c>
      <c r="F591" s="338" t="n">
        <v>408</v>
      </c>
      <c r="G591" s="338" t="n">
        <v>0</v>
      </c>
      <c r="H591" s="1235">
        <f>+F591+G591</f>
        <v/>
      </c>
      <c r="I591" s="340">
        <f>+AM591</f>
        <v/>
      </c>
      <c r="J591" s="341">
        <f>+H591+I591</f>
        <v/>
      </c>
      <c r="K591" s="583">
        <f>+(D591+E591)-(J591)</f>
        <v/>
      </c>
      <c r="L591" s="253" t="n">
        <v>324</v>
      </c>
      <c r="M591" s="254" t="inlineStr">
        <is>
          <t>1485T007</t>
        </is>
      </c>
      <c r="N591" s="254" t="inlineStr">
        <is>
          <t>Serum</t>
        </is>
      </c>
      <c r="O591" s="1183" t="inlineStr">
        <is>
          <t>31/01/2028</t>
        </is>
      </c>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v>0</v>
      </c>
      <c r="AA591" s="648" t="n">
        <v>0</v>
      </c>
      <c r="AB591" s="649">
        <f>+Z591+AA591</f>
        <v/>
      </c>
      <c r="AC591" s="648" t="n">
        <v>0</v>
      </c>
      <c r="AD591" s="648" t="n">
        <v>0</v>
      </c>
      <c r="AE591" s="648" t="n">
        <v>0</v>
      </c>
      <c r="AF591" s="648" t="n">
        <v>0</v>
      </c>
      <c r="AG591" s="648" t="n">
        <v>0</v>
      </c>
      <c r="AH591" s="648" t="n">
        <v>0</v>
      </c>
      <c r="AI591" s="648" t="n">
        <v>0</v>
      </c>
      <c r="AJ591" s="648" t="n">
        <v>0</v>
      </c>
      <c r="AK591" s="648" t="n">
        <v>0</v>
      </c>
      <c r="AL591" s="648" t="n">
        <v>0</v>
      </c>
      <c r="AM591" s="421">
        <f>SUM(AB591:AL595)</f>
        <v/>
      </c>
      <c r="AN591" s="726" t="n"/>
      <c r="AQ591" s="1238">
        <f>IFERROR(I591/J591*100,"0")</f>
        <v/>
      </c>
      <c r="AR591" s="343">
        <f>IFERROR(1/(1-(AQ591/100)),"0")</f>
        <v/>
      </c>
      <c r="AS591" s="1239" t="n">
        <v>0</v>
      </c>
      <c r="AT591" s="345" t="n">
        <v>1</v>
      </c>
      <c r="AU591" s="1240" t="n"/>
      <c r="AV591" s="1241" t="n"/>
      <c r="AW591" s="1242">
        <f>+H591-AV591</f>
        <v/>
      </c>
    </row>
    <row r="592" ht="17.25" customHeight="1">
      <c r="A592" s="973" t="n"/>
      <c r="B592" s="971" t="n"/>
      <c r="C592" s="972" t="n"/>
      <c r="D592" s="973" t="n"/>
      <c r="E592" s="973" t="n"/>
      <c r="F592" s="994" t="n"/>
      <c r="G592" s="994" t="n"/>
      <c r="H592" s="973" t="n"/>
      <c r="I592" s="973" t="n"/>
      <c r="J592" s="973" t="n"/>
      <c r="K592" s="973" t="n"/>
      <c r="L592" s="253" t="n">
        <v>116</v>
      </c>
      <c r="M592" s="254" t="inlineStr">
        <is>
          <t>1484T128</t>
        </is>
      </c>
      <c r="N592" s="254" t="inlineStr">
        <is>
          <t>Serum</t>
        </is>
      </c>
      <c r="O592" s="1183" t="inlineStr">
        <is>
          <t>31/10/2027</t>
        </is>
      </c>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73" t="n"/>
      <c r="E593" s="973" t="n"/>
      <c r="F593" s="994" t="n"/>
      <c r="G593" s="994" t="n"/>
      <c r="H593" s="973" t="n"/>
      <c r="I593" s="973" t="n"/>
      <c r="J593" s="973" t="n"/>
      <c r="K593" s="973" t="n"/>
      <c r="L593" s="253" t="n"/>
      <c r="M593" s="254" t="n"/>
      <c r="N593" s="254" t="inlineStr"/>
      <c r="O593" s="1183" t="inlineStr"/>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73" t="n"/>
      <c r="E594" s="973" t="n"/>
      <c r="F594" s="994" t="n"/>
      <c r="G594" s="994" t="n"/>
      <c r="H594" s="973" t="n"/>
      <c r="I594" s="973" t="n"/>
      <c r="J594" s="973" t="n"/>
      <c r="K594" s="973" t="n"/>
      <c r="L594" s="253" t="n"/>
      <c r="M594" s="254" t="n"/>
      <c r="N594" s="254" t="n"/>
      <c r="O594" s="1183" t="n"/>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73" t="n"/>
      <c r="E595" s="973" t="n"/>
      <c r="F595" s="994" t="n"/>
      <c r="G595" s="994" t="n"/>
      <c r="H595" s="973" t="n"/>
      <c r="I595" s="973" t="n"/>
      <c r="J595" s="973" t="n"/>
      <c r="K595" s="975" t="n"/>
      <c r="L595" s="253" t="n"/>
      <c r="M595" s="254" t="n"/>
      <c r="N595" s="254" t="n"/>
      <c r="O595" s="1183" t="n"/>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75" t="n"/>
      <c r="E596" s="975" t="n"/>
      <c r="F596" s="998" t="n"/>
      <c r="G596" s="998" t="n"/>
      <c r="H596" s="975" t="n"/>
      <c r="I596" s="975" t="n"/>
      <c r="J596" s="975" t="n"/>
      <c r="K596" s="1189">
        <f>K591=L596</f>
        <v/>
      </c>
      <c r="L596" s="491">
        <f>SUM(L591:L595)</f>
        <v/>
      </c>
      <c r="M596" s="1190" t="inlineStr">
        <is>
          <t xml:space="preserve">“Verdadero” indica que la cantidad por lote, coincide con el saldo que inicia al mes siguiente. "Falso" no coinicide. </t>
        </is>
      </c>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413">
        <f>MAYO!K597</f>
        <v/>
      </c>
      <c r="E597" s="339">
        <f>H193</f>
        <v/>
      </c>
      <c r="F597" s="338" t="n">
        <v>2</v>
      </c>
      <c r="G597" s="338" t="n">
        <v>0</v>
      </c>
      <c r="H597" s="1235">
        <f>+F597+G597</f>
        <v/>
      </c>
      <c r="I597" s="340">
        <f>+AM597</f>
        <v/>
      </c>
      <c r="J597" s="341">
        <f>+H597+I597</f>
        <v/>
      </c>
      <c r="K597" s="583">
        <f>+(D597+E597)-(J597)</f>
        <v/>
      </c>
      <c r="L597" s="253" t="n"/>
      <c r="M597" s="254" t="n"/>
      <c r="N597" s="254" t="inlineStr"/>
      <c r="O597" s="1183" t="inlineStr"/>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v>0</v>
      </c>
      <c r="AA597" s="648" t="n">
        <v>0</v>
      </c>
      <c r="AB597" s="649">
        <f>+Z597+AA597</f>
        <v/>
      </c>
      <c r="AC597" s="648" t="n">
        <v>0</v>
      </c>
      <c r="AD597" s="648" t="n">
        <v>0</v>
      </c>
      <c r="AE597" s="648" t="n">
        <v>0</v>
      </c>
      <c r="AF597" s="648" t="n">
        <v>0</v>
      </c>
      <c r="AG597" s="648" t="n">
        <v>0</v>
      </c>
      <c r="AH597" s="648" t="n">
        <v>0</v>
      </c>
      <c r="AI597" s="648" t="n">
        <v>0</v>
      </c>
      <c r="AJ597" s="648" t="n">
        <v>0</v>
      </c>
      <c r="AK597" s="648" t="n">
        <v>0</v>
      </c>
      <c r="AL597" s="648" t="n">
        <v>0</v>
      </c>
      <c r="AM597" s="421">
        <f>SUM(AB597:AL601)</f>
        <v/>
      </c>
      <c r="AN597" s="726" t="n"/>
      <c r="AQ597" s="1238">
        <f>IFERROR(I597/J597*100,"0")</f>
        <v/>
      </c>
      <c r="AR597" s="343">
        <f>IFERROR(1/(1-(AQ597/100)),"0")</f>
        <v/>
      </c>
      <c r="AS597" s="1239" t="n">
        <v>0</v>
      </c>
      <c r="AT597" s="345" t="n">
        <v>1</v>
      </c>
      <c r="AU597" s="1240" t="n"/>
      <c r="AV597" s="1241" t="n"/>
      <c r="AW597" s="1242">
        <f>+H597-AV597</f>
        <v/>
      </c>
    </row>
    <row r="598" ht="17.25" customHeight="1">
      <c r="A598" s="973" t="n"/>
      <c r="B598" s="971" t="n"/>
      <c r="C598" s="972" t="n"/>
      <c r="D598" s="973" t="n"/>
      <c r="E598" s="973" t="n"/>
      <c r="F598" s="994" t="n"/>
      <c r="G598" s="994" t="n"/>
      <c r="H598" s="973" t="n"/>
      <c r="I598" s="973" t="n"/>
      <c r="J598" s="973" t="n"/>
      <c r="K598" s="973" t="n"/>
      <c r="L598" s="253" t="n"/>
      <c r="M598" s="254" t="n"/>
      <c r="N598" s="254" t="n"/>
      <c r="O598" s="1183" t="n"/>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73" t="n"/>
      <c r="E599" s="973" t="n"/>
      <c r="F599" s="994" t="n"/>
      <c r="G599" s="994" t="n"/>
      <c r="H599" s="973" t="n"/>
      <c r="I599" s="973" t="n"/>
      <c r="J599" s="973" t="n"/>
      <c r="K599" s="973" t="n"/>
      <c r="L599" s="253" t="n">
        <v>17</v>
      </c>
      <c r="M599" s="254" t="inlineStr">
        <is>
          <t>P100819448</t>
        </is>
      </c>
      <c r="N599" s="254" t="inlineStr">
        <is>
          <t>CSL BEHRING</t>
        </is>
      </c>
      <c r="O599" s="1183" t="inlineStr">
        <is>
          <t>24/03/2028</t>
        </is>
      </c>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73"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73"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75" t="n"/>
      <c r="E602" s="975" t="n"/>
      <c r="F602" s="998" t="n"/>
      <c r="G602" s="998" t="n"/>
      <c r="H602" s="975" t="n"/>
      <c r="I602" s="975" t="n"/>
      <c r="J602" s="975" t="n"/>
      <c r="K602" s="1189">
        <f>K597=L602</f>
        <v/>
      </c>
      <c r="L602" s="491">
        <f>SUM(L597:L601)</f>
        <v/>
      </c>
      <c r="M602" s="1190" t="inlineStr">
        <is>
          <t xml:space="preserve">“Verdadero” indica que la cantidad por lote, coincide con el saldo que inicia al mes siguiente. "Falso" no coinicide. </t>
        </is>
      </c>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413">
        <f>MAYO!K603</f>
        <v/>
      </c>
      <c r="E603" s="339">
        <f>H199</f>
        <v/>
      </c>
      <c r="F603" s="338" t="n">
        <v>75</v>
      </c>
      <c r="G603" s="338" t="n">
        <v>0</v>
      </c>
      <c r="H603" s="1235">
        <f>+F603+G603</f>
        <v/>
      </c>
      <c r="I603" s="340">
        <f>+AM603</f>
        <v/>
      </c>
      <c r="J603" s="341">
        <f>+H603+I603</f>
        <v/>
      </c>
      <c r="K603" s="583">
        <f>+(D603+E603)-(J603)</f>
        <v/>
      </c>
      <c r="L603" s="253" t="n">
        <v>187</v>
      </c>
      <c r="M603" s="254" t="inlineStr">
        <is>
          <t>08AR25015</t>
        </is>
      </c>
      <c r="N603" s="254" t="inlineStr">
        <is>
          <t>CSL BEHRING</t>
        </is>
      </c>
      <c r="O603" s="1183" t="inlineStr">
        <is>
          <t>24/03/2028</t>
        </is>
      </c>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v>0</v>
      </c>
      <c r="AA603" s="648" t="n">
        <v>0</v>
      </c>
      <c r="AB603" s="649">
        <f>+Z603+AA603</f>
        <v/>
      </c>
      <c r="AC603" s="648" t="n">
        <v>0</v>
      </c>
      <c r="AD603" s="648" t="n">
        <v>0</v>
      </c>
      <c r="AE603" s="648" t="n">
        <v>0</v>
      </c>
      <c r="AF603" s="648" t="n">
        <v>0</v>
      </c>
      <c r="AG603" s="648" t="n">
        <v>0</v>
      </c>
      <c r="AH603" s="648" t="n">
        <v>0</v>
      </c>
      <c r="AI603" s="648" t="n">
        <v>0</v>
      </c>
      <c r="AJ603" s="648" t="n">
        <v>0</v>
      </c>
      <c r="AK603" s="648" t="n">
        <v>0</v>
      </c>
      <c r="AL603" s="648" t="n">
        <v>0</v>
      </c>
      <c r="AM603" s="421">
        <f>SUM(AB603:AL607)</f>
        <v/>
      </c>
      <c r="AN603" s="726" t="n"/>
      <c r="AQ603" s="1238">
        <f>IFERROR(I603/J603*100,"0")</f>
        <v/>
      </c>
      <c r="AR603" s="343">
        <f>IFERROR(1/(1-(AQ603/100)),"0")</f>
        <v/>
      </c>
      <c r="AS603" s="1239" t="n">
        <v>0</v>
      </c>
      <c r="AT603" s="345" t="n">
        <v>1</v>
      </c>
      <c r="AU603" s="1240" t="n"/>
      <c r="AV603" s="1241" t="n"/>
      <c r="AW603" s="1242">
        <f>+H603-AV603</f>
        <v/>
      </c>
    </row>
    <row r="604" ht="17.25" customHeight="1">
      <c r="A604" s="973" t="n"/>
      <c r="B604" s="971" t="n"/>
      <c r="C604" s="972" t="n"/>
      <c r="D604" s="973" t="n"/>
      <c r="E604" s="973" t="n"/>
      <c r="F604" s="994" t="n"/>
      <c r="G604" s="994" t="n"/>
      <c r="H604" s="973" t="n"/>
      <c r="I604" s="973" t="n"/>
      <c r="J604" s="973" t="n"/>
      <c r="K604" s="973" t="n"/>
      <c r="L604" s="253" t="n"/>
      <c r="M604" s="254" t="n"/>
      <c r="N604" s="254" t="inlineStr"/>
      <c r="O604" s="1183" t="inlineStr"/>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73" t="n"/>
      <c r="E605" s="973" t="n"/>
      <c r="F605" s="994" t="n"/>
      <c r="G605" s="994" t="n"/>
      <c r="H605" s="973" t="n"/>
      <c r="I605" s="973" t="n"/>
      <c r="J605" s="973" t="n"/>
      <c r="K605" s="973" t="n"/>
      <c r="L605" s="253" t="n"/>
      <c r="M605" s="254" t="n"/>
      <c r="N605" s="254" t="inlineStr"/>
      <c r="O605" s="1183" t="inlineStr"/>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73" t="n"/>
      <c r="E606" s="973" t="n"/>
      <c r="F606" s="994" t="n"/>
      <c r="G606" s="994" t="n"/>
      <c r="H606" s="973" t="n"/>
      <c r="I606" s="973" t="n"/>
      <c r="J606" s="973" t="n"/>
      <c r="K606" s="973" t="n"/>
      <c r="L606" s="253" t="n"/>
      <c r="M606" s="254" t="n"/>
      <c r="N606" s="254" t="inlineStr"/>
      <c r="O606" s="1183" t="inlineStr"/>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73" t="n"/>
      <c r="E607" s="973" t="n"/>
      <c r="F607" s="994" t="n"/>
      <c r="G607" s="994" t="n"/>
      <c r="H607" s="973" t="n"/>
      <c r="I607" s="973" t="n"/>
      <c r="J607" s="973" t="n"/>
      <c r="K607" s="975" t="n"/>
      <c r="L607" s="253" t="n"/>
      <c r="M607" s="254" t="n"/>
      <c r="N607" s="254" t="inlineStr"/>
      <c r="O607" s="1183" t="inlineStr"/>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75" t="n"/>
      <c r="E608" s="975" t="n"/>
      <c r="F608" s="998" t="n"/>
      <c r="G608" s="998" t="n"/>
      <c r="H608" s="975" t="n"/>
      <c r="I608" s="975" t="n"/>
      <c r="J608" s="975" t="n"/>
      <c r="K608" s="1189">
        <f>K603=L608</f>
        <v/>
      </c>
      <c r="L608" s="491">
        <f>SUM(L603:L607)</f>
        <v/>
      </c>
      <c r="M608" s="1190" t="inlineStr">
        <is>
          <t xml:space="preserve">“Verdadero” indica que la cantidad por lote, coincide con el saldo que inicia al mes siguiente. "Falso" no coinicide. </t>
        </is>
      </c>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413">
        <f>MAYO!K609</f>
        <v/>
      </c>
      <c r="E609" s="339">
        <f>H205</f>
        <v/>
      </c>
      <c r="F609" s="338" t="n">
        <v>9</v>
      </c>
      <c r="G609" s="338" t="n">
        <v>0</v>
      </c>
      <c r="H609" s="1235">
        <f>+F609+G609</f>
        <v/>
      </c>
      <c r="I609" s="340">
        <f>+AM609</f>
        <v/>
      </c>
      <c r="J609" s="341">
        <f>+H609+I609</f>
        <v/>
      </c>
      <c r="K609" s="583">
        <f>+(D609+E609)-(J609)</f>
        <v/>
      </c>
      <c r="L609" s="253" t="n">
        <v>36</v>
      </c>
      <c r="M609" s="254" t="inlineStr">
        <is>
          <t>P100756726</t>
        </is>
      </c>
      <c r="N609" s="254" t="inlineStr">
        <is>
          <t>CSL BEHRING</t>
        </is>
      </c>
      <c r="O609" s="1183" t="inlineStr">
        <is>
          <t>09/10/2027</t>
        </is>
      </c>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v>0</v>
      </c>
      <c r="AA609" s="648" t="n">
        <v>0</v>
      </c>
      <c r="AB609" s="649">
        <f>+Z609+AA609</f>
        <v/>
      </c>
      <c r="AC609" s="648" t="n">
        <v>0</v>
      </c>
      <c r="AD609" s="648" t="n">
        <v>0</v>
      </c>
      <c r="AE609" s="648" t="n">
        <v>0</v>
      </c>
      <c r="AF609" s="648" t="n">
        <v>0</v>
      </c>
      <c r="AG609" s="648" t="n">
        <v>1</v>
      </c>
      <c r="AH609" s="648" t="n">
        <v>0</v>
      </c>
      <c r="AI609" s="648" t="n">
        <v>0</v>
      </c>
      <c r="AJ609" s="648" t="n">
        <v>0</v>
      </c>
      <c r="AK609" s="648" t="n">
        <v>0</v>
      </c>
      <c r="AL609" s="648" t="n">
        <v>0</v>
      </c>
      <c r="AM609" s="421">
        <f>SUM(AB609:AL613)</f>
        <v/>
      </c>
      <c r="AN609" s="726" t="n"/>
      <c r="AQ609" s="1238">
        <f>IFERROR(I609/J609*100,"0")</f>
        <v/>
      </c>
      <c r="AR609" s="343">
        <f>IFERROR(1/(1-(AQ609/100)),"0")</f>
        <v/>
      </c>
      <c r="AS609" s="1239" t="n">
        <v>0</v>
      </c>
      <c r="AT609" s="345" t="n">
        <v>1</v>
      </c>
      <c r="AU609" s="1240" t="n"/>
      <c r="AV609" s="1241" t="n"/>
      <c r="AW609" s="1242">
        <f>+H609-AV609</f>
        <v/>
      </c>
    </row>
    <row r="610" ht="17.25" customHeight="1">
      <c r="A610" s="973" t="n"/>
      <c r="B610" s="971" t="n"/>
      <c r="C610" s="972" t="n"/>
      <c r="D610" s="973" t="n"/>
      <c r="E610" s="973" t="n"/>
      <c r="F610" s="994" t="n"/>
      <c r="G610" s="994" t="n"/>
      <c r="H610" s="973" t="n"/>
      <c r="I610" s="973" t="n"/>
      <c r="J610" s="973" t="n"/>
      <c r="K610" s="973" t="n"/>
      <c r="L610" s="253" t="n">
        <v>19</v>
      </c>
      <c r="M610" s="254" t="inlineStr">
        <is>
          <t>P100734570</t>
        </is>
      </c>
      <c r="N610" s="254" t="inlineStr">
        <is>
          <t>CSL BEHRING</t>
        </is>
      </c>
      <c r="O610" s="1183" t="inlineStr">
        <is>
          <t>12/02/2027</t>
        </is>
      </c>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73" t="n"/>
      <c r="E611" s="973" t="n"/>
      <c r="F611" s="994" t="n"/>
      <c r="G611" s="994" t="n"/>
      <c r="H611" s="973" t="n"/>
      <c r="I611" s="973" t="n"/>
      <c r="J611" s="973" t="n"/>
      <c r="K611" s="973" t="n"/>
      <c r="L611" s="253" t="n">
        <v>10</v>
      </c>
      <c r="M611" s="254" t="inlineStr">
        <is>
          <t>P100700727</t>
        </is>
      </c>
      <c r="N611" s="254" t="inlineStr">
        <is>
          <t>CSL BEHRING</t>
        </is>
      </c>
      <c r="O611" s="1183" t="inlineStr">
        <is>
          <t>08/04/2027</t>
        </is>
      </c>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73" t="n"/>
      <c r="E612" s="973" t="n"/>
      <c r="F612" s="994" t="n"/>
      <c r="G612" s="994" t="n"/>
      <c r="H612" s="973" t="n"/>
      <c r="I612" s="973" t="n"/>
      <c r="J612" s="973" t="n"/>
      <c r="K612" s="973" t="n"/>
      <c r="L612" s="253" t="n">
        <v>1</v>
      </c>
      <c r="M612" s="254" t="inlineStr">
        <is>
          <t>P100666739</t>
        </is>
      </c>
      <c r="N612" s="254" t="inlineStr">
        <is>
          <t>CSL BEHRING</t>
        </is>
      </c>
      <c r="O612" s="1183" t="inlineStr">
        <is>
          <t>12/02/2027</t>
        </is>
      </c>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73" t="n"/>
      <c r="E613" s="973" t="n"/>
      <c r="F613" s="994" t="n"/>
      <c r="G613" s="994" t="n"/>
      <c r="H613" s="973" t="n"/>
      <c r="I613" s="973" t="n"/>
      <c r="J613" s="973" t="n"/>
      <c r="K613" s="975" t="n"/>
      <c r="L613" s="253" t="n">
        <v>1</v>
      </c>
      <c r="M613" s="254" t="inlineStr">
        <is>
          <t>P100646141</t>
        </is>
      </c>
      <c r="N613" s="254" t="inlineStr">
        <is>
          <t>CSL BEHRING</t>
        </is>
      </c>
      <c r="O613" s="1183" t="inlineStr">
        <is>
          <t>27/11/2026</t>
        </is>
      </c>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75" t="n"/>
      <c r="E614" s="975" t="n"/>
      <c r="F614" s="998" t="n"/>
      <c r="G614" s="998" t="n"/>
      <c r="H614" s="975" t="n"/>
      <c r="I614" s="975" t="n"/>
      <c r="J614" s="975" t="n"/>
      <c r="K614" s="1189">
        <f>K609=L614</f>
        <v/>
      </c>
      <c r="L614" s="491">
        <f>SUM(L609:L613)</f>
        <v/>
      </c>
      <c r="M614" s="1190" t="inlineStr">
        <is>
          <t xml:space="preserve">“Verdadero” indica que la cantidad por lote, coincide con el saldo que inicia al mes siguiente. "Falso" no coinicide. </t>
        </is>
      </c>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413">
        <f>MAYO!K615</f>
        <v/>
      </c>
      <c r="E615" s="339">
        <f>H211</f>
        <v/>
      </c>
      <c r="F615" s="338" t="n">
        <v>0</v>
      </c>
      <c r="G615" s="338" t="n">
        <v>0</v>
      </c>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v>0</v>
      </c>
      <c r="AA615" s="648" t="n">
        <v>0</v>
      </c>
      <c r="AB615" s="649">
        <f>+Z615+AA615</f>
        <v/>
      </c>
      <c r="AC615" s="648" t="n">
        <v>0</v>
      </c>
      <c r="AD615" s="648" t="n">
        <v>0</v>
      </c>
      <c r="AE615" s="648" t="n">
        <v>0</v>
      </c>
      <c r="AF615" s="648" t="n">
        <v>0</v>
      </c>
      <c r="AG615" s="648" t="n">
        <v>0</v>
      </c>
      <c r="AH615" s="648" t="n">
        <v>0</v>
      </c>
      <c r="AI615" s="648" t="n">
        <v>0</v>
      </c>
      <c r="AJ615" s="648" t="n">
        <v>0</v>
      </c>
      <c r="AK615" s="648" t="n">
        <v>0</v>
      </c>
      <c r="AL615" s="648" t="n">
        <v>0</v>
      </c>
      <c r="AM615" s="421">
        <f>SUM(AB615:AL619)</f>
        <v/>
      </c>
      <c r="AN615" s="726" t="n"/>
      <c r="AQ615" s="1238">
        <f>IFERROR(I615/J615*100,"0")</f>
        <v/>
      </c>
      <c r="AR615" s="343">
        <f>IFERROR(1/(1-(AQ615/100)),"0")</f>
        <v/>
      </c>
      <c r="AS615" s="1239" t="n">
        <v>0</v>
      </c>
      <c r="AT615" s="345" t="n">
        <v>1</v>
      </c>
      <c r="AU615" s="1240" t="n"/>
      <c r="AV615" s="1241" t="n"/>
      <c r="AW615" s="1242">
        <f>+H615-AV615</f>
        <v/>
      </c>
    </row>
    <row r="616" ht="17.25" customHeight="1">
      <c r="A616" s="973" t="n"/>
      <c r="B616" s="971" t="n"/>
      <c r="C616" s="972" t="n"/>
      <c r="D616" s="973"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73"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73"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73"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75" t="n"/>
      <c r="E620" s="975" t="n"/>
      <c r="F620" s="998" t="n"/>
      <c r="G620" s="998" t="n"/>
      <c r="H620" s="975" t="n"/>
      <c r="I620" s="975" t="n"/>
      <c r="J620" s="975" t="n"/>
      <c r="K620" s="1189">
        <f>K615=L620</f>
        <v/>
      </c>
      <c r="L620" s="491">
        <f>SUM(L615:L619)</f>
        <v/>
      </c>
      <c r="M620" s="1190" t="inlineStr">
        <is>
          <t xml:space="preserve">“Verdadero” indica que la cantidad por lote, coincide con el saldo que inicia al mes siguiente. "Falso" no coinicide. </t>
        </is>
      </c>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413">
        <f>MAYO!K621</f>
        <v/>
      </c>
      <c r="E621" s="339">
        <f>H217</f>
        <v/>
      </c>
      <c r="F621" s="338" t="n">
        <v>0</v>
      </c>
      <c r="G621" s="338" t="n">
        <v>0</v>
      </c>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v>0</v>
      </c>
      <c r="AA621" s="648" t="n">
        <v>0</v>
      </c>
      <c r="AB621" s="649">
        <f>+Z621+AA621</f>
        <v/>
      </c>
      <c r="AC621" s="648" t="n">
        <v>0</v>
      </c>
      <c r="AD621" s="648" t="n">
        <v>0</v>
      </c>
      <c r="AE621" s="648" t="n">
        <v>0</v>
      </c>
      <c r="AF621" s="648" t="n">
        <v>0</v>
      </c>
      <c r="AG621" s="648" t="n">
        <v>0</v>
      </c>
      <c r="AH621" s="648" t="n">
        <v>0</v>
      </c>
      <c r="AI621" s="648" t="n">
        <v>0</v>
      </c>
      <c r="AJ621" s="648" t="n">
        <v>0</v>
      </c>
      <c r="AK621" s="648" t="n">
        <v>0</v>
      </c>
      <c r="AL621" s="648" t="n">
        <v>0</v>
      </c>
      <c r="AM621" s="421">
        <f>SUM(AB621:AL625)</f>
        <v/>
      </c>
      <c r="AN621" s="726" t="n"/>
      <c r="AQ621" s="1238">
        <f>IFERROR(I621/J621*100,"0")</f>
        <v/>
      </c>
      <c r="AR621" s="343">
        <f>IFERROR(1/(1-(AQ621/100)),"0")</f>
        <v/>
      </c>
      <c r="AS621" s="1239" t="n">
        <v>0</v>
      </c>
      <c r="AT621" s="345" t="n">
        <v>1</v>
      </c>
      <c r="AU621" s="1240" t="n"/>
      <c r="AV621" s="1241" t="n"/>
      <c r="AW621" s="1242">
        <f>+H621-AV621</f>
        <v/>
      </c>
    </row>
    <row r="622" ht="17.25" customHeight="1">
      <c r="A622" s="973" t="n"/>
      <c r="B622" s="971" t="n"/>
      <c r="C622" s="972" t="n"/>
      <c r="D622" s="973"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73"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73"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73"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75" t="n"/>
      <c r="E626" s="975" t="n"/>
      <c r="F626" s="998" t="n"/>
      <c r="G626" s="998" t="n"/>
      <c r="H626" s="975" t="n"/>
      <c r="I626" s="975" t="n"/>
      <c r="J626" s="975" t="n"/>
      <c r="K626" s="1189">
        <f>K621=L626</f>
        <v/>
      </c>
      <c r="L626" s="491">
        <f>SUM(L621:L625)</f>
        <v/>
      </c>
      <c r="M626" s="1190" t="inlineStr">
        <is>
          <t xml:space="preserve">“Verdadero” indica que la cantidad por lote, coincide con el saldo que inicia al mes siguiente. "Falso" no coinicide. </t>
        </is>
      </c>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413">
        <f>MAYO!K627</f>
        <v/>
      </c>
      <c r="E627" s="339">
        <f>H223</f>
        <v/>
      </c>
      <c r="F627" s="338" t="n">
        <v>0</v>
      </c>
      <c r="G627" s="338" t="n">
        <v>0</v>
      </c>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v>0</v>
      </c>
      <c r="AA627" s="648" t="n">
        <v>0</v>
      </c>
      <c r="AB627" s="649">
        <f>+Z627+AA627</f>
        <v/>
      </c>
      <c r="AC627" s="648" t="n">
        <v>0</v>
      </c>
      <c r="AD627" s="648" t="n">
        <v>0</v>
      </c>
      <c r="AE627" s="648" t="n">
        <v>0</v>
      </c>
      <c r="AF627" s="648" t="n">
        <v>0</v>
      </c>
      <c r="AG627" s="648" t="n">
        <v>0</v>
      </c>
      <c r="AH627" s="648" t="n">
        <v>0</v>
      </c>
      <c r="AI627" s="648" t="n">
        <v>0</v>
      </c>
      <c r="AJ627" s="648" t="n">
        <v>0</v>
      </c>
      <c r="AK627" s="648" t="n">
        <v>0</v>
      </c>
      <c r="AL627" s="648" t="n">
        <v>0</v>
      </c>
      <c r="AM627" s="421">
        <f>SUM(AB627:AL631)</f>
        <v/>
      </c>
      <c r="AN627" s="726" t="n"/>
      <c r="AQ627" s="1238">
        <f>IFERROR(I627/J627*100,"0")</f>
        <v/>
      </c>
      <c r="AR627" s="343">
        <f>IFERROR(1/(1-(AQ627/100)),"0")</f>
        <v/>
      </c>
      <c r="AS627" s="1239" t="n">
        <v>0</v>
      </c>
      <c r="AT627" s="345" t="n">
        <v>1</v>
      </c>
      <c r="AU627" s="1240" t="n"/>
      <c r="AV627" s="1241" t="n"/>
      <c r="AW627" s="1242">
        <f>+H627-AV627</f>
        <v/>
      </c>
    </row>
    <row r="628" ht="17.25" customHeight="1">
      <c r="A628" s="973" t="n"/>
      <c r="B628" s="971" t="n"/>
      <c r="C628" s="972" t="n"/>
      <c r="D628" s="973"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73"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73"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73"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75" t="n"/>
      <c r="E632" s="975" t="n"/>
      <c r="F632" s="998" t="n"/>
      <c r="G632" s="998" t="n"/>
      <c r="H632" s="975" t="n"/>
      <c r="I632" s="975" t="n"/>
      <c r="J632" s="975" t="n"/>
      <c r="K632" s="1189">
        <f>K627=L632</f>
        <v/>
      </c>
      <c r="L632" s="491">
        <f>SUM(L627:L631)</f>
        <v/>
      </c>
      <c r="M632" s="1190" t="inlineStr">
        <is>
          <t xml:space="preserve">“Verdadero” indica que la cantidad por lote, coincide con el saldo que inicia al mes siguiente. "Falso" no coinicide. </t>
        </is>
      </c>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647"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413">
        <f>MAYO!K634</f>
        <v/>
      </c>
      <c r="E634" s="339">
        <f>H230</f>
        <v/>
      </c>
      <c r="F634" s="338" t="n">
        <v>578</v>
      </c>
      <c r="G634" s="338" t="n">
        <v>27</v>
      </c>
      <c r="H634" s="1235">
        <f>+F634+G634</f>
        <v/>
      </c>
      <c r="I634" s="340">
        <f>+AM634</f>
        <v/>
      </c>
      <c r="J634" s="341">
        <f>+H634+I634</f>
        <v/>
      </c>
      <c r="K634" s="583">
        <f>+(D634+E634)-(J634)</f>
        <v/>
      </c>
      <c r="L634" s="253" t="n">
        <v>1470</v>
      </c>
      <c r="M634" s="254" t="inlineStr">
        <is>
          <t>0704S4011</t>
        </is>
      </c>
      <c r="N634" s="254" t="inlineStr">
        <is>
          <t>Serum</t>
        </is>
      </c>
      <c r="O634" s="1183" t="inlineStr">
        <is>
          <t>30/06/2028</t>
        </is>
      </c>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v>843</v>
      </c>
      <c r="AA634" s="648" t="n">
        <v>587</v>
      </c>
      <c r="AB634" s="649">
        <f>+Z634+AA634</f>
        <v/>
      </c>
      <c r="AC634" s="648" t="n">
        <v>0</v>
      </c>
      <c r="AD634" s="648" t="n">
        <v>0</v>
      </c>
      <c r="AE634" s="648" t="n">
        <v>0</v>
      </c>
      <c r="AF634" s="648" t="n">
        <v>0</v>
      </c>
      <c r="AG634" s="648" t="n">
        <v>0</v>
      </c>
      <c r="AH634" s="648" t="n">
        <v>0</v>
      </c>
      <c r="AI634" s="648" t="n">
        <v>0</v>
      </c>
      <c r="AJ634" s="648" t="n">
        <v>0</v>
      </c>
      <c r="AK634" s="648" t="n">
        <v>0</v>
      </c>
      <c r="AL634" s="648" t="n">
        <v>0</v>
      </c>
      <c r="AM634" s="421">
        <f>SUM(AB634:AL638)</f>
        <v/>
      </c>
      <c r="AN634" s="726" t="n"/>
      <c r="AU634" s="1240" t="n"/>
      <c r="AV634" s="1240" t="n"/>
    </row>
    <row r="635" ht="17.1" customHeight="1">
      <c r="A635" s="973" t="n"/>
      <c r="B635" s="971" t="n"/>
      <c r="C635" s="972" t="n"/>
      <c r="D635" s="973" t="n"/>
      <c r="E635" s="973" t="n"/>
      <c r="F635" s="994" t="n"/>
      <c r="G635" s="994" t="n"/>
      <c r="H635" s="973" t="n"/>
      <c r="I635" s="973" t="n"/>
      <c r="J635" s="973" t="n"/>
      <c r="K635" s="973" t="n"/>
      <c r="L635" s="253" t="n">
        <v>780</v>
      </c>
      <c r="M635" s="254" t="inlineStr">
        <is>
          <t>0704S1005</t>
        </is>
      </c>
      <c r="N635" s="254" t="inlineStr">
        <is>
          <t>Serum</t>
        </is>
      </c>
      <c r="O635" s="1183" t="inlineStr">
        <is>
          <t>31/08/2028</t>
        </is>
      </c>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73" t="n"/>
      <c r="E636" s="973" t="n"/>
      <c r="F636" s="994" t="n"/>
      <c r="G636" s="994" t="n"/>
      <c r="H636" s="973" t="n"/>
      <c r="I636" s="973" t="n"/>
      <c r="J636" s="973" t="n"/>
      <c r="K636" s="973" t="n"/>
      <c r="L636" s="253" t="n"/>
      <c r="M636" s="254" t="n"/>
      <c r="N636" s="254" t="inlineStr"/>
      <c r="O636" s="1183" t="inlineStr"/>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73" t="n"/>
      <c r="E637" s="973" t="n"/>
      <c r="F637" s="994" t="n"/>
      <c r="G637" s="994" t="n"/>
      <c r="H637" s="973" t="n"/>
      <c r="I637" s="973" t="n"/>
      <c r="J637" s="973" t="n"/>
      <c r="K637" s="973" t="n"/>
      <c r="L637" s="253" t="n"/>
      <c r="M637" s="254" t="n"/>
      <c r="N637" s="254" t="n"/>
      <c r="O637" s="1183" t="n"/>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73" t="n"/>
      <c r="E638" s="973" t="n"/>
      <c r="F638" s="994" t="n"/>
      <c r="G638" s="994" t="n"/>
      <c r="H638" s="973" t="n"/>
      <c r="I638" s="973" t="n"/>
      <c r="J638" s="973" t="n"/>
      <c r="K638" s="975" t="n"/>
      <c r="L638" s="253" t="n"/>
      <c r="M638" s="254" t="n"/>
      <c r="N638" s="254" t="inlineStr"/>
      <c r="O638" s="1183" t="inlineStr"/>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75" t="n"/>
      <c r="E639" s="975" t="n"/>
      <c r="F639" s="998" t="n"/>
      <c r="G639" s="998" t="n"/>
      <c r="H639" s="975" t="n"/>
      <c r="I639" s="975" t="n"/>
      <c r="J639" s="975" t="n"/>
      <c r="K639" s="1189">
        <f>K634=L639</f>
        <v/>
      </c>
      <c r="L639" s="491">
        <f>SUM(L634:L638)</f>
        <v/>
      </c>
      <c r="M639" s="1190" t="inlineStr">
        <is>
          <t xml:space="preserve">“Verdadero” indica que la cantidad por lote, coincide con el saldo que inicia al mes siguiente. "Falso" no coinicide. </t>
        </is>
      </c>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413">
        <f>MAYO!K640</f>
        <v/>
      </c>
      <c r="E640" s="339">
        <f>H236</f>
        <v/>
      </c>
      <c r="F640" s="338" t="n">
        <v>1492</v>
      </c>
      <c r="G640" s="338" t="n">
        <v>13</v>
      </c>
      <c r="H640" s="1235">
        <f>+F640+G640</f>
        <v/>
      </c>
      <c r="I640" s="340">
        <f>+AM640</f>
        <v/>
      </c>
      <c r="J640" s="341">
        <f>+H640+I640</f>
        <v/>
      </c>
      <c r="K640" s="583">
        <f>+(D640+E640)-(J640)</f>
        <v/>
      </c>
      <c r="L640" s="253" t="n">
        <v>1553</v>
      </c>
      <c r="M640" s="254" t="inlineStr">
        <is>
          <t>0643S1010</t>
        </is>
      </c>
      <c r="N640" s="254" t="inlineStr">
        <is>
          <t>Serum</t>
        </is>
      </c>
      <c r="O640" s="1183" t="inlineStr">
        <is>
          <t>30/04/2028</t>
        </is>
      </c>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v>0</v>
      </c>
      <c r="AA640" s="648" t="n">
        <v>0</v>
      </c>
      <c r="AB640" s="649">
        <f>+Z640+AA640</f>
        <v/>
      </c>
      <c r="AC640" s="648" t="n">
        <v>0</v>
      </c>
      <c r="AD640" s="648" t="n">
        <v>0</v>
      </c>
      <c r="AE640" s="648" t="n">
        <v>0</v>
      </c>
      <c r="AF640" s="648" t="n">
        <v>0</v>
      </c>
      <c r="AG640" s="648" t="n">
        <v>0</v>
      </c>
      <c r="AH640" s="648" t="n">
        <v>0</v>
      </c>
      <c r="AI640" s="648" t="n">
        <v>0</v>
      </c>
      <c r="AJ640" s="648" t="n">
        <v>0</v>
      </c>
      <c r="AK640" s="648" t="n">
        <v>0</v>
      </c>
      <c r="AL640" s="648" t="n">
        <v>0</v>
      </c>
      <c r="AM640" s="421">
        <f>SUM(AB640:AL644)</f>
        <v/>
      </c>
      <c r="AN640" s="726" t="n"/>
      <c r="AU640" s="1240" t="n"/>
      <c r="AV640" s="1240" t="n"/>
    </row>
    <row r="641" ht="17.1" customHeight="1">
      <c r="A641" s="973" t="n"/>
      <c r="B641" s="971" t="n"/>
      <c r="C641" s="972" t="n"/>
      <c r="D641" s="973" t="n"/>
      <c r="E641" s="973" t="n"/>
      <c r="F641" s="994" t="n"/>
      <c r="G641" s="994" t="n"/>
      <c r="H641" s="973" t="n"/>
      <c r="I641" s="973" t="n"/>
      <c r="J641" s="973" t="n"/>
      <c r="K641" s="973" t="n"/>
      <c r="L641" s="253" t="n">
        <v>440</v>
      </c>
      <c r="M641" s="254" t="inlineStr">
        <is>
          <t>0644S4011</t>
        </is>
      </c>
      <c r="N641" s="254" t="inlineStr">
        <is>
          <t>Serum</t>
        </is>
      </c>
      <c r="O641" s="1183" t="inlineStr">
        <is>
          <t>30/06/2029</t>
        </is>
      </c>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73" t="n"/>
      <c r="E642" s="973" t="n"/>
      <c r="F642" s="994" t="n"/>
      <c r="G642" s="994" t="n"/>
      <c r="H642" s="973" t="n"/>
      <c r="I642" s="973" t="n"/>
      <c r="J642" s="973" t="n"/>
      <c r="K642" s="973" t="n"/>
      <c r="L642" s="253" t="n">
        <v>457</v>
      </c>
      <c r="M642" s="254" t="inlineStr">
        <is>
          <t>0644S4017</t>
        </is>
      </c>
      <c r="N642" s="254" t="inlineStr">
        <is>
          <t>Serum</t>
        </is>
      </c>
      <c r="O642" s="1183" t="inlineStr">
        <is>
          <t>31/08/2029</t>
        </is>
      </c>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73" t="n"/>
      <c r="E643" s="973" t="n"/>
      <c r="F643" s="994" t="n"/>
      <c r="G643" s="994" t="n"/>
      <c r="H643" s="973" t="n"/>
      <c r="I643" s="973" t="n"/>
      <c r="J643" s="973" t="n"/>
      <c r="K643" s="973" t="n"/>
      <c r="L643" s="253" t="n"/>
      <c r="M643" s="254" t="n"/>
      <c r="N643" s="254" t="inlineStr"/>
      <c r="O643" s="1183" t="inlineStr"/>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73" t="n"/>
      <c r="E644" s="973" t="n"/>
      <c r="F644" s="994" t="n"/>
      <c r="G644" s="994" t="n"/>
      <c r="H644" s="973" t="n"/>
      <c r="I644" s="973" t="n"/>
      <c r="J644" s="973" t="n"/>
      <c r="K644" s="975" t="n"/>
      <c r="L644" s="253" t="n"/>
      <c r="M644" s="254" t="n"/>
      <c r="N644" s="254" t="inlineStr"/>
      <c r="O644" s="1183" t="inlineStr"/>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75" t="n"/>
      <c r="E645" s="975" t="n"/>
      <c r="F645" s="998" t="n"/>
      <c r="G645" s="998" t="n"/>
      <c r="H645" s="975" t="n"/>
      <c r="I645" s="975" t="n"/>
      <c r="J645" s="975" t="n"/>
      <c r="K645" s="1189">
        <f>K640=L645</f>
        <v/>
      </c>
      <c r="L645" s="491">
        <f>SUM(L640:L644)</f>
        <v/>
      </c>
      <c r="M645" s="1190" t="inlineStr">
        <is>
          <t xml:space="preserve">“Verdadero” indica que la cantidad por lote, coincide con el saldo que inicia al mes siguiente. "Falso" no coinicide. </t>
        </is>
      </c>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413">
        <f>MAYO!K646</f>
        <v/>
      </c>
      <c r="E646" s="339">
        <f>H242</f>
        <v/>
      </c>
      <c r="F646" s="338" t="n">
        <v>0</v>
      </c>
      <c r="G646" s="338" t="n">
        <v>0</v>
      </c>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v>0</v>
      </c>
      <c r="AA646" s="648" t="n">
        <v>0</v>
      </c>
      <c r="AB646" s="649">
        <f>+Z646+AA646</f>
        <v/>
      </c>
      <c r="AC646" s="648" t="n">
        <v>0</v>
      </c>
      <c r="AD646" s="648" t="n">
        <v>0</v>
      </c>
      <c r="AE646" s="648" t="n">
        <v>0</v>
      </c>
      <c r="AF646" s="648" t="n">
        <v>0</v>
      </c>
      <c r="AG646" s="648" t="n">
        <v>0</v>
      </c>
      <c r="AH646" s="648" t="n">
        <v>0</v>
      </c>
      <c r="AI646" s="648" t="n">
        <v>0</v>
      </c>
      <c r="AJ646" s="648" t="n">
        <v>0</v>
      </c>
      <c r="AK646" s="648" t="n">
        <v>0</v>
      </c>
      <c r="AL646" s="648" t="n">
        <v>0</v>
      </c>
      <c r="AM646" s="421">
        <f>SUM(AB646:AL650)</f>
        <v/>
      </c>
      <c r="AN646" s="726" t="n"/>
      <c r="AU646" s="1240" t="n"/>
      <c r="AV646" s="1240" t="n"/>
    </row>
    <row r="647" ht="17.1" customHeight="1">
      <c r="A647" s="973" t="n"/>
      <c r="B647" s="971" t="n"/>
      <c r="C647" s="972" t="n"/>
      <c r="D647" s="973"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73"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73"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73"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75" t="n"/>
      <c r="E651" s="975" t="n"/>
      <c r="F651" s="998" t="n"/>
      <c r="G651" s="998" t="n"/>
      <c r="H651" s="975" t="n"/>
      <c r="I651" s="975" t="n"/>
      <c r="J651" s="975" t="n"/>
      <c r="K651" s="1189">
        <f>K646=L651</f>
        <v/>
      </c>
      <c r="L651" s="491">
        <f>SUM(L646:L650)</f>
        <v/>
      </c>
      <c r="M651" s="1190" t="inlineStr">
        <is>
          <t xml:space="preserve">“Verdadero” indica que la cantidad por lote, coincide con el saldo que inicia al mes siguiente. "Falso" no coinicide. </t>
        </is>
      </c>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413">
        <f>MAYO!K652</f>
        <v/>
      </c>
      <c r="E652" s="339">
        <f>H248</f>
        <v/>
      </c>
      <c r="F652" s="338" t="n">
        <v>0</v>
      </c>
      <c r="G652" s="338" t="n">
        <v>0</v>
      </c>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v>0</v>
      </c>
      <c r="AA652" s="648" t="n">
        <v>0</v>
      </c>
      <c r="AB652" s="649">
        <f>+Z652+AA652</f>
        <v/>
      </c>
      <c r="AC652" s="648" t="n">
        <v>0</v>
      </c>
      <c r="AD652" s="648" t="n">
        <v>0</v>
      </c>
      <c r="AE652" s="648" t="n">
        <v>0</v>
      </c>
      <c r="AF652" s="648" t="n">
        <v>0</v>
      </c>
      <c r="AG652" s="648" t="n">
        <v>0</v>
      </c>
      <c r="AH652" s="648" t="n">
        <v>0</v>
      </c>
      <c r="AI652" s="648" t="n">
        <v>0</v>
      </c>
      <c r="AJ652" s="648" t="n">
        <v>0</v>
      </c>
      <c r="AK652" s="648" t="n">
        <v>0</v>
      </c>
      <c r="AL652" s="648" t="n">
        <v>0</v>
      </c>
      <c r="AM652" s="421">
        <f>SUM(AB652:AL656)</f>
        <v/>
      </c>
      <c r="AN652" s="726" t="n"/>
      <c r="AU652" s="1240" t="n"/>
      <c r="AV652" s="1240" t="n"/>
    </row>
    <row r="653" ht="17.1" customHeight="1">
      <c r="A653" s="973" t="n"/>
      <c r="B653" s="971" t="n"/>
      <c r="C653" s="972" t="n"/>
      <c r="D653" s="973"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73"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73"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73"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75" t="n"/>
      <c r="E657" s="975" t="n"/>
      <c r="F657" s="998" t="n"/>
      <c r="G657" s="998" t="n"/>
      <c r="H657" s="975" t="n"/>
      <c r="I657" s="975" t="n"/>
      <c r="J657" s="975" t="n"/>
      <c r="K657" s="1189">
        <f>K652=L657</f>
        <v/>
      </c>
      <c r="L657" s="491">
        <f>SUM(L652:L656)</f>
        <v/>
      </c>
      <c r="M657" s="1190" t="inlineStr">
        <is>
          <t xml:space="preserve">“Verdadero” indica que la cantidad por lote, coincide con el saldo que inicia al mes siguiente. "Falso" no coinicide. </t>
        </is>
      </c>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413">
        <f>MAYO!K658</f>
        <v/>
      </c>
      <c r="E658" s="339">
        <f>H254</f>
        <v/>
      </c>
      <c r="F658" s="338" t="n">
        <v>2390</v>
      </c>
      <c r="G658" s="338" t="n">
        <v>23</v>
      </c>
      <c r="H658" s="1235">
        <f>+F658+G658</f>
        <v/>
      </c>
      <c r="I658" s="340">
        <f>+AM658</f>
        <v/>
      </c>
      <c r="J658" s="341">
        <f>+H658+I658</f>
        <v/>
      </c>
      <c r="K658" s="583">
        <f>+(D658+E658)-(J658)</f>
        <v/>
      </c>
      <c r="L658" s="253" t="n">
        <v>3200</v>
      </c>
      <c r="M658" s="254" t="inlineStr">
        <is>
          <t>0685I140</t>
        </is>
      </c>
      <c r="N658" s="254" t="inlineStr">
        <is>
          <t>Serum</t>
        </is>
      </c>
      <c r="O658" s="1183" t="inlineStr">
        <is>
          <t>30/11/2030</t>
        </is>
      </c>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v>699</v>
      </c>
      <c r="AA658" s="648" t="n">
        <v>104</v>
      </c>
      <c r="AB658" s="649">
        <f>+Z658+AA658</f>
        <v/>
      </c>
      <c r="AC658" s="648" t="n">
        <v>0</v>
      </c>
      <c r="AD658" s="648" t="n">
        <v>0</v>
      </c>
      <c r="AE658" s="648" t="n">
        <v>0</v>
      </c>
      <c r="AF658" s="648" t="n">
        <v>0</v>
      </c>
      <c r="AG658" s="648" t="n">
        <v>0</v>
      </c>
      <c r="AH658" s="648" t="n">
        <v>0</v>
      </c>
      <c r="AI658" s="648" t="n">
        <v>0</v>
      </c>
      <c r="AJ658" s="648" t="n">
        <v>0</v>
      </c>
      <c r="AK658" s="648" t="n">
        <v>0</v>
      </c>
      <c r="AL658" s="648" t="n">
        <v>0</v>
      </c>
      <c r="AM658" s="421">
        <f>SUM(AB658:AL662)</f>
        <v/>
      </c>
      <c r="AN658" s="726" t="n"/>
      <c r="AU658" s="1240" t="n"/>
      <c r="AV658" s="1240" t="n"/>
    </row>
    <row r="659" ht="17.1" customHeight="1">
      <c r="A659" s="973" t="n"/>
      <c r="B659" s="971" t="n"/>
      <c r="C659" s="972" t="n"/>
      <c r="D659" s="973" t="n"/>
      <c r="E659" s="973" t="n"/>
      <c r="F659" s="994" t="n"/>
      <c r="G659" s="994" t="n"/>
      <c r="H659" s="973" t="n"/>
      <c r="I659" s="973" t="n"/>
      <c r="J659" s="973" t="n"/>
      <c r="K659" s="973" t="n"/>
      <c r="L659" s="253" t="n">
        <v>734</v>
      </c>
      <c r="M659" s="254" t="inlineStr">
        <is>
          <t>0643S4003</t>
        </is>
      </c>
      <c r="N659" s="254" t="inlineStr">
        <is>
          <t>Serum</t>
        </is>
      </c>
      <c r="O659" s="1183" t="inlineStr">
        <is>
          <t>31/08/2028</t>
        </is>
      </c>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73" t="n"/>
      <c r="E660" s="973" t="n"/>
      <c r="F660" s="994" t="n"/>
      <c r="G660" s="994" t="n"/>
      <c r="H660" s="973" t="n"/>
      <c r="I660" s="973" t="n"/>
      <c r="J660" s="973" t="n"/>
      <c r="K660" s="973" t="n"/>
      <c r="L660" s="253" t="n"/>
      <c r="M660" s="254" t="n"/>
      <c r="N660" s="254" t="inlineStr"/>
      <c r="O660" s="1183" t="inlineStr"/>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73" t="n"/>
      <c r="E661" s="973" t="n"/>
      <c r="F661" s="994" t="n"/>
      <c r="G661" s="994" t="n"/>
      <c r="H661" s="973" t="n"/>
      <c r="I661" s="973" t="n"/>
      <c r="J661" s="973" t="n"/>
      <c r="K661" s="973" t="n"/>
      <c r="L661" s="253" t="n"/>
      <c r="M661" s="254" t="n"/>
      <c r="N661" s="254" t="inlineStr"/>
      <c r="O661" s="1183" t="inlineStr"/>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73" t="n"/>
      <c r="E662" s="973" t="n"/>
      <c r="F662" s="994" t="n"/>
      <c r="G662" s="994" t="n"/>
      <c r="H662" s="973" t="n"/>
      <c r="I662" s="973" t="n"/>
      <c r="J662" s="973" t="n"/>
      <c r="K662" s="975" t="n"/>
      <c r="L662" s="253" t="n"/>
      <c r="M662" s="254" t="n"/>
      <c r="N662" s="254" t="inlineStr"/>
      <c r="O662" s="1183" t="inlineStr"/>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75" t="n"/>
      <c r="E663" s="975" t="n"/>
      <c r="F663" s="998" t="n"/>
      <c r="G663" s="998" t="n"/>
      <c r="H663" s="975" t="n"/>
      <c r="I663" s="975" t="n"/>
      <c r="J663" s="975" t="n"/>
      <c r="K663" s="1189">
        <f>K658=L663</f>
        <v/>
      </c>
      <c r="L663" s="491">
        <f>SUM(L658:L662)</f>
        <v/>
      </c>
      <c r="M663" s="1190" t="inlineStr">
        <is>
          <t xml:space="preserve">“Verdadero” indica que la cantidad por lote, coincide con el saldo que inicia al mes siguiente. "Falso" no coinicide. </t>
        </is>
      </c>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413">
        <f>MAYO!K664</f>
        <v/>
      </c>
      <c r="E664" s="339">
        <f>H260</f>
        <v/>
      </c>
      <c r="F664" s="338" t="n"/>
      <c r="G664" s="338" t="n"/>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v>0</v>
      </c>
      <c r="AA664" s="648" t="n">
        <v>0</v>
      </c>
      <c r="AB664" s="649">
        <f>+Z664+AA664</f>
        <v/>
      </c>
      <c r="AC664" s="648" t="n">
        <v>0</v>
      </c>
      <c r="AD664" s="648" t="n">
        <v>0</v>
      </c>
      <c r="AE664" s="648" t="n">
        <v>0</v>
      </c>
      <c r="AF664" s="648" t="n">
        <v>0</v>
      </c>
      <c r="AG664" s="648" t="n">
        <v>0</v>
      </c>
      <c r="AH664" s="648" t="n">
        <v>0</v>
      </c>
      <c r="AI664" s="648" t="n">
        <v>0</v>
      </c>
      <c r="AJ664" s="648" t="n">
        <v>0</v>
      </c>
      <c r="AK664" s="648" t="n">
        <v>0</v>
      </c>
      <c r="AL664" s="648" t="n">
        <v>0</v>
      </c>
      <c r="AM664" s="421">
        <f>SUM(AB664:AL668)</f>
        <v/>
      </c>
      <c r="AN664" s="726" t="n"/>
      <c r="AU664" s="1240" t="n"/>
      <c r="AV664" s="1240" t="n"/>
    </row>
    <row r="665" ht="17.1" customHeight="1">
      <c r="A665" s="973" t="n"/>
      <c r="B665" s="971" t="n"/>
      <c r="C665" s="972" t="n"/>
      <c r="D665" s="973"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73"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73"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73"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75" t="n"/>
      <c r="E669" s="975" t="n"/>
      <c r="F669" s="998" t="n"/>
      <c r="G669" s="998" t="n"/>
      <c r="H669" s="975" t="n"/>
      <c r="I669" s="975" t="n"/>
      <c r="J669" s="975" t="n"/>
      <c r="K669" s="1189">
        <f>K664=L669</f>
        <v/>
      </c>
      <c r="L669" s="491">
        <f>SUM(L664:L668)</f>
        <v/>
      </c>
      <c r="M669" s="1190" t="inlineStr">
        <is>
          <t xml:space="preserve">“Verdadero” indica que la cantidad por lote, coincide con el saldo que inicia al mes siguiente. "Falso" no coinicide. </t>
        </is>
      </c>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413">
        <f>MAYO!K670</f>
        <v/>
      </c>
      <c r="E670" s="339">
        <f>H266</f>
        <v/>
      </c>
      <c r="F670" s="338" t="n">
        <v>0</v>
      </c>
      <c r="G670" s="338" t="n">
        <v>0</v>
      </c>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v>0</v>
      </c>
      <c r="AA670" s="648" t="n">
        <v>0</v>
      </c>
      <c r="AB670" s="649">
        <f>+Z670+AA670</f>
        <v/>
      </c>
      <c r="AC670" s="648" t="n">
        <v>0</v>
      </c>
      <c r="AD670" s="648" t="n">
        <v>0</v>
      </c>
      <c r="AE670" s="648" t="n">
        <v>0</v>
      </c>
      <c r="AF670" s="648" t="n">
        <v>0</v>
      </c>
      <c r="AG670" s="648" t="n">
        <v>0</v>
      </c>
      <c r="AH670" s="648" t="n">
        <v>0</v>
      </c>
      <c r="AI670" s="648" t="n">
        <v>0</v>
      </c>
      <c r="AJ670" s="648" t="n">
        <v>0</v>
      </c>
      <c r="AK670" s="648" t="n">
        <v>0</v>
      </c>
      <c r="AL670" s="648" t="n">
        <v>0</v>
      </c>
      <c r="AM670" s="421">
        <f>SUM(AB670:AL674)</f>
        <v/>
      </c>
      <c r="AN670" s="726" t="n"/>
      <c r="AU670" s="1240" t="n"/>
      <c r="AV670" s="1240" t="n"/>
    </row>
    <row r="671" ht="17.1" customHeight="1">
      <c r="A671" s="973" t="n"/>
      <c r="B671" s="971" t="n"/>
      <c r="C671" s="972" t="n"/>
      <c r="D671" s="973"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73"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73"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73"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75" t="n"/>
      <c r="E675" s="975" t="n"/>
      <c r="F675" s="998" t="n"/>
      <c r="G675" s="998" t="n"/>
      <c r="H675" s="975" t="n"/>
      <c r="I675" s="975" t="n"/>
      <c r="J675" s="975" t="n"/>
      <c r="K675" s="1189">
        <f>K670=L675</f>
        <v/>
      </c>
      <c r="L675" s="491">
        <f>SUM(L670:L674)</f>
        <v/>
      </c>
      <c r="M675" s="1190" t="inlineStr">
        <is>
          <t xml:space="preserve">“Verdadero” indica que la cantidad por lote, coincide con el saldo que inicia al mes siguiente. "Falso" no coinicide. </t>
        </is>
      </c>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413">
        <f>MAYO!K676</f>
        <v/>
      </c>
      <c r="E676" s="339">
        <f>H272</f>
        <v/>
      </c>
      <c r="F676" s="338" t="n">
        <v>2156</v>
      </c>
      <c r="G676" s="338" t="n">
        <v>33</v>
      </c>
      <c r="H676" s="1235">
        <f>+F676+G676</f>
        <v/>
      </c>
      <c r="I676" s="340">
        <f>+AM676</f>
        <v/>
      </c>
      <c r="J676" s="341">
        <f>+H676+I676</f>
        <v/>
      </c>
      <c r="K676" s="583">
        <f>+(D676+E676)-(J676)</f>
        <v/>
      </c>
      <c r="L676" s="253" t="n">
        <v>5350</v>
      </c>
      <c r="M676" s="254" t="inlineStr">
        <is>
          <t>Y4X16</t>
        </is>
      </c>
      <c r="N676" s="254" t="inlineStr">
        <is>
          <t>Sanofi Pasteur</t>
        </is>
      </c>
      <c r="O676" s="1183" t="inlineStr">
        <is>
          <t>30/06/2027</t>
        </is>
      </c>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v>2246</v>
      </c>
      <c r="AA676" s="648" t="n">
        <v>1878</v>
      </c>
      <c r="AB676" s="649">
        <f>+Z676+AA676</f>
        <v/>
      </c>
      <c r="AC676" s="648" t="n">
        <v>0</v>
      </c>
      <c r="AD676" s="648" t="n">
        <v>0</v>
      </c>
      <c r="AE676" s="648" t="n">
        <v>0</v>
      </c>
      <c r="AF676" s="648" t="n">
        <v>0</v>
      </c>
      <c r="AG676" s="648" t="n">
        <v>0</v>
      </c>
      <c r="AH676" s="648" t="n">
        <v>0</v>
      </c>
      <c r="AI676" s="648" t="n">
        <v>0</v>
      </c>
      <c r="AJ676" s="648" t="n">
        <v>0</v>
      </c>
      <c r="AK676" s="648" t="n">
        <v>0</v>
      </c>
      <c r="AL676" s="648" t="n">
        <v>0</v>
      </c>
      <c r="AM676" s="421">
        <f>SUM(AB676:AL680)</f>
        <v/>
      </c>
      <c r="AN676" s="726" t="n"/>
      <c r="AU676" s="1240" t="n"/>
      <c r="AV676" s="1240" t="n"/>
    </row>
    <row r="677" ht="17.1" customHeight="1">
      <c r="A677" s="973" t="n"/>
      <c r="B677" s="971" t="n"/>
      <c r="C677" s="972" t="n"/>
      <c r="D677" s="973" t="n"/>
      <c r="E677" s="973" t="n"/>
      <c r="F677" s="994" t="n"/>
      <c r="G677" s="994" t="n"/>
      <c r="H677" s="973" t="n"/>
      <c r="I677" s="973" t="n"/>
      <c r="J677" s="973" t="n"/>
      <c r="K677" s="973" t="n"/>
      <c r="L677" s="253" t="n"/>
      <c r="M677" s="254" t="n"/>
      <c r="N677" s="254" t="inlineStr"/>
      <c r="O677" s="1183" t="inlineStr"/>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73" t="n"/>
      <c r="E678" s="973" t="n"/>
      <c r="F678" s="994" t="n"/>
      <c r="G678" s="994" t="n"/>
      <c r="H678" s="973" t="n"/>
      <c r="I678" s="973" t="n"/>
      <c r="J678" s="973" t="n"/>
      <c r="K678" s="973" t="n"/>
      <c r="L678" s="253" t="n">
        <v>941</v>
      </c>
      <c r="M678" s="254" t="inlineStr">
        <is>
          <t>V4X181V</t>
        </is>
      </c>
      <c r="N678" s="254" t="inlineStr">
        <is>
          <t>Sanofi Pasteur</t>
        </is>
      </c>
      <c r="O678" s="1183" t="inlineStr">
        <is>
          <t>30/11/2024</t>
        </is>
      </c>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73" t="n"/>
      <c r="E679" s="973" t="n"/>
      <c r="F679" s="994" t="n"/>
      <c r="G679" s="994" t="n"/>
      <c r="H679" s="973" t="n"/>
      <c r="I679" s="973" t="n"/>
      <c r="J679" s="973" t="n"/>
      <c r="K679" s="973" t="n"/>
      <c r="L679" s="253" t="n"/>
      <c r="M679" s="254" t="n"/>
      <c r="N679" s="254" t="inlineStr"/>
      <c r="O679" s="1183" t="inlineStr"/>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73" t="n"/>
      <c r="E680" s="973" t="n"/>
      <c r="F680" s="994" t="n"/>
      <c r="G680" s="994" t="n"/>
      <c r="H680" s="973" t="n"/>
      <c r="I680" s="973" t="n"/>
      <c r="J680" s="973" t="n"/>
      <c r="K680" s="975" t="n"/>
      <c r="L680" s="253" t="n"/>
      <c r="M680" s="254" t="n"/>
      <c r="N680" s="254" t="inlineStr"/>
      <c r="O680" s="1183" t="inlineStr"/>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75" t="n"/>
      <c r="E681" s="975" t="n"/>
      <c r="F681" s="998" t="n"/>
      <c r="G681" s="998" t="n"/>
      <c r="H681" s="975" t="n"/>
      <c r="I681" s="975" t="n"/>
      <c r="J681" s="975" t="n"/>
      <c r="K681" s="1189">
        <f>K676=L681</f>
        <v/>
      </c>
      <c r="L681" s="491">
        <f>SUM(L676:L680)</f>
        <v/>
      </c>
      <c r="M681" s="1190" t="inlineStr">
        <is>
          <t xml:space="preserve">“Verdadero” indica que la cantidad por lote, coincide con el saldo que inicia al mes siguiente. "Falso" no coinicide. </t>
        </is>
      </c>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413">
        <f>MAYO!K682</f>
        <v/>
      </c>
      <c r="E682" s="339">
        <f>H278</f>
        <v/>
      </c>
      <c r="F682" s="338" t="n">
        <v>1247</v>
      </c>
      <c r="G682" s="338" t="n">
        <v>19</v>
      </c>
      <c r="H682" s="1235">
        <f>+F682+G682</f>
        <v/>
      </c>
      <c r="I682" s="340">
        <f>+AM682</f>
        <v/>
      </c>
      <c r="J682" s="341">
        <f>+H682+I682</f>
        <v/>
      </c>
      <c r="K682" s="583">
        <f>+(D682+E682)-(J682)</f>
        <v/>
      </c>
      <c r="L682" s="253" t="n">
        <v>3200</v>
      </c>
      <c r="M682" s="254" t="inlineStr">
        <is>
          <t>90250603-1</t>
        </is>
      </c>
      <c r="N682" s="254" t="inlineStr">
        <is>
          <t>Sinovac</t>
        </is>
      </c>
      <c r="O682" s="1183" t="inlineStr">
        <is>
          <t>05/06/2029</t>
        </is>
      </c>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v>1</v>
      </c>
      <c r="AA682" s="648" t="n">
        <v>0</v>
      </c>
      <c r="AB682" s="649">
        <f>+Z682+AA682</f>
        <v/>
      </c>
      <c r="AC682" s="648" t="n">
        <v>0</v>
      </c>
      <c r="AD682" s="648" t="n">
        <v>0</v>
      </c>
      <c r="AE682" s="648" t="n">
        <v>0</v>
      </c>
      <c r="AF682" s="648" t="n">
        <v>0</v>
      </c>
      <c r="AG682" s="648" t="n">
        <v>0</v>
      </c>
      <c r="AH682" s="648" t="n">
        <v>0</v>
      </c>
      <c r="AI682" s="648" t="n">
        <v>0</v>
      </c>
      <c r="AJ682" s="648" t="n">
        <v>0</v>
      </c>
      <c r="AK682" s="648" t="n">
        <v>0</v>
      </c>
      <c r="AL682" s="648" t="n">
        <v>2</v>
      </c>
      <c r="AM682" s="421">
        <f>SUM(AB682:AL686)</f>
        <v/>
      </c>
      <c r="AN682" s="726" t="n"/>
      <c r="AU682" s="1240" t="n"/>
      <c r="AV682" s="1240" t="n"/>
    </row>
    <row r="683" ht="17.1" customHeight="1">
      <c r="A683" s="973" t="n"/>
      <c r="B683" s="971" t="n"/>
      <c r="C683" s="972" t="n"/>
      <c r="D683" s="973" t="n"/>
      <c r="E683" s="973" t="n"/>
      <c r="F683" s="994" t="n"/>
      <c r="G683" s="994" t="n"/>
      <c r="H683" s="973" t="n"/>
      <c r="I683" s="973" t="n"/>
      <c r="J683" s="973" t="n"/>
      <c r="K683" s="973" t="n"/>
      <c r="L683" s="253" t="n"/>
      <c r="M683" s="254" t="n"/>
      <c r="N683" s="254" t="inlineStr"/>
      <c r="O683" s="1183" t="inlineStr"/>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73" t="n"/>
      <c r="E684" s="973" t="n"/>
      <c r="F684" s="994" t="n"/>
      <c r="G684" s="994" t="n"/>
      <c r="H684" s="973" t="n"/>
      <c r="I684" s="973" t="n"/>
      <c r="J684" s="973" t="n"/>
      <c r="K684" s="973" t="n"/>
      <c r="L684" s="253" t="n">
        <v>10</v>
      </c>
      <c r="M684" s="254" t="inlineStr">
        <is>
          <t>Y018532</t>
        </is>
      </c>
      <c r="N684" s="254" t="inlineStr">
        <is>
          <t>MSD</t>
        </is>
      </c>
      <c r="O684" s="1183" t="inlineStr">
        <is>
          <t>03/06/2027</t>
        </is>
      </c>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73" t="n"/>
      <c r="E685" s="973" t="n"/>
      <c r="F685" s="994" t="n"/>
      <c r="G685" s="994" t="n"/>
      <c r="H685" s="973" t="n"/>
      <c r="I685" s="973" t="n"/>
      <c r="J685" s="973" t="n"/>
      <c r="K685" s="973" t="n"/>
      <c r="L685" s="253" t="n">
        <v>6</v>
      </c>
      <c r="M685" s="254" t="inlineStr">
        <is>
          <t>Y016553</t>
        </is>
      </c>
      <c r="N685" s="254" t="inlineStr">
        <is>
          <t>MSD</t>
        </is>
      </c>
      <c r="O685" s="1183" t="inlineStr">
        <is>
          <t>16/10/2026</t>
        </is>
      </c>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73"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75" t="n"/>
      <c r="E687" s="975" t="n"/>
      <c r="F687" s="998" t="n"/>
      <c r="G687" s="998" t="n"/>
      <c r="H687" s="975" t="n"/>
      <c r="I687" s="975" t="n"/>
      <c r="J687" s="975" t="n"/>
      <c r="K687" s="1189">
        <f>K682=L687</f>
        <v/>
      </c>
      <c r="L687" s="491">
        <f>SUM(L682:L686)</f>
        <v/>
      </c>
      <c r="M687" s="1190" t="inlineStr">
        <is>
          <t xml:space="preserve">“Verdadero” indica que la cantidad por lote, coincide con el saldo que inicia al mes siguiente. "Falso" no coinicide. </t>
        </is>
      </c>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413">
        <f>MAYO!K688</f>
        <v/>
      </c>
      <c r="E688" s="339">
        <f>H284</f>
        <v/>
      </c>
      <c r="F688" s="338" t="n">
        <v>0</v>
      </c>
      <c r="G688" s="338" t="n">
        <v>0</v>
      </c>
      <c r="H688" s="1235">
        <f>+F688+G688</f>
        <v/>
      </c>
      <c r="I688" s="340">
        <f>+AM688</f>
        <v/>
      </c>
      <c r="J688" s="341">
        <f>+H688+I688</f>
        <v/>
      </c>
      <c r="K688" s="583">
        <f>+(D688+E688)-(J688)</f>
        <v/>
      </c>
      <c r="L688" s="253" t="n"/>
      <c r="M688" s="254" t="n"/>
      <c r="N688" s="254" t="inlineStr"/>
      <c r="O688" s="1183" t="inlineStr"/>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v>0</v>
      </c>
      <c r="AA688" s="648" t="n">
        <v>0</v>
      </c>
      <c r="AB688" s="649">
        <f>+Z688+AA688</f>
        <v/>
      </c>
      <c r="AC688" s="648" t="n">
        <v>0</v>
      </c>
      <c r="AD688" s="648" t="n">
        <v>0</v>
      </c>
      <c r="AE688" s="648" t="n">
        <v>0</v>
      </c>
      <c r="AF688" s="648" t="n">
        <v>0</v>
      </c>
      <c r="AG688" s="648" t="n">
        <v>0</v>
      </c>
      <c r="AH688" s="648" t="n">
        <v>0</v>
      </c>
      <c r="AI688" s="648" t="n">
        <v>0</v>
      </c>
      <c r="AJ688" s="648" t="n">
        <v>0</v>
      </c>
      <c r="AK688" s="648" t="n">
        <v>0</v>
      </c>
      <c r="AL688" s="648" t="n">
        <v>0</v>
      </c>
      <c r="AM688" s="421">
        <f>SUM(AB688:AL692)</f>
        <v/>
      </c>
      <c r="AN688" s="726" t="n"/>
      <c r="AU688" s="1240" t="n"/>
      <c r="AV688" s="1240" t="n"/>
    </row>
    <row r="689" ht="17.1" customHeight="1">
      <c r="A689" s="973" t="n"/>
      <c r="B689" s="971" t="n"/>
      <c r="C689" s="972" t="n"/>
      <c r="D689" s="973" t="n"/>
      <c r="E689" s="973" t="n"/>
      <c r="F689" s="994" t="n"/>
      <c r="G689" s="994" t="n"/>
      <c r="H689" s="973" t="n"/>
      <c r="I689" s="973" t="n"/>
      <c r="J689" s="973" t="n"/>
      <c r="K689" s="973" t="n"/>
      <c r="L689" s="253" t="n"/>
      <c r="M689" s="254" t="n"/>
      <c r="N689" s="254" t="inlineStr"/>
      <c r="O689" s="1183" t="inlineStr"/>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73" t="n"/>
      <c r="E690" s="973" t="n"/>
      <c r="F690" s="994" t="n"/>
      <c r="G690" s="994" t="n"/>
      <c r="H690" s="973" t="n"/>
      <c r="I690" s="973" t="n"/>
      <c r="J690" s="973" t="n"/>
      <c r="K690" s="973" t="n"/>
      <c r="L690" s="253" t="n"/>
      <c r="M690" s="254" t="n"/>
      <c r="N690" s="254" t="inlineStr"/>
      <c r="O690" s="1183" t="inlineStr"/>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73" t="n"/>
      <c r="E691" s="973" t="n"/>
      <c r="F691" s="994" t="n"/>
      <c r="G691" s="994" t="n"/>
      <c r="H691" s="973" t="n"/>
      <c r="I691" s="973" t="n"/>
      <c r="J691" s="973" t="n"/>
      <c r="K691" s="973" t="n"/>
      <c r="L691" s="253" t="n"/>
      <c r="M691" s="254" t="n"/>
      <c r="N691" s="254" t="inlineStr"/>
      <c r="O691" s="1183" t="inlineStr"/>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73" t="n"/>
      <c r="E692" s="973" t="n"/>
      <c r="F692" s="994" t="n"/>
      <c r="G692" s="994" t="n"/>
      <c r="H692" s="973" t="n"/>
      <c r="I692" s="973" t="n"/>
      <c r="J692" s="973" t="n"/>
      <c r="K692" s="975" t="n"/>
      <c r="L692" s="253" t="n"/>
      <c r="M692" s="254" t="n"/>
      <c r="N692" s="254" t="inlineStr"/>
      <c r="O692" s="1183" t="inlineStr"/>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75" t="n"/>
      <c r="E693" s="975" t="n"/>
      <c r="F693" s="998" t="n"/>
      <c r="G693" s="998" t="n"/>
      <c r="H693" s="975" t="n"/>
      <c r="I693" s="975" t="n"/>
      <c r="J693" s="975" t="n"/>
      <c r="K693" s="1189">
        <f>K688=L693</f>
        <v/>
      </c>
      <c r="L693" s="491">
        <f>SUM(L688:L692)</f>
        <v/>
      </c>
      <c r="M693" s="1190" t="inlineStr">
        <is>
          <t xml:space="preserve">“Verdadero” indica que la cantidad por lote, coincide con el saldo que inicia al mes siguiente. "Falso" no coinicide. </t>
        </is>
      </c>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413">
        <f>MAYO!K694</f>
        <v/>
      </c>
      <c r="E694" s="339">
        <f>H290</f>
        <v/>
      </c>
      <c r="F694" s="338" t="n">
        <v>404</v>
      </c>
      <c r="G694" s="338" t="n">
        <v>0</v>
      </c>
      <c r="H694" s="1235">
        <f>+F694+G694</f>
        <v/>
      </c>
      <c r="I694" s="340">
        <f>+AM694</f>
        <v/>
      </c>
      <c r="J694" s="341">
        <f>+H694+I694</f>
        <v/>
      </c>
      <c r="K694" s="583">
        <f>+(D694+E694)-(J694)</f>
        <v/>
      </c>
      <c r="L694" s="253" t="n">
        <v>450</v>
      </c>
      <c r="M694" s="254" t="inlineStr">
        <is>
          <t>0654S4016</t>
        </is>
      </c>
      <c r="N694" s="254" t="inlineStr">
        <is>
          <t>Serum</t>
        </is>
      </c>
      <c r="O694" s="1183" t="inlineStr">
        <is>
          <t>31/07/2029</t>
        </is>
      </c>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v>0</v>
      </c>
      <c r="AA694" s="648" t="n">
        <v>0</v>
      </c>
      <c r="AB694" s="649">
        <f>+Z694+AA694</f>
        <v/>
      </c>
      <c r="AC694" s="648" t="n">
        <v>0</v>
      </c>
      <c r="AD694" s="648" t="n">
        <v>0</v>
      </c>
      <c r="AE694" s="648" t="n">
        <v>0</v>
      </c>
      <c r="AF694" s="648" t="n">
        <v>0</v>
      </c>
      <c r="AG694" s="648" t="n">
        <v>0</v>
      </c>
      <c r="AH694" s="648" t="n">
        <v>0</v>
      </c>
      <c r="AI694" s="648" t="n">
        <v>0</v>
      </c>
      <c r="AJ694" s="648" t="n">
        <v>0</v>
      </c>
      <c r="AK694" s="648" t="n">
        <v>0</v>
      </c>
      <c r="AL694" s="648" t="n">
        <v>0</v>
      </c>
      <c r="AM694" s="421">
        <f>SUM(AB694:AL698)</f>
        <v/>
      </c>
      <c r="AN694" s="726" t="n"/>
      <c r="AU694" s="1240" t="n"/>
      <c r="AV694" s="1240" t="n"/>
    </row>
    <row r="695" ht="17.1" customHeight="1">
      <c r="A695" s="973" t="n"/>
      <c r="B695" s="971" t="n"/>
      <c r="C695" s="972" t="n"/>
      <c r="D695" s="973" t="n"/>
      <c r="E695" s="973" t="n"/>
      <c r="F695" s="994" t="n"/>
      <c r="G695" s="994" t="n"/>
      <c r="H695" s="973" t="n"/>
      <c r="I695" s="973" t="n"/>
      <c r="J695" s="973" t="n"/>
      <c r="K695" s="973" t="n"/>
      <c r="L695" s="253" t="n">
        <v>42</v>
      </c>
      <c r="M695" s="254" t="inlineStr">
        <is>
          <t>0654S4015</t>
        </is>
      </c>
      <c r="N695" s="254" t="inlineStr">
        <is>
          <t>Serum</t>
        </is>
      </c>
      <c r="O695" s="1183" t="inlineStr">
        <is>
          <t>31/07/2029</t>
        </is>
      </c>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73" t="n"/>
      <c r="E696" s="973" t="n"/>
      <c r="F696" s="994" t="n"/>
      <c r="G696" s="994" t="n"/>
      <c r="H696" s="973" t="n"/>
      <c r="I696" s="973" t="n"/>
      <c r="J696" s="973" t="n"/>
      <c r="K696" s="973" t="n"/>
      <c r="L696" s="253" t="n"/>
      <c r="M696" s="254" t="n"/>
      <c r="N696" s="254" t="inlineStr"/>
      <c r="O696" s="1183" t="inlineStr"/>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73" t="n"/>
      <c r="E697" s="973" t="n"/>
      <c r="F697" s="994" t="n"/>
      <c r="G697" s="994" t="n"/>
      <c r="H697" s="973" t="n"/>
      <c r="I697" s="973" t="n"/>
      <c r="J697" s="973" t="n"/>
      <c r="K697" s="973" t="n"/>
      <c r="L697" s="253" t="n"/>
      <c r="M697" s="254" t="n"/>
      <c r="N697" s="254" t="inlineStr"/>
      <c r="O697" s="1183" t="inlineStr"/>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73" t="n"/>
      <c r="E698" s="973" t="n"/>
      <c r="F698" s="994" t="n"/>
      <c r="G698" s="994" t="n"/>
      <c r="H698" s="973" t="n"/>
      <c r="I698" s="973" t="n"/>
      <c r="J698" s="973" t="n"/>
      <c r="K698" s="975" t="n"/>
      <c r="L698" s="253" t="n"/>
      <c r="M698" s="254" t="n"/>
      <c r="N698" s="254" t="inlineStr"/>
      <c r="O698" s="1183" t="inlineStr"/>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75" t="n"/>
      <c r="E699" s="975" t="n"/>
      <c r="F699" s="998" t="n"/>
      <c r="G699" s="998" t="n"/>
      <c r="H699" s="975" t="n"/>
      <c r="I699" s="975" t="n"/>
      <c r="J699" s="975" t="n"/>
      <c r="K699" s="1189">
        <f>K694=L699</f>
        <v/>
      </c>
      <c r="L699" s="491">
        <f>SUM(L694:L698)</f>
        <v/>
      </c>
      <c r="M699" s="1190" t="inlineStr">
        <is>
          <t xml:space="preserve">“Verdadero” indica que la cantidad por lote, coincide con el saldo que inicia al mes siguiente. "Falso" no coinicide. </t>
        </is>
      </c>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413">
        <f>MAYO!K700</f>
        <v/>
      </c>
      <c r="E700" s="339">
        <f>H296</f>
        <v/>
      </c>
      <c r="F700" s="338" t="n">
        <v>0</v>
      </c>
      <c r="G700" s="338" t="n">
        <v>0</v>
      </c>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v>0</v>
      </c>
      <c r="AA700" s="648" t="n">
        <v>0</v>
      </c>
      <c r="AB700" s="649">
        <f>+Z700+AA700</f>
        <v/>
      </c>
      <c r="AC700" s="648" t="n">
        <v>0</v>
      </c>
      <c r="AD700" s="648" t="n">
        <v>0</v>
      </c>
      <c r="AE700" s="648" t="n">
        <v>0</v>
      </c>
      <c r="AF700" s="648" t="n">
        <v>0</v>
      </c>
      <c r="AG700" s="648" t="n">
        <v>0</v>
      </c>
      <c r="AH700" s="648" t="n">
        <v>0</v>
      </c>
      <c r="AI700" s="648" t="n">
        <v>0</v>
      </c>
      <c r="AJ700" s="648" t="n">
        <v>0</v>
      </c>
      <c r="AK700" s="648" t="n">
        <v>0</v>
      </c>
      <c r="AL700" s="648" t="n">
        <v>0</v>
      </c>
      <c r="AM700" s="421">
        <f>SUM(AB700:AL704)</f>
        <v/>
      </c>
      <c r="AN700" s="726" t="n"/>
      <c r="AU700" s="1240" t="n"/>
      <c r="AV700" s="1240" t="n"/>
    </row>
    <row r="701" ht="17.1" customHeight="1">
      <c r="A701" s="973" t="n"/>
      <c r="B701" s="971" t="n"/>
      <c r="C701" s="972" t="n"/>
      <c r="D701" s="973"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73"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73"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73"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75" t="n"/>
      <c r="E705" s="975" t="n"/>
      <c r="F705" s="998" t="n"/>
      <c r="G705" s="998" t="n"/>
      <c r="H705" s="975" t="n"/>
      <c r="I705" s="975" t="n"/>
      <c r="J705" s="975" t="n"/>
      <c r="K705" s="1189">
        <f>K700=L705</f>
        <v/>
      </c>
      <c r="L705" s="491">
        <f>SUM(L700:L704)</f>
        <v/>
      </c>
      <c r="M705" s="1190" t="inlineStr">
        <is>
          <t xml:space="preserve">“Verdadero” indica que la cantidad por lote, coincide con el saldo que inicia al mes siguiente. "Falso" no coinicide. </t>
        </is>
      </c>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647"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413">
        <f>MAYO!K707</f>
        <v/>
      </c>
      <c r="E707" s="339">
        <f>H303</f>
        <v/>
      </c>
      <c r="F707" s="338" t="n">
        <v>7820</v>
      </c>
      <c r="G707" s="338" t="n">
        <v>80</v>
      </c>
      <c r="H707" s="1235">
        <f>+F707+G707</f>
        <v/>
      </c>
      <c r="I707" s="340">
        <f>+AM707</f>
        <v/>
      </c>
      <c r="J707" s="341">
        <f>+H707+I707</f>
        <v/>
      </c>
      <c r="K707" s="583">
        <f>+(D707+E707)-(J707)</f>
        <v/>
      </c>
      <c r="L707" s="253" t="n"/>
      <c r="M707" s="254" t="n"/>
      <c r="N707" s="254" t="n"/>
      <c r="O707" s="1183" t="n"/>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v>1</v>
      </c>
      <c r="AA707" s="648" t="n">
        <v>0</v>
      </c>
      <c r="AB707" s="649">
        <f>+Z707+AA707</f>
        <v/>
      </c>
      <c r="AC707" s="648" t="n">
        <v>0</v>
      </c>
      <c r="AD707" s="648" t="n">
        <v>0</v>
      </c>
      <c r="AE707" s="648" t="n">
        <v>0</v>
      </c>
      <c r="AF707" s="648" t="n">
        <v>0</v>
      </c>
      <c r="AG707" s="648" t="n">
        <v>0</v>
      </c>
      <c r="AH707" s="648" t="n">
        <v>0</v>
      </c>
      <c r="AI707" s="648" t="n">
        <v>0</v>
      </c>
      <c r="AJ707" s="648" t="n">
        <v>0</v>
      </c>
      <c r="AK707" s="648" t="n">
        <v>0</v>
      </c>
      <c r="AL707" s="648" t="n">
        <v>0</v>
      </c>
      <c r="AM707" s="421">
        <f>SUM(AB707:AL712)</f>
        <v/>
      </c>
      <c r="AN707" s="726" t="n"/>
      <c r="AU707" s="1240" t="n"/>
      <c r="AV707" s="1240" t="n"/>
    </row>
    <row r="708" ht="17.1" customHeight="1">
      <c r="A708" s="973" t="n"/>
      <c r="B708" s="971" t="n"/>
      <c r="C708" s="972" t="n"/>
      <c r="D708" s="973" t="n"/>
      <c r="E708" s="973" t="n"/>
      <c r="F708" s="994" t="n"/>
      <c r="G708" s="994" t="n"/>
      <c r="H708" s="973" t="n"/>
      <c r="I708" s="973" t="n"/>
      <c r="J708" s="973" t="n"/>
      <c r="K708" s="973" t="n"/>
      <c r="L708" s="253" t="n">
        <v>2281</v>
      </c>
      <c r="M708" s="254" t="inlineStr">
        <is>
          <t>200034</t>
        </is>
      </c>
      <c r="N708" s="254" t="inlineStr">
        <is>
          <t>MEDECO</t>
        </is>
      </c>
      <c r="O708" s="1183" t="n">
        <v>46538</v>
      </c>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73" t="n"/>
      <c r="E709" s="973" t="n"/>
      <c r="F709" s="994" t="n"/>
      <c r="G709" s="994" t="n"/>
      <c r="H709" s="973" t="n"/>
      <c r="I709" s="973" t="n"/>
      <c r="J709" s="973" t="n"/>
      <c r="K709" s="973" t="n"/>
      <c r="L709" s="253" t="n"/>
      <c r="M709" s="254" t="n"/>
      <c r="N709" s="254" t="n"/>
      <c r="O709" s="1183" t="n"/>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73"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73" t="n"/>
      <c r="E711" s="973" t="n"/>
      <c r="F711" s="994" t="n"/>
      <c r="G711" s="994" t="n"/>
      <c r="H711" s="973" t="n"/>
      <c r="I711" s="973" t="n"/>
      <c r="J711" s="973" t="n"/>
      <c r="K711" s="973" t="n"/>
      <c r="L711" s="253" t="n"/>
      <c r="M711" s="254" t="n"/>
      <c r="N711" s="254" t="inlineStr"/>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73"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75" t="n"/>
      <c r="E713" s="975" t="n"/>
      <c r="F713" s="998" t="n"/>
      <c r="G713" s="998" t="n"/>
      <c r="H713" s="975" t="n"/>
      <c r="I713" s="975" t="n"/>
      <c r="J713" s="975" t="n"/>
      <c r="K713" s="1189">
        <f>K707=L713</f>
        <v/>
      </c>
      <c r="L713" s="491">
        <f>SUM(L707:L712)</f>
        <v/>
      </c>
      <c r="M713" s="1190" t="inlineStr">
        <is>
          <t xml:space="preserve">“Verdadero” indica que la cantidad por lote, coincide con el saldo que inicia al mes siguiente. "Falso" no coinicide. </t>
        </is>
      </c>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413">
        <f>MAYO!K714</f>
        <v/>
      </c>
      <c r="E714" s="339">
        <f>H310</f>
        <v/>
      </c>
      <c r="F714" s="338" t="n"/>
      <c r="G714" s="338" t="n"/>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v>0</v>
      </c>
      <c r="AA714" s="648" t="n">
        <v>0</v>
      </c>
      <c r="AB714" s="649">
        <f>+Z714+AA714</f>
        <v/>
      </c>
      <c r="AC714" s="648" t="n">
        <v>0</v>
      </c>
      <c r="AD714" s="648" t="n">
        <v>0</v>
      </c>
      <c r="AE714" s="648" t="n">
        <v>0</v>
      </c>
      <c r="AF714" s="648" t="n">
        <v>0</v>
      </c>
      <c r="AG714" s="648" t="n">
        <v>0</v>
      </c>
      <c r="AH714" s="648" t="n">
        <v>0</v>
      </c>
      <c r="AI714" s="648" t="n">
        <v>0</v>
      </c>
      <c r="AJ714" s="648" t="n">
        <v>0</v>
      </c>
      <c r="AK714" s="648" t="n">
        <v>0</v>
      </c>
      <c r="AL714" s="648" t="n">
        <v>0</v>
      </c>
      <c r="AM714" s="421">
        <f>SUM(AB714:AL719)</f>
        <v/>
      </c>
      <c r="AN714" s="726" t="n"/>
      <c r="AU714" s="1240" t="n"/>
      <c r="AV714" s="1240" t="n"/>
    </row>
    <row r="715" ht="17.1" customHeight="1">
      <c r="A715" s="973" t="n"/>
      <c r="B715" s="971" t="n"/>
      <c r="C715" s="972" t="n"/>
      <c r="D715" s="973"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73"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73"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73"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73"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75"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413">
        <f>MAYO!K721</f>
        <v/>
      </c>
      <c r="E721" s="339">
        <f>H317</f>
        <v/>
      </c>
      <c r="F721" s="338" t="n">
        <v>2896</v>
      </c>
      <c r="G721" s="338" t="n">
        <v>2</v>
      </c>
      <c r="H721" s="1235">
        <f>+F721+G721</f>
        <v/>
      </c>
      <c r="I721" s="340">
        <f>+AM721</f>
        <v/>
      </c>
      <c r="J721" s="341">
        <f>+H721+I721</f>
        <v/>
      </c>
      <c r="K721" s="583">
        <f>+(D721+E721)-(J721)</f>
        <v/>
      </c>
      <c r="L721" s="253" t="n">
        <v>12053</v>
      </c>
      <c r="M721" s="254" t="inlineStr">
        <is>
          <t>AR13095</t>
        </is>
      </c>
      <c r="N721" s="254" t="inlineStr">
        <is>
          <t>NUBENCO</t>
        </is>
      </c>
      <c r="O721" s="1183" t="inlineStr">
        <is>
          <t>30/09/2026</t>
        </is>
      </c>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v>0</v>
      </c>
      <c r="AA721" s="648" t="n">
        <v>0</v>
      </c>
      <c r="AB721" s="649">
        <f>+Z721+AA721</f>
        <v/>
      </c>
      <c r="AC721" s="648" t="n">
        <v>0</v>
      </c>
      <c r="AD721" s="648" t="n">
        <v>0</v>
      </c>
      <c r="AE721" s="648" t="n">
        <v>0</v>
      </c>
      <c r="AF721" s="648" t="n">
        <v>0</v>
      </c>
      <c r="AG721" s="648" t="n">
        <v>0</v>
      </c>
      <c r="AH721" s="648" t="n">
        <v>0</v>
      </c>
      <c r="AI721" s="648" t="n">
        <v>0</v>
      </c>
      <c r="AJ721" s="648" t="n">
        <v>0</v>
      </c>
      <c r="AK721" s="648" t="n">
        <v>0</v>
      </c>
      <c r="AL721" s="648" t="n">
        <v>0</v>
      </c>
      <c r="AM721" s="421">
        <f>SUM(AB721:AL726)</f>
        <v/>
      </c>
      <c r="AN721" s="726" t="n"/>
      <c r="AU721" s="1240" t="n"/>
      <c r="AV721" s="1240" t="n"/>
    </row>
    <row r="722" ht="17.1" customHeight="1">
      <c r="A722" s="973" t="n"/>
      <c r="B722" s="971" t="n"/>
      <c r="C722" s="972" t="n"/>
      <c r="D722" s="973" t="n"/>
      <c r="E722" s="973" t="n"/>
      <c r="F722" s="994" t="n"/>
      <c r="G722" s="994" t="n"/>
      <c r="H722" s="973" t="n"/>
      <c r="I722" s="973" t="n"/>
      <c r="J722" s="973" t="n"/>
      <c r="K722" s="973" t="n"/>
      <c r="L722" s="253" t="n">
        <v>1977</v>
      </c>
      <c r="M722" s="254" t="inlineStr">
        <is>
          <t>AR13158</t>
        </is>
      </c>
      <c r="N722" s="254" t="inlineStr">
        <is>
          <t>NUBENCO</t>
        </is>
      </c>
      <c r="O722" s="1183" t="inlineStr">
        <is>
          <t>31/03/2027</t>
        </is>
      </c>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73" t="n"/>
      <c r="E723" s="973" t="n"/>
      <c r="F723" s="994" t="n"/>
      <c r="G723" s="994" t="n"/>
      <c r="H723" s="973" t="n"/>
      <c r="I723" s="973" t="n"/>
      <c r="J723" s="973" t="n"/>
      <c r="K723" s="973" t="n"/>
      <c r="L723" s="253" t="n">
        <v>4766</v>
      </c>
      <c r="M723" s="254" t="inlineStr">
        <is>
          <t>2407226</t>
        </is>
      </c>
      <c r="N723" s="254" t="inlineStr">
        <is>
          <t>SANAVITA</t>
        </is>
      </c>
      <c r="O723" s="1183" t="inlineStr">
        <is>
          <t>29/07/2029</t>
        </is>
      </c>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73" t="n"/>
      <c r="E724" s="973" t="n"/>
      <c r="F724" s="994" t="n"/>
      <c r="G724" s="994" t="n"/>
      <c r="H724" s="973" t="n"/>
      <c r="I724" s="973" t="n"/>
      <c r="J724" s="973" t="n"/>
      <c r="K724" s="973" t="n"/>
      <c r="L724" s="253" t="n">
        <v>3401</v>
      </c>
      <c r="M724" s="254" t="inlineStr">
        <is>
          <t>252216</t>
        </is>
      </c>
      <c r="N724" s="254" t="inlineStr">
        <is>
          <t>Fabricante</t>
        </is>
      </c>
      <c r="O724" s="1183" t="inlineStr">
        <is>
          <t>30/08/2027</t>
        </is>
      </c>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73" t="n"/>
      <c r="E725" s="973" t="n"/>
      <c r="F725" s="994" t="n"/>
      <c r="G725" s="994" t="n"/>
      <c r="H725" s="973" t="n"/>
      <c r="I725" s="973" t="n"/>
      <c r="J725" s="973" t="n"/>
      <c r="K725" s="973" t="n"/>
      <c r="L725" s="253" t="n">
        <v>1750</v>
      </c>
      <c r="M725" s="254" t="inlineStr">
        <is>
          <t>192102</t>
        </is>
      </c>
      <c r="N725" s="254" t="inlineStr">
        <is>
          <t>MEDECO</t>
        </is>
      </c>
      <c r="O725" s="1183" t="inlineStr">
        <is>
          <t>30/04/2026</t>
        </is>
      </c>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73" t="n"/>
      <c r="E726" s="973" t="n"/>
      <c r="F726" s="994" t="n"/>
      <c r="G726" s="994" t="n"/>
      <c r="H726" s="973" t="n"/>
      <c r="I726" s="973" t="n"/>
      <c r="J726" s="973" t="n"/>
      <c r="K726" s="975" t="n"/>
      <c r="L726" s="253" t="n"/>
      <c r="M726" s="254" t="n"/>
      <c r="N726" s="254" t="n"/>
      <c r="O726" s="1183" t="n"/>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75" t="n"/>
      <c r="E727" s="975" t="n"/>
      <c r="F727" s="998" t="n"/>
      <c r="G727" s="998" t="n"/>
      <c r="H727" s="975" t="n"/>
      <c r="I727" s="975" t="n"/>
      <c r="J727" s="975" t="n"/>
      <c r="K727" s="1189">
        <f>K721=L727</f>
        <v/>
      </c>
      <c r="L727" s="491">
        <f>SUM(L721:L726)</f>
        <v/>
      </c>
      <c r="M727" s="1190" t="inlineStr">
        <is>
          <t xml:space="preserve">“Verdadero” indica que la cantidad por lote, coincide con el saldo que inicia al mes siguiente. "Falso" no coinicide. </t>
        </is>
      </c>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413">
        <f>MAYO!K728</f>
        <v/>
      </c>
      <c r="E728" s="339">
        <f>H324</f>
        <v/>
      </c>
      <c r="F728" s="338" t="n"/>
      <c r="G728" s="338" t="n"/>
      <c r="H728" s="1235">
        <f>+F728+G728</f>
        <v/>
      </c>
      <c r="I728" s="340">
        <f>+AM728</f>
        <v/>
      </c>
      <c r="J728" s="341">
        <f>+H728+I728</f>
        <v/>
      </c>
      <c r="K728" s="583">
        <f>+(D728+E728)-(J728)</f>
        <v/>
      </c>
      <c r="L728" s="253" t="n"/>
      <c r="M728" s="254" t="n"/>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v>0</v>
      </c>
      <c r="AA728" s="648" t="n">
        <v>0</v>
      </c>
      <c r="AB728" s="649">
        <f>+Z728+AA728</f>
        <v/>
      </c>
      <c r="AC728" s="648" t="n">
        <v>0</v>
      </c>
      <c r="AD728" s="648" t="n">
        <v>0</v>
      </c>
      <c r="AE728" s="648" t="n">
        <v>0</v>
      </c>
      <c r="AF728" s="648" t="n">
        <v>0</v>
      </c>
      <c r="AG728" s="648" t="n">
        <v>0</v>
      </c>
      <c r="AH728" s="648" t="n">
        <v>0</v>
      </c>
      <c r="AI728" s="648" t="n">
        <v>0</v>
      </c>
      <c r="AJ728" s="648" t="n">
        <v>0</v>
      </c>
      <c r="AK728" s="648" t="n">
        <v>0</v>
      </c>
      <c r="AL728" s="648" t="n">
        <v>0</v>
      </c>
      <c r="AM728" s="421">
        <f>SUM(AB728:AL733)</f>
        <v/>
      </c>
      <c r="AN728" s="726" t="n"/>
      <c r="AU728" s="1240" t="n"/>
      <c r="AV728" s="1240" t="n"/>
    </row>
    <row r="729" ht="17.1" customHeight="1">
      <c r="A729" s="973" t="n"/>
      <c r="B729" s="971" t="n"/>
      <c r="C729" s="972" t="n"/>
      <c r="D729" s="973" t="n"/>
      <c r="E729" s="973" t="n"/>
      <c r="F729" s="994" t="n"/>
      <c r="G729" s="994" t="n"/>
      <c r="H729" s="973" t="n"/>
      <c r="I729" s="973" t="n"/>
      <c r="J729" s="973" t="n"/>
      <c r="K729" s="973" t="n"/>
      <c r="L729" s="253" t="n"/>
      <c r="M729" s="254" t="n"/>
      <c r="N729" s="254" t="n"/>
      <c r="O729" s="1183" t="n"/>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73"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73"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73"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73"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75" t="n"/>
      <c r="E734" s="975" t="n"/>
      <c r="F734" s="998" t="n"/>
      <c r="G734" s="998" t="n"/>
      <c r="H734" s="975" t="n"/>
      <c r="I734" s="975" t="n"/>
      <c r="J734" s="975" t="n"/>
      <c r="K734" s="1189">
        <f>K728=L734</f>
        <v/>
      </c>
      <c r="L734" s="491">
        <f>SUM(L728:L733)</f>
        <v/>
      </c>
      <c r="M734" s="1190" t="inlineStr">
        <is>
          <t xml:space="preserve">“Verdadero” indica que la cantidad por lote, coincide con el saldo que inicia al mes siguiente. "Falso" no coinicide. </t>
        </is>
      </c>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413">
        <f>MAYO!K735</f>
        <v/>
      </c>
      <c r="E735" s="339">
        <f>H331</f>
        <v/>
      </c>
      <c r="F735" s="338" t="n">
        <v>0</v>
      </c>
      <c r="G735" s="338" t="n">
        <v>0</v>
      </c>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v>0</v>
      </c>
      <c r="AA735" s="648" t="n">
        <v>0</v>
      </c>
      <c r="AB735" s="649">
        <f>+Z735+AA735</f>
        <v/>
      </c>
      <c r="AC735" s="648" t="n">
        <v>0</v>
      </c>
      <c r="AD735" s="648" t="n">
        <v>0</v>
      </c>
      <c r="AE735" s="648" t="n">
        <v>0</v>
      </c>
      <c r="AF735" s="648" t="n">
        <v>0</v>
      </c>
      <c r="AG735" s="648" t="n">
        <v>0</v>
      </c>
      <c r="AH735" s="648" t="n">
        <v>0</v>
      </c>
      <c r="AI735" s="648" t="n">
        <v>0</v>
      </c>
      <c r="AJ735" s="648" t="n">
        <v>0</v>
      </c>
      <c r="AK735" s="648" t="n">
        <v>0</v>
      </c>
      <c r="AL735" s="648" t="n">
        <v>0</v>
      </c>
      <c r="AM735" s="421">
        <f>SUM(AB735:AL740)</f>
        <v/>
      </c>
      <c r="AN735" s="726" t="n"/>
      <c r="AU735" s="1240" t="n"/>
      <c r="AV735" s="1240" t="n"/>
    </row>
    <row r="736" ht="17.1" customHeight="1">
      <c r="A736" s="973" t="n"/>
      <c r="B736" s="971" t="n"/>
      <c r="C736" s="972" t="n"/>
      <c r="D736" s="973"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73"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73"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73"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73"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75" t="n"/>
      <c r="E741" s="975" t="n"/>
      <c r="F741" s="998" t="n"/>
      <c r="G741" s="998" t="n"/>
      <c r="H741" s="975" t="n"/>
      <c r="I741" s="975" t="n"/>
      <c r="J741" s="975" t="n"/>
      <c r="K741" s="1189">
        <f>K735=L741</f>
        <v/>
      </c>
      <c r="L741" s="491">
        <f>SUM(L735:L740)</f>
        <v/>
      </c>
      <c r="M741" s="1190" t="inlineStr">
        <is>
          <t xml:space="preserve">“Verdadero” indica que la cantidad por lote, coincide con el saldo que inicia al mes siguiente. "Falso" no coinicide. </t>
        </is>
      </c>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413">
        <f>MAYO!K742</f>
        <v/>
      </c>
      <c r="E742" s="339">
        <f>H338</f>
        <v/>
      </c>
      <c r="F742" s="338" t="n">
        <v>14146</v>
      </c>
      <c r="G742" s="338" t="n">
        <v>122</v>
      </c>
      <c r="H742" s="1235">
        <f>+F742+G742</f>
        <v/>
      </c>
      <c r="I742" s="340">
        <f>+AM742</f>
        <v/>
      </c>
      <c r="J742" s="341">
        <f>+H742+I742</f>
        <v/>
      </c>
      <c r="K742" s="583">
        <f>+(D742+E742)-(J742)</f>
        <v/>
      </c>
      <c r="L742" s="253" t="n">
        <v>15780</v>
      </c>
      <c r="M742" s="254" t="inlineStr">
        <is>
          <t>AR13133-8</t>
        </is>
      </c>
      <c r="N742" s="254" t="inlineStr">
        <is>
          <t>NUBENCO</t>
        </is>
      </c>
      <c r="O742" s="1183" t="inlineStr">
        <is>
          <t>31/03/2027</t>
        </is>
      </c>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v>62</v>
      </c>
      <c r="AA742" s="648" t="n">
        <v>0</v>
      </c>
      <c r="AB742" s="649">
        <f>+Z742+AA742</f>
        <v/>
      </c>
      <c r="AC742" s="648" t="n">
        <v>0</v>
      </c>
      <c r="AD742" s="648" t="n">
        <v>0</v>
      </c>
      <c r="AE742" s="648" t="n">
        <v>0</v>
      </c>
      <c r="AF742" s="648" t="n">
        <v>0</v>
      </c>
      <c r="AG742" s="648" t="n">
        <v>0</v>
      </c>
      <c r="AH742" s="648" t="n">
        <v>1</v>
      </c>
      <c r="AI742" s="648" t="n">
        <v>0</v>
      </c>
      <c r="AJ742" s="648" t="n">
        <v>0</v>
      </c>
      <c r="AK742" s="648" t="n">
        <v>0</v>
      </c>
      <c r="AL742" s="648" t="n">
        <v>0</v>
      </c>
      <c r="AM742" s="421">
        <f>SUM(AB742:AL747)</f>
        <v/>
      </c>
      <c r="AN742" s="726" t="n"/>
      <c r="AU742" s="1240" t="n"/>
      <c r="AV742" s="1240" t="n"/>
    </row>
    <row r="743" ht="17.1" customHeight="1">
      <c r="A743" s="973" t="n"/>
      <c r="B743" s="971" t="n"/>
      <c r="C743" s="972" t="n"/>
      <c r="D743" s="973" t="n"/>
      <c r="E743" s="973" t="n"/>
      <c r="F743" s="994" t="n"/>
      <c r="G743" s="994" t="n"/>
      <c r="H743" s="973" t="n"/>
      <c r="I743" s="973" t="n"/>
      <c r="J743" s="973" t="n"/>
      <c r="K743" s="973" t="n"/>
      <c r="L743" s="253" t="n">
        <v>378</v>
      </c>
      <c r="M743" s="254" t="inlineStr">
        <is>
          <t>20220110</t>
        </is>
      </c>
      <c r="N743" s="254" t="inlineStr">
        <is>
          <t>YIXIN China</t>
        </is>
      </c>
      <c r="O743" s="1183" t="inlineStr">
        <is>
          <t>09/01/2027</t>
        </is>
      </c>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73" t="n"/>
      <c r="E744" s="973" t="n"/>
      <c r="F744" s="994" t="n"/>
      <c r="G744" s="994" t="n"/>
      <c r="H744" s="973" t="n"/>
      <c r="I744" s="973" t="n"/>
      <c r="J744" s="973" t="n"/>
      <c r="K744" s="973" t="n"/>
      <c r="L744" s="253" t="n">
        <v>70</v>
      </c>
      <c r="M744" s="254" t="inlineStr">
        <is>
          <t>AR13133-7</t>
        </is>
      </c>
      <c r="N744" s="254" t="inlineStr">
        <is>
          <t>Fabricante</t>
        </is>
      </c>
      <c r="O744" s="1183" t="inlineStr">
        <is>
          <t>28/02/2027</t>
        </is>
      </c>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73" t="n"/>
      <c r="E745" s="973" t="n"/>
      <c r="F745" s="994" t="n"/>
      <c r="G745" s="994" t="n"/>
      <c r="H745" s="973" t="n"/>
      <c r="I745" s="973" t="n"/>
      <c r="J745" s="973" t="n"/>
      <c r="K745" s="973" t="n"/>
      <c r="L745" s="253" t="n">
        <v>80</v>
      </c>
      <c r="M745" s="254" t="inlineStr">
        <is>
          <t>CW13132-5</t>
        </is>
      </c>
      <c r="N745" s="254" t="inlineStr">
        <is>
          <t>NUBENCO</t>
        </is>
      </c>
      <c r="O745" s="1183" t="inlineStr">
        <is>
          <t>31/01/2027</t>
        </is>
      </c>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73" t="n"/>
      <c r="E746" s="973" t="n"/>
      <c r="F746" s="994" t="n"/>
      <c r="G746" s="994" t="n"/>
      <c r="H746" s="973" t="n"/>
      <c r="I746" s="973" t="n"/>
      <c r="J746" s="973" t="n"/>
      <c r="K746" s="973" t="n"/>
      <c r="L746" s="253" t="n"/>
      <c r="M746" s="254" t="n"/>
      <c r="N746" s="254" t="n"/>
      <c r="O746" s="1183" t="n"/>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73" t="n"/>
      <c r="E747" s="973" t="n"/>
      <c r="F747" s="994" t="n"/>
      <c r="G747" s="994" t="n"/>
      <c r="H747" s="973" t="n"/>
      <c r="I747" s="973" t="n"/>
      <c r="J747" s="973" t="n"/>
      <c r="K747" s="975" t="n"/>
      <c r="L747" s="253" t="n"/>
      <c r="M747" s="254" t="n"/>
      <c r="N747" s="254" t="n"/>
      <c r="O747" s="1183" t="n"/>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75" t="n"/>
      <c r="E748" s="975" t="n"/>
      <c r="F748" s="998" t="n"/>
      <c r="G748" s="998" t="n"/>
      <c r="H748" s="975" t="n"/>
      <c r="I748" s="975" t="n"/>
      <c r="J748" s="975" t="n"/>
      <c r="K748" s="1189">
        <f>K742=L748</f>
        <v/>
      </c>
      <c r="L748" s="491">
        <f>SUM(L742:L747)</f>
        <v/>
      </c>
      <c r="M748" s="1190" t="inlineStr">
        <is>
          <t xml:space="preserve">“Verdadero” indica que la cantidad por lote, coincide con el saldo que inicia al mes siguiente. "Falso" no coinicide. </t>
        </is>
      </c>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413">
        <f>MAYO!K749</f>
        <v/>
      </c>
      <c r="E749" s="339">
        <f>H345</f>
        <v/>
      </c>
      <c r="F749" s="338" t="n">
        <v>0</v>
      </c>
      <c r="G749" s="338" t="n">
        <v>0</v>
      </c>
      <c r="H749" s="1235">
        <f>+F749+G749</f>
        <v/>
      </c>
      <c r="I749" s="340">
        <f>+AM749</f>
        <v/>
      </c>
      <c r="J749" s="341">
        <f>+H749+I749</f>
        <v/>
      </c>
      <c r="K749" s="583">
        <f>+(D749+E749)-(J749)</f>
        <v/>
      </c>
      <c r="L749" s="253" t="n"/>
      <c r="M749" s="254" t="n"/>
      <c r="N749" s="254" t="n"/>
      <c r="O749" s="1183" t="n"/>
      <c r="P749" s="256">
        <f>IF(O749=0," ",IFERROR(IF(DATEDIF(TODAY(),O749,"M")&lt;=5,"ROJO",IF(DATEDIF(TODAY(),O749,"M")&gt;=12,"VERDE",IF(AND(DATEDIF(TODAY(),O749,"M")&gt;=6,DATEDIF(TODAY(),O749,"M")&lt;=11),"AMARILLO"))),Q749))</f>
        <v/>
      </c>
      <c r="Q749" s="256">
        <f>IF(O749=0," ",IF(O749&lt;=$L$6,"VENCIDO","NO VENCIDO"))</f>
        <v/>
      </c>
      <c r="R749" s="257" t="n"/>
      <c r="S749" s="258" t="n"/>
      <c r="T749" s="258" t="n"/>
      <c r="U749" s="1184" t="n"/>
      <c r="V749" s="1184" t="n"/>
      <c r="W749" s="1236">
        <f>+AR749</f>
        <v/>
      </c>
      <c r="X749" s="1237" t="n"/>
      <c r="Y749" s="232" t="n"/>
      <c r="Z749" s="648" t="n">
        <v>0</v>
      </c>
      <c r="AA749" s="648" t="n">
        <v>0</v>
      </c>
      <c r="AB749" s="649">
        <f>+Z749+AA749</f>
        <v/>
      </c>
      <c r="AC749" s="648" t="n">
        <v>0</v>
      </c>
      <c r="AD749" s="648" t="n">
        <v>0</v>
      </c>
      <c r="AE749" s="648" t="n">
        <v>0</v>
      </c>
      <c r="AF749" s="648" t="n">
        <v>0</v>
      </c>
      <c r="AG749" s="648" t="n">
        <v>0</v>
      </c>
      <c r="AH749" s="648" t="n">
        <v>0</v>
      </c>
      <c r="AI749" s="648" t="n">
        <v>0</v>
      </c>
      <c r="AJ749" s="648" t="n">
        <v>0</v>
      </c>
      <c r="AK749" s="648" t="n">
        <v>0</v>
      </c>
      <c r="AL749" s="648" t="n">
        <v>0</v>
      </c>
      <c r="AM749" s="421">
        <f>SUM(AB749:AL754)</f>
        <v/>
      </c>
      <c r="AN749" s="726" t="n"/>
      <c r="AU749" s="1240" t="n"/>
      <c r="AV749" s="1240" t="n"/>
    </row>
    <row r="750" ht="17.1" customHeight="1">
      <c r="A750" s="973" t="n"/>
      <c r="B750" s="971" t="n"/>
      <c r="C750" s="972" t="n"/>
      <c r="D750" s="973"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73"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73"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73"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73"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75" t="n"/>
      <c r="E755" s="975" t="n"/>
      <c r="F755" s="998" t="n"/>
      <c r="G755" s="998" t="n"/>
      <c r="H755" s="975" t="n"/>
      <c r="I755" s="975" t="n"/>
      <c r="J755" s="975" t="n"/>
      <c r="K755" s="1189">
        <f>K749=L755</f>
        <v/>
      </c>
      <c r="L755" s="491">
        <f>SUM(L749:L754)</f>
        <v/>
      </c>
      <c r="M755" s="1190" t="inlineStr">
        <is>
          <t xml:space="preserve">“Verdadero” indica que la cantidad por lote, coincide con el saldo que inicia al mes siguiente. "Falso" no coinicide. </t>
        </is>
      </c>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413">
        <f>MAYO!K756</f>
        <v/>
      </c>
      <c r="E756" s="339">
        <f>H352</f>
        <v/>
      </c>
      <c r="F756" s="338" t="n">
        <v>8027</v>
      </c>
      <c r="G756" s="338" t="n">
        <v>64</v>
      </c>
      <c r="H756" s="1235">
        <f>+F756+G756</f>
        <v/>
      </c>
      <c r="I756" s="340">
        <f>+AM756</f>
        <v/>
      </c>
      <c r="J756" s="341">
        <f>+H756+I756</f>
        <v/>
      </c>
      <c r="K756" s="583">
        <f>+(D756+E756)-(J756)</f>
        <v/>
      </c>
      <c r="L756" s="253" t="n">
        <v>12294</v>
      </c>
      <c r="M756" s="254" t="inlineStr">
        <is>
          <t>20250903</t>
        </is>
      </c>
      <c r="N756" s="254" t="inlineStr">
        <is>
          <t>YIXIN China</t>
        </is>
      </c>
      <c r="O756" s="1183" t="inlineStr">
        <is>
          <t>02/09/2030</t>
        </is>
      </c>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v>63</v>
      </c>
      <c r="AA756" s="648" t="n">
        <v>7</v>
      </c>
      <c r="AB756" s="649">
        <f>+Z756+AA756</f>
        <v/>
      </c>
      <c r="AC756" s="648" t="n">
        <v>0</v>
      </c>
      <c r="AD756" s="648" t="n">
        <v>0</v>
      </c>
      <c r="AE756" s="648" t="n">
        <v>0</v>
      </c>
      <c r="AF756" s="648" t="n">
        <v>0</v>
      </c>
      <c r="AG756" s="648" t="n">
        <v>0</v>
      </c>
      <c r="AH756" s="648" t="n">
        <v>0</v>
      </c>
      <c r="AI756" s="648" t="n">
        <v>0</v>
      </c>
      <c r="AJ756" s="648" t="n">
        <v>0</v>
      </c>
      <c r="AK756" s="648" t="n">
        <v>0</v>
      </c>
      <c r="AL756" s="648" t="n">
        <v>0</v>
      </c>
      <c r="AM756" s="421">
        <f>SUM(AB756:AL761)</f>
        <v/>
      </c>
      <c r="AN756" s="726" t="n"/>
      <c r="AU756" s="1240" t="n"/>
      <c r="AV756" s="1240" t="n"/>
    </row>
    <row r="757" ht="17.1" customHeight="1">
      <c r="A757" s="973" t="n"/>
      <c r="B757" s="971" t="n"/>
      <c r="C757" s="972" t="n"/>
      <c r="D757" s="973" t="n"/>
      <c r="E757" s="973" t="n"/>
      <c r="F757" s="994" t="n"/>
      <c r="G757" s="994" t="n"/>
      <c r="H757" s="973" t="n"/>
      <c r="I757" s="973" t="n"/>
      <c r="J757" s="973" t="n"/>
      <c r="K757" s="973" t="n"/>
      <c r="L757" s="253" t="n">
        <v>4600</v>
      </c>
      <c r="M757" s="254" t="inlineStr">
        <is>
          <t>23FA1</t>
        </is>
      </c>
      <c r="N757" s="254" t="inlineStr">
        <is>
          <t>Fabricante</t>
        </is>
      </c>
      <c r="O757" s="1183" t="inlineStr">
        <is>
          <t>31/05/2028</t>
        </is>
      </c>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73" t="n"/>
      <c r="E758" s="973" t="n"/>
      <c r="F758" s="994" t="n"/>
      <c r="G758" s="994" t="n"/>
      <c r="H758" s="973" t="n"/>
      <c r="I758" s="973" t="n"/>
      <c r="J758" s="973" t="n"/>
      <c r="K758" s="973" t="n"/>
      <c r="L758" s="253" t="n">
        <v>685</v>
      </c>
      <c r="M758" s="254" t="inlineStr">
        <is>
          <t>432001</t>
        </is>
      </c>
      <c r="N758" s="254" t="inlineStr">
        <is>
          <t>MEDECO</t>
        </is>
      </c>
      <c r="O758" s="1183" t="inlineStr">
        <is>
          <t>28/02/2025</t>
        </is>
      </c>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73" t="n"/>
      <c r="E759" s="973" t="n"/>
      <c r="F759" s="994" t="n"/>
      <c r="G759" s="994" t="n"/>
      <c r="H759" s="973" t="n"/>
      <c r="I759" s="973" t="n"/>
      <c r="J759" s="973" t="n"/>
      <c r="K759" s="973" t="n"/>
      <c r="L759" s="253" t="n">
        <v>24</v>
      </c>
      <c r="M759" s="254" t="inlineStr">
        <is>
          <t>552214</t>
        </is>
      </c>
      <c r="N759" s="254" t="inlineStr">
        <is>
          <t>Fabricante</t>
        </is>
      </c>
      <c r="O759" s="1183" t="inlineStr">
        <is>
          <t>30/06/2027</t>
        </is>
      </c>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73" t="n"/>
      <c r="E760" s="973" t="n"/>
      <c r="F760" s="994" t="n"/>
      <c r="G760" s="994" t="n"/>
      <c r="H760" s="973" t="n"/>
      <c r="I760" s="973" t="n"/>
      <c r="J760" s="973" t="n"/>
      <c r="K760" s="973" t="n"/>
      <c r="L760" s="253" t="n"/>
      <c r="M760" s="254" t="n"/>
      <c r="N760" s="254" t="n"/>
      <c r="O760" s="1183" t="n"/>
      <c r="P760" s="256">
        <f>IF(O760=0," ",IFERROR(IF(DATEDIF(TODAY(),O760,"M")&lt;=5,"ROJO",IF(DATEDIF(TODAY(),O760,"M")&gt;=12,"VERDE",IF(AND(DATEDIF(TODAY(),O760,"M")&gt;=6,DATEDIF(TODAY(),O760,"M")&lt;=11),"AMARILLO"))),Q760))</f>
        <v/>
      </c>
      <c r="Q760" s="256">
        <f>IF(O760=0," ",IF(O760&lt;=$L$6,"VENCIDO","NO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73"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75"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413">
        <f>MAYO!K763</f>
        <v/>
      </c>
      <c r="E763" s="339">
        <f>H359</f>
        <v/>
      </c>
      <c r="F763" s="338" t="n">
        <v>580</v>
      </c>
      <c r="G763" s="338" t="n">
        <v>25</v>
      </c>
      <c r="H763" s="1235">
        <f>+F763+G763</f>
        <v/>
      </c>
      <c r="I763" s="340">
        <f>+AM763</f>
        <v/>
      </c>
      <c r="J763" s="341">
        <f>+H763+I763</f>
        <v/>
      </c>
      <c r="K763" s="583">
        <f>+(D763+E763)-(J763)</f>
        <v/>
      </c>
      <c r="L763" s="253" t="n">
        <v>2251</v>
      </c>
      <c r="M763" s="254" t="inlineStr">
        <is>
          <t>662203</t>
        </is>
      </c>
      <c r="N763" s="254" t="inlineStr">
        <is>
          <t>Fabricante</t>
        </is>
      </c>
      <c r="O763" s="1183" t="inlineStr">
        <is>
          <t>30/09/2027</t>
        </is>
      </c>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v>27</v>
      </c>
      <c r="AA763" s="648" t="n">
        <v>8</v>
      </c>
      <c r="AB763" s="649">
        <f>+Z763+AA763</f>
        <v/>
      </c>
      <c r="AC763" s="648" t="n">
        <v>0</v>
      </c>
      <c r="AD763" s="648" t="n">
        <v>0</v>
      </c>
      <c r="AE763" s="648" t="n">
        <v>0</v>
      </c>
      <c r="AF763" s="648" t="n">
        <v>39</v>
      </c>
      <c r="AG763" s="648" t="n">
        <v>0</v>
      </c>
      <c r="AH763" s="648" t="n">
        <v>8</v>
      </c>
      <c r="AI763" s="648" t="n">
        <v>0</v>
      </c>
      <c r="AJ763" s="648" t="n">
        <v>0</v>
      </c>
      <c r="AK763" s="648" t="n">
        <v>0</v>
      </c>
      <c r="AL763" s="648" t="n">
        <v>3</v>
      </c>
      <c r="AM763" s="421">
        <f>SUM(AB763:AL768)</f>
        <v/>
      </c>
      <c r="AN763" s="726" t="n"/>
      <c r="AU763" s="1240" t="n"/>
      <c r="AV763" s="1240" t="n"/>
    </row>
    <row r="764" ht="17.1" customHeight="1">
      <c r="A764" s="973" t="n"/>
      <c r="B764" s="971" t="n"/>
      <c r="C764" s="972" t="n"/>
      <c r="D764" s="973" t="n"/>
      <c r="E764" s="973" t="n"/>
      <c r="F764" s="994" t="n"/>
      <c r="G764" s="994" t="n"/>
      <c r="H764" s="973" t="n"/>
      <c r="I764" s="973" t="n"/>
      <c r="J764" s="973" t="n"/>
      <c r="K764" s="973" t="n"/>
      <c r="L764" s="253" t="n">
        <v>1800</v>
      </c>
      <c r="M764" s="254" t="inlineStr">
        <is>
          <t>622202</t>
        </is>
      </c>
      <c r="N764" s="254" t="inlineStr">
        <is>
          <t>MEDECO</t>
        </is>
      </c>
      <c r="O764" s="1183" t="inlineStr">
        <is>
          <t>28/02/2027</t>
        </is>
      </c>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73" t="n"/>
      <c r="E765" s="973" t="n"/>
      <c r="F765" s="994" t="n"/>
      <c r="G765" s="994" t="n"/>
      <c r="H765" s="973" t="n"/>
      <c r="I765" s="973" t="n"/>
      <c r="J765" s="973" t="n"/>
      <c r="K765" s="973" t="n"/>
      <c r="L765" s="253" t="n">
        <v>390</v>
      </c>
      <c r="M765" s="254" t="inlineStr">
        <is>
          <t>662202</t>
        </is>
      </c>
      <c r="N765" s="254" t="inlineStr">
        <is>
          <t>Fabricante</t>
        </is>
      </c>
      <c r="O765" s="1183" t="inlineStr">
        <is>
          <t>30/09/2027</t>
        </is>
      </c>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73" t="n"/>
      <c r="E766" s="973" t="n"/>
      <c r="F766" s="994" t="n"/>
      <c r="G766" s="994" t="n"/>
      <c r="H766" s="973" t="n"/>
      <c r="I766" s="973" t="n"/>
      <c r="J766" s="973" t="n"/>
      <c r="K766" s="973" t="n"/>
      <c r="L766" s="253" t="n">
        <v>135</v>
      </c>
      <c r="M766" s="254" t="inlineStr">
        <is>
          <t>622204</t>
        </is>
      </c>
      <c r="N766" s="254" t="inlineStr">
        <is>
          <t>Fabricante</t>
        </is>
      </c>
      <c r="O766" s="1183" t="inlineStr">
        <is>
          <t>28/02/2027</t>
        </is>
      </c>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73" t="n"/>
      <c r="E767" s="973" t="n"/>
      <c r="F767" s="994" t="n"/>
      <c r="G767" s="994" t="n"/>
      <c r="H767" s="973" t="n"/>
      <c r="I767" s="973" t="n"/>
      <c r="J767" s="973" t="n"/>
      <c r="K767" s="973" t="n"/>
      <c r="L767" s="253" t="n"/>
      <c r="M767" s="254" t="n"/>
      <c r="N767" s="254" t="inlineStr"/>
      <c r="O767" s="1183" t="inlineStr"/>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73"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75" t="n"/>
      <c r="E769" s="975" t="n"/>
      <c r="F769" s="998" t="n"/>
      <c r="G769" s="998" t="n"/>
      <c r="H769" s="975" t="n"/>
      <c r="I769" s="975" t="n"/>
      <c r="J769" s="975" t="n"/>
      <c r="K769" s="1189">
        <f>K763=L769</f>
        <v/>
      </c>
      <c r="L769" s="491">
        <f>SUM(L763:L768)</f>
        <v/>
      </c>
      <c r="M769" s="1190" t="inlineStr">
        <is>
          <t xml:space="preserve">“Verdadero” indica que la cantidad por lote, coincide con el saldo que inicia al mes siguiente. "Falso" no coinicide. </t>
        </is>
      </c>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413">
        <f>MAYO!K770</f>
        <v/>
      </c>
      <c r="E770" s="339">
        <f>H366</f>
        <v/>
      </c>
      <c r="F770" s="338" t="n">
        <v>0</v>
      </c>
      <c r="G770" s="338" t="n">
        <v>0</v>
      </c>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v>0</v>
      </c>
      <c r="AA770" s="648" t="n">
        <v>0</v>
      </c>
      <c r="AB770" s="649">
        <f>+Z770+AA770</f>
        <v/>
      </c>
      <c r="AC770" s="648" t="n">
        <v>0</v>
      </c>
      <c r="AD770" s="648" t="n">
        <v>0</v>
      </c>
      <c r="AE770" s="648" t="n">
        <v>0</v>
      </c>
      <c r="AF770" s="648" t="n">
        <v>0</v>
      </c>
      <c r="AG770" s="648" t="n">
        <v>0</v>
      </c>
      <c r="AH770" s="648" t="n">
        <v>0</v>
      </c>
      <c r="AI770" s="648" t="n">
        <v>0</v>
      </c>
      <c r="AJ770" s="648" t="n">
        <v>0</v>
      </c>
      <c r="AK770" s="648" t="n">
        <v>0</v>
      </c>
      <c r="AL770" s="648" t="n">
        <v>0</v>
      </c>
      <c r="AM770" s="421">
        <f>SUM(AB770:AL775)</f>
        <v/>
      </c>
      <c r="AN770" s="726" t="n"/>
      <c r="AU770" s="1240" t="n"/>
      <c r="AV770" s="1240" t="n"/>
    </row>
    <row r="771" ht="17.1" customHeight="1">
      <c r="A771" s="973" t="n"/>
      <c r="B771" s="971" t="n"/>
      <c r="C771" s="972" t="n"/>
      <c r="D771" s="973"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73"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73"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73"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73"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75" t="n"/>
      <c r="E776" s="975" t="n"/>
      <c r="F776" s="998" t="n"/>
      <c r="G776" s="998" t="n"/>
      <c r="H776" s="975" t="n"/>
      <c r="I776" s="975" t="n"/>
      <c r="J776" s="975" t="n"/>
      <c r="K776" s="1189">
        <f>K770=L776</f>
        <v/>
      </c>
      <c r="L776" s="491">
        <f>SUM(L770:L775)</f>
        <v/>
      </c>
      <c r="M776" s="1190" t="inlineStr">
        <is>
          <t xml:space="preserve">“Verdadero” indica que la cantidad por lote, coincide con el saldo que inicia al mes siguiente. "Falso" no coinicide. </t>
        </is>
      </c>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413">
        <f>MAYO!K777</f>
        <v/>
      </c>
      <c r="E777" s="339">
        <f>H373</f>
        <v/>
      </c>
      <c r="F777" s="338" t="n">
        <v>663</v>
      </c>
      <c r="G777" s="338" t="n">
        <v>24</v>
      </c>
      <c r="H777" s="576">
        <f>+F777+G777</f>
        <v/>
      </c>
      <c r="I777" s="340">
        <f>+AM777</f>
        <v/>
      </c>
      <c r="J777" s="341">
        <f>+H777+I777</f>
        <v/>
      </c>
      <c r="K777" s="584">
        <f>+(D777+E777)-(J777)</f>
        <v/>
      </c>
      <c r="L777" s="253" t="n">
        <v>2452</v>
      </c>
      <c r="M777" s="254" t="inlineStr">
        <is>
          <t>PAPELERA</t>
        </is>
      </c>
      <c r="N777" s="254" t="inlineStr">
        <is>
          <t>Imprenta Nacional de Colombia</t>
        </is>
      </c>
      <c r="O777" s="1183" t="inlineStr">
        <is>
          <t>31/12/2029</t>
        </is>
      </c>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v>0</v>
      </c>
      <c r="AA777" s="648" t="n">
        <v>0</v>
      </c>
      <c r="AB777" s="649">
        <f>+Z777+AA777</f>
        <v/>
      </c>
      <c r="AC777" s="648" t="n">
        <v>0</v>
      </c>
      <c r="AD777" s="648" t="n">
        <v>0</v>
      </c>
      <c r="AE777" s="648" t="n">
        <v>0</v>
      </c>
      <c r="AF777" s="648" t="n">
        <v>0</v>
      </c>
      <c r="AG777" s="648" t="n">
        <v>0</v>
      </c>
      <c r="AH777" s="648" t="n">
        <v>0</v>
      </c>
      <c r="AI777" s="648" t="n">
        <v>0</v>
      </c>
      <c r="AJ777" s="648" t="n">
        <v>0</v>
      </c>
      <c r="AK777" s="648" t="n">
        <v>0</v>
      </c>
      <c r="AL777" s="648" t="n">
        <v>0</v>
      </c>
      <c r="AM777" s="382">
        <f>SUM(AB777:AL777)</f>
        <v/>
      </c>
      <c r="AN777" s="726" t="n"/>
      <c r="AU777" s="1240" t="n"/>
      <c r="AV777" s="1240" t="n"/>
    </row>
    <row r="778" ht="30" customHeight="1">
      <c r="A778" s="585">
        <f>A777+1</f>
        <v/>
      </c>
      <c r="B778" s="629" t="inlineStr">
        <is>
          <t>Carnet de vacunación adultos</t>
        </is>
      </c>
      <c r="C778" s="967" t="n"/>
      <c r="D778" s="413">
        <f>MAYO!K778</f>
        <v/>
      </c>
      <c r="E778" s="339">
        <f>H374</f>
        <v/>
      </c>
      <c r="F778" s="338" t="n">
        <v>7032</v>
      </c>
      <c r="G778" s="338" t="n">
        <v>2</v>
      </c>
      <c r="H778" s="576">
        <f>+F778+G778</f>
        <v/>
      </c>
      <c r="I778" s="340">
        <f>+AM778</f>
        <v/>
      </c>
      <c r="J778" s="341">
        <f>+H778+I778</f>
        <v/>
      </c>
      <c r="K778" s="584">
        <f>+(D778+E778)-(J778)</f>
        <v/>
      </c>
      <c r="L778" s="253" t="n">
        <v>14626</v>
      </c>
      <c r="M778" s="254" t="inlineStr">
        <is>
          <t>PAPELERIA</t>
        </is>
      </c>
      <c r="N778" s="254" t="inlineStr">
        <is>
          <t>Imprenta Nacional de Colombia</t>
        </is>
      </c>
      <c r="O778" s="1183" t="inlineStr">
        <is>
          <t>31/12/2029</t>
        </is>
      </c>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v>0</v>
      </c>
      <c r="AA778" s="648" t="n">
        <v>0</v>
      </c>
      <c r="AB778" s="649">
        <f>+Z778+AA778</f>
        <v/>
      </c>
      <c r="AC778" s="648" t="n">
        <v>0</v>
      </c>
      <c r="AD778" s="648" t="n">
        <v>0</v>
      </c>
      <c r="AE778" s="648" t="n">
        <v>0</v>
      </c>
      <c r="AF778" s="648" t="n">
        <v>0</v>
      </c>
      <c r="AG778" s="648" t="n">
        <v>0</v>
      </c>
      <c r="AH778" s="648" t="n">
        <v>0</v>
      </c>
      <c r="AI778" s="648" t="n">
        <v>0</v>
      </c>
      <c r="AJ778" s="648" t="n">
        <v>0</v>
      </c>
      <c r="AK778" s="648" t="n">
        <v>0</v>
      </c>
      <c r="AL778" s="648" t="n">
        <v>0</v>
      </c>
      <c r="AM778" s="382">
        <f>SUM(AB778:AL778)</f>
        <v/>
      </c>
      <c r="AN778" s="726" t="n"/>
      <c r="AU778" s="1240" t="n"/>
      <c r="AV778" s="1240" t="n"/>
    </row>
    <row r="779" ht="30" customHeight="1">
      <c r="A779" s="585">
        <f>A778+1</f>
        <v/>
      </c>
      <c r="B779" s="629" t="inlineStr">
        <is>
          <t>Carnet/Certificado de vacunación (Covid-19)</t>
        </is>
      </c>
      <c r="C779" s="967" t="n"/>
      <c r="D779" s="413">
        <f>MAYO!K779</f>
        <v/>
      </c>
      <c r="E779" s="339">
        <f>H375</f>
        <v/>
      </c>
      <c r="F779" s="338" t="n"/>
      <c r="G779" s="338" t="n">
        <v>0</v>
      </c>
      <c r="H779" s="576">
        <f>+F779+G779</f>
        <v/>
      </c>
      <c r="I779" s="340">
        <f>+AM779</f>
        <v/>
      </c>
      <c r="J779" s="341">
        <f>+H779+I779</f>
        <v/>
      </c>
      <c r="K779" s="584">
        <f>+(D779+E779)-(J779)</f>
        <v/>
      </c>
      <c r="L779" s="253" t="n">
        <v>3441</v>
      </c>
      <c r="M779" s="254" t="inlineStr">
        <is>
          <t>PAPELERIA</t>
        </is>
      </c>
      <c r="N779" s="254" t="inlineStr">
        <is>
          <t>Imprenta Nacional de Colombia</t>
        </is>
      </c>
      <c r="O779" s="1183" t="inlineStr">
        <is>
          <t>31/12/2030</t>
        </is>
      </c>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v>0</v>
      </c>
      <c r="AA779" s="648" t="n">
        <v>0</v>
      </c>
      <c r="AB779" s="649">
        <f>+Z779+AA779</f>
        <v/>
      </c>
      <c r="AC779" s="648" t="n">
        <v>0</v>
      </c>
      <c r="AD779" s="648" t="n">
        <v>0</v>
      </c>
      <c r="AE779" s="648" t="n">
        <v>0</v>
      </c>
      <c r="AF779" s="648" t="n">
        <v>0</v>
      </c>
      <c r="AG779" s="648" t="n">
        <v>0</v>
      </c>
      <c r="AH779" s="648" t="n">
        <v>0</v>
      </c>
      <c r="AI779" s="648" t="n">
        <v>0</v>
      </c>
      <c r="AJ779" s="648" t="n">
        <v>0</v>
      </c>
      <c r="AK779" s="648" t="n">
        <v>0</v>
      </c>
      <c r="AL779" s="648" t="n">
        <v>0</v>
      </c>
      <c r="AM779" s="382">
        <f>SUM(AB779:AL779)</f>
        <v/>
      </c>
      <c r="AN779" s="726" t="n"/>
      <c r="AU779" s="1240" t="n"/>
      <c r="AV779" s="1240" t="n"/>
    </row>
    <row r="780" ht="30" customHeight="1">
      <c r="A780" s="585">
        <f>A779+1</f>
        <v/>
      </c>
      <c r="B780" s="629" t="inlineStr">
        <is>
          <t>Carne/certificado internacional de vacunación</t>
        </is>
      </c>
      <c r="C780" s="967" t="n"/>
      <c r="D780" s="413">
        <f>MAYO!K780</f>
        <v/>
      </c>
      <c r="E780" s="339">
        <f>H376</f>
        <v/>
      </c>
      <c r="F780" s="338" t="n">
        <v>620</v>
      </c>
      <c r="G780" s="338" t="n">
        <v>0</v>
      </c>
      <c r="H780" s="576">
        <f>+F780+G780</f>
        <v/>
      </c>
      <c r="I780" s="340">
        <f>+AM780</f>
        <v/>
      </c>
      <c r="J780" s="341">
        <f>+H780+I780</f>
        <v/>
      </c>
      <c r="K780" s="584">
        <f>+(D780+E780)-(J780)</f>
        <v/>
      </c>
      <c r="L780" s="253" t="n">
        <v>648</v>
      </c>
      <c r="M780" s="254" t="inlineStr">
        <is>
          <t>PAPELERIA</t>
        </is>
      </c>
      <c r="N780" s="254" t="inlineStr">
        <is>
          <t>Imprenta Nacional de Colombia</t>
        </is>
      </c>
      <c r="O780" s="1183" t="inlineStr">
        <is>
          <t>31/12/2030</t>
        </is>
      </c>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v>1</v>
      </c>
      <c r="AA780" s="648" t="n">
        <v>0</v>
      </c>
      <c r="AB780" s="649">
        <f>+Z780+AA780</f>
        <v/>
      </c>
      <c r="AC780" s="648" t="n">
        <v>0</v>
      </c>
      <c r="AD780" s="648" t="n">
        <v>0</v>
      </c>
      <c r="AE780" s="648" t="n">
        <v>0</v>
      </c>
      <c r="AF780" s="648" t="n">
        <v>0</v>
      </c>
      <c r="AG780" s="648" t="n">
        <v>0</v>
      </c>
      <c r="AH780" s="648" t="n">
        <v>0</v>
      </c>
      <c r="AI780" s="648" t="n">
        <v>0</v>
      </c>
      <c r="AJ780" s="648" t="n">
        <v>0</v>
      </c>
      <c r="AK780" s="648" t="n">
        <v>0</v>
      </c>
      <c r="AL780" s="648" t="n">
        <v>0</v>
      </c>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413">
        <f>MAYO!K781</f>
        <v/>
      </c>
      <c r="E781" s="339">
        <f>H377</f>
        <v/>
      </c>
      <c r="F781" s="338" t="n">
        <v>0</v>
      </c>
      <c r="G781" s="338" t="n">
        <v>0</v>
      </c>
      <c r="H781" s="576">
        <f>+F781+G781</f>
        <v/>
      </c>
      <c r="I781" s="340">
        <f>+AM781</f>
        <v/>
      </c>
      <c r="J781" s="341">
        <f>+H781+I781</f>
        <v/>
      </c>
      <c r="K781" s="584">
        <f>+(D781+E781)-(J781)</f>
        <v/>
      </c>
      <c r="L781" s="253" t="n"/>
      <c r="M781" s="254" t="n"/>
      <c r="N781" s="254" t="n"/>
      <c r="O781" s="1183" t="n"/>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v>0</v>
      </c>
      <c r="AA781" s="648" t="n">
        <v>0</v>
      </c>
      <c r="AB781" s="649">
        <f>+Z781+AA781</f>
        <v/>
      </c>
      <c r="AC781" s="648" t="n">
        <v>0</v>
      </c>
      <c r="AD781" s="648" t="n">
        <v>0</v>
      </c>
      <c r="AE781" s="648" t="n">
        <v>0</v>
      </c>
      <c r="AF781" s="648" t="n">
        <v>0</v>
      </c>
      <c r="AG781" s="648" t="n">
        <v>0</v>
      </c>
      <c r="AH781" s="648" t="n">
        <v>0</v>
      </c>
      <c r="AI781" s="648" t="n">
        <v>0</v>
      </c>
      <c r="AJ781" s="648" t="n">
        <v>0</v>
      </c>
      <c r="AK781" s="648" t="n">
        <v>0</v>
      </c>
      <c r="AL781" s="648" t="n">
        <v>0</v>
      </c>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413">
        <f>MAYO!K782</f>
        <v/>
      </c>
      <c r="E782" s="339">
        <f>H378</f>
        <v/>
      </c>
      <c r="F782" s="338" t="n">
        <v>0</v>
      </c>
      <c r="G782" s="338" t="n">
        <v>0</v>
      </c>
      <c r="H782" s="576">
        <f>+F782+G782</f>
        <v/>
      </c>
      <c r="I782" s="340">
        <f>+AM782</f>
        <v/>
      </c>
      <c r="J782" s="341">
        <f>+H782+I782</f>
        <v/>
      </c>
      <c r="K782" s="584">
        <f>+(D782+E782)-(J782)</f>
        <v/>
      </c>
      <c r="L782" s="253" t="n"/>
      <c r="M782" s="254" t="n"/>
      <c r="N782" s="254" t="n"/>
      <c r="O782" s="1183" t="n"/>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v>0</v>
      </c>
      <c r="AA782" s="648" t="n">
        <v>0</v>
      </c>
      <c r="AB782" s="649">
        <f>+Z782+AA782</f>
        <v/>
      </c>
      <c r="AC782" s="648" t="n">
        <v>0</v>
      </c>
      <c r="AD782" s="648" t="n">
        <v>0</v>
      </c>
      <c r="AE782" s="648" t="n">
        <v>0</v>
      </c>
      <c r="AF782" s="648" t="n">
        <v>0</v>
      </c>
      <c r="AG782" s="648" t="n">
        <v>0</v>
      </c>
      <c r="AH782" s="648" t="n">
        <v>0</v>
      </c>
      <c r="AI782" s="648" t="n">
        <v>0</v>
      </c>
      <c r="AJ782" s="648" t="n">
        <v>0</v>
      </c>
      <c r="AK782" s="648" t="n">
        <v>0</v>
      </c>
      <c r="AL782" s="648" t="n">
        <v>0</v>
      </c>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413">
        <f>MAYO!K783</f>
        <v/>
      </c>
      <c r="E783" s="339">
        <f>H379</f>
        <v/>
      </c>
      <c r="F783" s="338" t="n">
        <v>0</v>
      </c>
      <c r="G783" s="338" t="n">
        <v>0</v>
      </c>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v>0</v>
      </c>
      <c r="AA783" s="648" t="n">
        <v>0</v>
      </c>
      <c r="AB783" s="649">
        <f>+Z783+AA783</f>
        <v/>
      </c>
      <c r="AC783" s="648" t="n">
        <v>0</v>
      </c>
      <c r="AD783" s="648" t="n">
        <v>0</v>
      </c>
      <c r="AE783" s="648" t="n">
        <v>0</v>
      </c>
      <c r="AF783" s="648" t="n">
        <v>0</v>
      </c>
      <c r="AG783" s="648" t="n">
        <v>0</v>
      </c>
      <c r="AH783" s="648" t="n">
        <v>0</v>
      </c>
      <c r="AI783" s="648" t="n">
        <v>0</v>
      </c>
      <c r="AJ783" s="648" t="n">
        <v>0</v>
      </c>
      <c r="AK783" s="648" t="n">
        <v>0</v>
      </c>
      <c r="AL783" s="648" t="n">
        <v>0</v>
      </c>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569" t="inlineStr">
        <is>
          <t>ÍTEM</t>
        </is>
      </c>
      <c r="B785" s="569" t="inlineStr">
        <is>
          <t>VACUNA COVID-19</t>
        </is>
      </c>
      <c r="C785" s="965" t="n"/>
      <c r="D785" s="1231" t="inlineStr">
        <is>
          <t>SALDO MES ANTERIOR</t>
        </is>
      </c>
      <c r="E785" s="961" t="inlineStr">
        <is>
          <t>BIOLÓGICO RECIBIDO DEL CENTRO DE ACOPIO DEPARTAMENTAL / DISTRITAL</t>
        </is>
      </c>
      <c r="F785" s="1231" t="inlineStr">
        <is>
          <t>DOSIS APLICADAS</t>
        </is>
      </c>
      <c r="G785" s="967" t="n"/>
      <c r="H785" s="1232" t="inlineStr">
        <is>
          <t>TOTAL DOSIS APLICADAS</t>
        </is>
      </c>
      <c r="I785" s="961" t="inlineStr">
        <is>
          <t>DOSIS PERDIDAS</t>
        </is>
      </c>
      <c r="J785" s="1231" t="inlineStr">
        <is>
          <t>TOTAL DOSIS ÚTILIZADAS EN EL MES</t>
        </is>
      </c>
      <c r="K785" s="623" t="inlineStr">
        <is>
          <t>SALDO QUE INICIA EL MES SIGUIENTE (SOLO MUNICIPIOS)</t>
        </is>
      </c>
      <c r="L785" s="623" t="n"/>
      <c r="M785" s="623" t="n"/>
      <c r="N785" s="623" t="n"/>
      <c r="O785" s="623" t="n"/>
      <c r="P785" s="623" t="inlineStr">
        <is>
          <t>SEMAFORIZACION VIDA  ÚTIL DEL BIOLÓGICO</t>
        </is>
      </c>
      <c r="Q785" s="623" t="inlineStr">
        <is>
          <t>CONDICIÓN FINAL DEL BIOLÓGICO, DILUYENTE Y CARNET</t>
        </is>
      </c>
      <c r="R785" s="613" t="inlineStr">
        <is>
          <t>DOSIS EN CUARENTENA</t>
        </is>
      </c>
      <c r="S785" s="613" t="inlineStr">
        <is>
          <t>LABORATORIO</t>
        </is>
      </c>
      <c r="T785" s="613" t="inlineStr">
        <is>
          <t>No. LOTE</t>
        </is>
      </c>
      <c r="U785" s="613" t="inlineStr">
        <is>
          <t>FECHA DE VENCIMEINTO</t>
        </is>
      </c>
      <c r="V785" s="613" t="inlineStr">
        <is>
          <t>FECHA DE INICIO CUARENTENA</t>
        </is>
      </c>
      <c r="W785" s="613" t="inlineStr">
        <is>
          <t>OBSERVACIONES</t>
        </is>
      </c>
      <c r="X785" s="351" t="n"/>
      <c r="Y785" s="232" t="n"/>
      <c r="Z785" s="1221" t="inlineStr">
        <is>
          <t>MOTIVOS DE NO USO DE VACUNAS CONTRA LA COVID-19
RESOLUCIÓN 0118 DEL 27 DE ENERO DE 2026
DISPONIBLE EN EL SIGUIENTE LINK: https://www.minsalud.gov.co/Normatividad_Nuevo/Resolucion%20No%20118%20de%202026.pdf</t>
        </is>
      </c>
      <c r="AA785" s="968" t="n"/>
      <c r="AB785" s="968" t="n"/>
      <c r="AC785" s="968" t="n"/>
      <c r="AD785" s="968" t="n"/>
      <c r="AE785" s="968" t="n"/>
      <c r="AF785" s="968" t="n"/>
      <c r="AG785" s="968" t="n"/>
      <c r="AH785" s="968" t="n"/>
      <c r="AI785" s="968" t="n"/>
      <c r="AJ785" s="968" t="n"/>
      <c r="AK785" s="968" t="n"/>
      <c r="AL785" s="967" t="n"/>
      <c r="AM785" s="532" t="inlineStr">
        <is>
          <t xml:space="preserve">TOTAL DOSIS PERDIDAS        </t>
        </is>
      </c>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inlineStr">
        <is>
          <t>POLÍTICA DE FRASCOS ABIERTO</t>
        </is>
      </c>
      <c r="AA787" s="967" t="n"/>
      <c r="AB787" s="1222" t="inlineStr">
        <is>
          <t>INTERRUPCIÓN DE LA CADENA DE FRÍO</t>
        </is>
      </c>
      <c r="AC787" s="537" t="inlineStr">
        <is>
          <t>CONTAMINACIÓN DEL BIOLÓGICO</t>
        </is>
      </c>
      <c r="AD787" s="1222" t="inlineStr">
        <is>
          <t>ERROR EN LA MANIPULACIÓN</t>
        </is>
      </c>
      <c r="AE787" s="537" t="inlineStr">
        <is>
          <t>ERROR EN LA RECONSTITUCIÓN/DILUCIÓN</t>
        </is>
      </c>
      <c r="AF787" s="1222" t="inlineStr">
        <is>
          <t>ERROR EN LA DOSIFICACIÓN</t>
        </is>
      </c>
      <c r="AG787" s="537" t="inlineStr">
        <is>
          <t>VACUNA QUE EXCEDE EL TIEMPO DE ALMACENAMIENTO EN REFRIGERACIÓN</t>
        </is>
      </c>
      <c r="AH787" s="1222" t="inlineStr">
        <is>
          <t>VENCIMIENTO DEL BIOLÓGICO</t>
        </is>
      </c>
      <c r="AI787" s="537" t="inlineStr">
        <is>
          <t>FRASCO VIAL ROTO</t>
        </is>
      </c>
      <c r="AJ787" s="1222" t="inlineStr">
        <is>
          <t>FALLAS DE FABRICACIÓN/CALIDAD</t>
        </is>
      </c>
      <c r="AK787" s="537" t="inlineStr">
        <is>
          <t>SINIESTRO / ACCIDENTE</t>
        </is>
      </c>
      <c r="AL787" s="1222" t="inlineStr">
        <is>
          <t>ROBO/HURTO BIOLÓGICO</t>
        </is>
      </c>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inlineStr">
        <is>
          <t>INSTITUCIONAL</t>
        </is>
      </c>
      <c r="AA788" s="497" t="inlineStr">
        <is>
          <t>EXTRAMURAL</t>
        </is>
      </c>
      <c r="AB788" s="975" t="n"/>
      <c r="AC788" s="975" t="n"/>
      <c r="AD788" s="975" t="n"/>
      <c r="AE788" s="975" t="n"/>
      <c r="AF788" s="975" t="n"/>
      <c r="AG788" s="975" t="n"/>
      <c r="AH788" s="975" t="n"/>
      <c r="AI788" s="975" t="n"/>
      <c r="AJ788" s="975" t="n"/>
      <c r="AK788" s="975" t="n"/>
      <c r="AL788" s="975" t="n"/>
      <c r="AM788" s="975" t="n"/>
      <c r="AN788" s="368" t="n"/>
      <c r="AO788" s="368" t="n"/>
      <c r="AP788" s="416" t="n"/>
      <c r="AQ788" s="546" t="inlineStr">
        <is>
          <t>PORCENTAJE DE PERDIDA DEL MES
%</t>
        </is>
      </c>
      <c r="AR788" s="546" t="inlineStr">
        <is>
          <t>FACTOR DE PERDIDA DEL MES</t>
        </is>
      </c>
      <c r="AS788" s="420" t="inlineStr">
        <is>
          <t>% DE PERDIDA DEL MSPS</t>
        </is>
      </c>
      <c r="AT788" s="420" t="inlineStr">
        <is>
          <t>DOSIS POR VIAL</t>
        </is>
      </c>
      <c r="AV788" s="1240" t="n"/>
      <c r="AW788" s="1240" t="n"/>
    </row>
    <row r="789" ht="19.5" customHeight="1">
      <c r="A789" s="585" t="n">
        <v>1</v>
      </c>
      <c r="B789" s="1249" t="inlineStr">
        <is>
          <t>MODERNA ADULTO</t>
        </is>
      </c>
      <c r="C789" s="965" t="n"/>
      <c r="D789" s="496">
        <f>MAYO!K789</f>
        <v/>
      </c>
      <c r="E789" s="339">
        <f>H385</f>
        <v/>
      </c>
      <c r="F789" s="731" t="n">
        <v>20</v>
      </c>
      <c r="G789" s="731" t="n">
        <v>1</v>
      </c>
      <c r="H789" s="1235">
        <f>SUM(F789,G789)</f>
        <v/>
      </c>
      <c r="I789" s="340">
        <f>+AM789</f>
        <v/>
      </c>
      <c r="J789" s="341">
        <f>+H789+I789</f>
        <v/>
      </c>
      <c r="K789" s="583">
        <f>+(D789+E789)-(J789)</f>
        <v/>
      </c>
      <c r="L789" s="486" t="n">
        <v>816</v>
      </c>
      <c r="M789" s="487" t="inlineStr">
        <is>
          <t>3058112</t>
        </is>
      </c>
      <c r="N789" s="487" t="inlineStr">
        <is>
          <t>Moderna Biotech</t>
        </is>
      </c>
      <c r="O789" s="1223" t="n">
        <v>46326</v>
      </c>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v>113</v>
      </c>
      <c r="AA789" s="648" t="n">
        <v>0</v>
      </c>
      <c r="AB789" s="648" t="n"/>
      <c r="AC789" s="648" t="n">
        <v>0</v>
      </c>
      <c r="AD789" s="648" t="n">
        <v>0</v>
      </c>
      <c r="AE789" s="648" t="n">
        <v>0</v>
      </c>
      <c r="AF789" s="648" t="n">
        <v>0</v>
      </c>
      <c r="AG789" s="648" t="n">
        <v>0</v>
      </c>
      <c r="AH789" s="648" t="n">
        <v>0</v>
      </c>
      <c r="AI789" s="648" t="n">
        <v>0</v>
      </c>
      <c r="AJ789" s="648" t="n">
        <v>0</v>
      </c>
      <c r="AK789" s="648" t="n">
        <v>0</v>
      </c>
      <c r="AL789" s="648" t="n">
        <v>0</v>
      </c>
      <c r="AM789" s="573">
        <f>SUM(Z789:AL792)</f>
        <v/>
      </c>
      <c r="AN789" s="693" t="n"/>
      <c r="AO789" s="485" t="n"/>
      <c r="AP789" s="416" t="n"/>
      <c r="AQ789" s="1238">
        <f>IFERROR(I789/J789*100,"0")</f>
        <v/>
      </c>
      <c r="AR789" s="1238">
        <f>IFERROR(1/(1-(AQ789/100)),"0")</f>
        <v/>
      </c>
      <c r="AS789" s="1238" t="n">
        <v>0</v>
      </c>
      <c r="AT789" s="345" t="n">
        <v>5</v>
      </c>
      <c r="AU789" s="1240" t="n"/>
      <c r="AV789" s="1240" t="n"/>
    </row>
    <row r="790" ht="19.5" customHeight="1">
      <c r="A790" s="973" t="n"/>
      <c r="B790" s="971" t="n"/>
      <c r="C790" s="972" t="n"/>
      <c r="D790" s="973" t="n"/>
      <c r="E790" s="973" t="n"/>
      <c r="F790" s="994" t="n"/>
      <c r="G790" s="994" t="n"/>
      <c r="H790" s="973" t="n"/>
      <c r="I790" s="973" t="n"/>
      <c r="J790" s="973" t="n"/>
      <c r="K790" s="973" t="n"/>
      <c r="L790" s="486" t="n"/>
      <c r="M790" s="487" t="n"/>
      <c r="N790" s="487" t="inlineStr"/>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73"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73"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75" t="n"/>
      <c r="E793" s="975" t="n"/>
      <c r="F793" s="998" t="n"/>
      <c r="G793" s="998" t="n"/>
      <c r="H793" s="975" t="n"/>
      <c r="I793" s="975" t="n"/>
      <c r="J793" s="975" t="n"/>
      <c r="K793" s="1189">
        <f>K789=L793</f>
        <v/>
      </c>
      <c r="L793" s="491">
        <f>SUM(L789:L792)</f>
        <v/>
      </c>
      <c r="M793" s="1190" t="n"/>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496">
        <f>MAYO!K794</f>
        <v/>
      </c>
      <c r="E794" s="339">
        <f>H390</f>
        <v/>
      </c>
      <c r="F794" s="731" t="n">
        <v>0</v>
      </c>
      <c r="G794" s="731" t="n">
        <v>0</v>
      </c>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v>0</v>
      </c>
      <c r="AA794" s="648" t="n">
        <v>0</v>
      </c>
      <c r="AB794" s="648" t="n"/>
      <c r="AC794" s="648" t="n">
        <v>0</v>
      </c>
      <c r="AD794" s="648" t="n">
        <v>0</v>
      </c>
      <c r="AE794" s="648" t="n">
        <v>0</v>
      </c>
      <c r="AF794" s="648" t="n">
        <v>0</v>
      </c>
      <c r="AG794" s="648" t="n">
        <v>0</v>
      </c>
      <c r="AH794" s="648" t="n">
        <v>0</v>
      </c>
      <c r="AI794" s="648" t="n">
        <v>0</v>
      </c>
      <c r="AJ794" s="648" t="n">
        <v>0</v>
      </c>
      <c r="AK794" s="648" t="n">
        <v>0</v>
      </c>
      <c r="AL794" s="648" t="n">
        <v>0</v>
      </c>
      <c r="AM794" s="573">
        <f>SUM(Z794:AL797)</f>
        <v/>
      </c>
      <c r="AN794" s="693" t="n"/>
      <c r="AO794" s="485" t="n"/>
      <c r="AP794" s="416" t="n"/>
      <c r="AQ794" s="1238">
        <f>IFERROR(I794/J794*100,"0")</f>
        <v/>
      </c>
      <c r="AR794" s="1238">
        <f>IFERROR(1/(1-(AQ794/100)),"0")</f>
        <v/>
      </c>
      <c r="AS794" s="1238" t="n">
        <v>0</v>
      </c>
      <c r="AT794" s="345" t="n">
        <v>10</v>
      </c>
      <c r="AU794" s="1240" t="n"/>
      <c r="AV794" s="1240" t="n"/>
    </row>
    <row r="795" ht="19.5" customHeight="1">
      <c r="A795" s="973" t="n"/>
      <c r="B795" s="971" t="n"/>
      <c r="C795" s="972" t="n"/>
      <c r="D795" s="973"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73"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73"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75" t="n"/>
      <c r="E798" s="975" t="n"/>
      <c r="F798" s="998" t="n"/>
      <c r="G798" s="998" t="n"/>
      <c r="H798" s="975" t="n"/>
      <c r="I798" s="975" t="n"/>
      <c r="J798" s="975" t="n"/>
      <c r="K798" s="1189">
        <f>K794=L798</f>
        <v/>
      </c>
      <c r="L798" s="491">
        <f>SUM(L794:L797)</f>
        <v/>
      </c>
      <c r="M798" s="1190" t="n"/>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496">
        <f>MAYO!K799</f>
        <v/>
      </c>
      <c r="E799" s="339">
        <f>H395</f>
        <v/>
      </c>
      <c r="F799" s="731" t="n">
        <v>112</v>
      </c>
      <c r="G799" s="731" t="n">
        <v>3</v>
      </c>
      <c r="H799" s="1235">
        <f>SUM(F799,G799)</f>
        <v/>
      </c>
      <c r="I799" s="340">
        <f>+AM799</f>
        <v/>
      </c>
      <c r="J799" s="341">
        <f>+H799+I799</f>
        <v/>
      </c>
      <c r="K799" s="583">
        <f>+(D799+E799)-(J799)</f>
        <v/>
      </c>
      <c r="L799" s="486" t="n">
        <v>738</v>
      </c>
      <c r="M799" s="487" t="inlineStr">
        <is>
          <t>MT6633</t>
        </is>
      </c>
      <c r="N799" s="487" t="inlineStr">
        <is>
          <t>PFIZER</t>
        </is>
      </c>
      <c r="O799" s="1223" t="n">
        <v>46387</v>
      </c>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v>218</v>
      </c>
      <c r="AA799" s="648" t="n">
        <v>33</v>
      </c>
      <c r="AB799" s="648" t="n"/>
      <c r="AC799" s="648" t="n">
        <v>0</v>
      </c>
      <c r="AD799" s="648" t="n">
        <v>0</v>
      </c>
      <c r="AE799" s="648" t="n">
        <v>0</v>
      </c>
      <c r="AF799" s="648" t="n">
        <v>0</v>
      </c>
      <c r="AG799" s="648" t="n">
        <v>0</v>
      </c>
      <c r="AH799" s="648" t="n">
        <v>0</v>
      </c>
      <c r="AI799" s="648" t="n">
        <v>0</v>
      </c>
      <c r="AJ799" s="648" t="n">
        <v>0</v>
      </c>
      <c r="AK799" s="648" t="n">
        <v>0</v>
      </c>
      <c r="AL799" s="648" t="n">
        <v>0</v>
      </c>
      <c r="AM799" s="573">
        <f>SUM(Z799:AL802)</f>
        <v/>
      </c>
      <c r="AN799" s="693" t="n"/>
      <c r="AO799" s="485" t="n"/>
      <c r="AP799" s="416" t="n"/>
      <c r="AQ799" s="1238">
        <f>IFERROR(I799/J799*100,"0")</f>
        <v/>
      </c>
      <c r="AR799" s="1238">
        <f>IFERROR(1/(1-(AQ799/100)),"0")</f>
        <v/>
      </c>
      <c r="AS799" s="1238" t="n">
        <v>0</v>
      </c>
      <c r="AT799" s="345" t="n">
        <v>6</v>
      </c>
      <c r="AU799" s="1240" t="n"/>
      <c r="AV799" s="1240" t="n"/>
    </row>
    <row r="800" ht="19.5" customHeight="1">
      <c r="A800" s="973" t="n"/>
      <c r="B800" s="971" t="n"/>
      <c r="C800" s="972" t="n"/>
      <c r="D800" s="973"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73"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73"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75" t="n"/>
      <c r="E803" s="975" t="n"/>
      <c r="F803" s="998" t="n"/>
      <c r="G803" s="998" t="n"/>
      <c r="H803" s="975" t="n"/>
      <c r="I803" s="975" t="n"/>
      <c r="J803" s="975" t="n"/>
      <c r="K803" s="1189">
        <f>K799=L803</f>
        <v/>
      </c>
      <c r="L803" s="491">
        <f>SUM(L799:L802)</f>
        <v/>
      </c>
      <c r="M803" s="1190" t="n"/>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496">
        <f>MAYO!K804</f>
        <v/>
      </c>
      <c r="E804" s="339">
        <f>H400</f>
        <v/>
      </c>
      <c r="F804" s="731" t="n">
        <v>0</v>
      </c>
      <c r="G804" s="731" t="n">
        <v>0</v>
      </c>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v>0</v>
      </c>
      <c r="AA804" s="648" t="n">
        <v>0</v>
      </c>
      <c r="AB804" s="648" t="n"/>
      <c r="AC804" s="648" t="n">
        <v>0</v>
      </c>
      <c r="AD804" s="648" t="n">
        <v>0</v>
      </c>
      <c r="AE804" s="648" t="n">
        <v>0</v>
      </c>
      <c r="AF804" s="648" t="n">
        <v>0</v>
      </c>
      <c r="AG804" s="648" t="n">
        <v>0</v>
      </c>
      <c r="AH804" s="648" t="n">
        <v>0</v>
      </c>
      <c r="AI804" s="648" t="n">
        <v>0</v>
      </c>
      <c r="AJ804" s="648" t="n">
        <v>0</v>
      </c>
      <c r="AK804" s="648" t="n">
        <v>0</v>
      </c>
      <c r="AL804" s="648" t="n">
        <v>0</v>
      </c>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73"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73"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73"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75" t="n"/>
      <c r="E808" s="975" t="n"/>
      <c r="F808" s="998" t="n"/>
      <c r="G808" s="998" t="n"/>
      <c r="H808" s="975" t="n"/>
      <c r="I808" s="975" t="n"/>
      <c r="J808" s="975" t="n"/>
      <c r="K808" s="1189">
        <f>K804=L808</f>
        <v/>
      </c>
      <c r="L808" s="491">
        <f>SUM(L804:L807)</f>
        <v/>
      </c>
      <c r="M808" s="1190" t="n"/>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496">
        <f>MAYO!K809</f>
        <v/>
      </c>
      <c r="E809" s="339">
        <f>H405</f>
        <v/>
      </c>
      <c r="F809" s="731" t="n">
        <v>0</v>
      </c>
      <c r="G809" s="731" t="n">
        <v>0</v>
      </c>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v>0</v>
      </c>
      <c r="AA809" s="648" t="n">
        <v>0</v>
      </c>
      <c r="AB809" s="648" t="n"/>
      <c r="AC809" s="648" t="n">
        <v>0</v>
      </c>
      <c r="AD809" s="648" t="n">
        <v>0</v>
      </c>
      <c r="AE809" s="648" t="n">
        <v>0</v>
      </c>
      <c r="AF809" s="648" t="n">
        <v>0</v>
      </c>
      <c r="AG809" s="648" t="n">
        <v>0</v>
      </c>
      <c r="AH809" s="648" t="n">
        <v>0</v>
      </c>
      <c r="AI809" s="648" t="n">
        <v>0</v>
      </c>
      <c r="AJ809" s="648" t="n">
        <v>0</v>
      </c>
      <c r="AK809" s="648" t="n">
        <v>0</v>
      </c>
      <c r="AL809" s="648" t="n">
        <v>0</v>
      </c>
      <c r="AM809" s="573">
        <f>SUM(Z809:AL812)</f>
        <v/>
      </c>
      <c r="AN809" s="693" t="n"/>
      <c r="AO809" s="485" t="n"/>
      <c r="AP809" s="416" t="n"/>
      <c r="AQ809" s="1238">
        <f>IFERROR(I809/J809*100,"0")</f>
        <v/>
      </c>
      <c r="AR809" s="1238">
        <f>IFERROR(1/(1-(AQ809/100)),"0")</f>
        <v/>
      </c>
      <c r="AS809" s="1238" t="n">
        <v>0</v>
      </c>
      <c r="AT809" s="345" t="n"/>
      <c r="AU809" s="1240" t="n"/>
      <c r="AV809" s="1240" t="n"/>
    </row>
    <row r="810" ht="19.5" customHeight="1">
      <c r="A810" s="973" t="n"/>
      <c r="B810" s="971" t="n"/>
      <c r="C810" s="972" t="n"/>
      <c r="D810" s="973"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73"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73"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75" t="n"/>
      <c r="E813" s="975" t="n"/>
      <c r="F813" s="998" t="n"/>
      <c r="G813" s="998" t="n"/>
      <c r="H813" s="975" t="n"/>
      <c r="I813" s="975" t="n"/>
      <c r="J813" s="975" t="n"/>
      <c r="K813" s="1189">
        <f>K809=L813</f>
        <v/>
      </c>
      <c r="L813" s="491">
        <f>SUM(L809:L812)</f>
        <v/>
      </c>
      <c r="M813" s="1190" t="n"/>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569" t="inlineStr">
        <is>
          <t>ÍTEM</t>
        </is>
      </c>
      <c r="B817" s="569" t="inlineStr">
        <is>
          <t>INSUMOS</t>
        </is>
      </c>
      <c r="C817" s="965" t="n"/>
      <c r="D817" s="552" t="inlineStr">
        <is>
          <t>SALDO MES ANTERIOR</t>
        </is>
      </c>
      <c r="E817" s="961" t="inlineStr">
        <is>
          <t xml:space="preserve">BIOLÓGICO RECIBIDO POR MSPS O ET </t>
        </is>
      </c>
      <c r="F817" s="545" t="inlineStr">
        <is>
          <t>DOSIS APLICADAS</t>
        </is>
      </c>
      <c r="G817" s="967" t="n"/>
      <c r="H817" s="1232" t="inlineStr">
        <is>
          <t>TOTAL DE DOSIS APLICADAS</t>
        </is>
      </c>
      <c r="I817" s="961" t="inlineStr">
        <is>
          <t>DOSIS PERDIDAS</t>
        </is>
      </c>
      <c r="J817" s="1231" t="inlineStr">
        <is>
          <t>TOTAL DE DOSIS UTILIZADAS EN EL MES</t>
        </is>
      </c>
      <c r="K817" s="961" t="inlineStr">
        <is>
          <t>DOSIS TRASLADADAS A OTROS DEPARTAMENTOS, DISTRITOS O RETORNO AL MSPS</t>
        </is>
      </c>
      <c r="L817" s="1253" t="inlineStr">
        <is>
          <t xml:space="preserve">TOTAL SALDO QUE INICIA EL MES </t>
        </is>
      </c>
      <c r="M817" s="1232" t="inlineStr">
        <is>
          <t xml:space="preserve">SALDO CON QUE EL CA DEPARTAMENTAL INICIA </t>
        </is>
      </c>
      <c r="N817" s="1231" t="inlineStr">
        <is>
          <t xml:space="preserve">SALDO CON QUE LOS MUNICIPIOS O IPS INICIAN </t>
        </is>
      </c>
      <c r="O817" s="1232" t="inlineStr">
        <is>
          <t>MESES DISPONIBLES SEGÚN DOSIS UTILIZADAS EN EL MES</t>
        </is>
      </c>
      <c r="P817" s="544" t="inlineStr">
        <is>
          <t>DOSIS EN CUARENTENA</t>
        </is>
      </c>
      <c r="Q817" s="544" t="inlineStr">
        <is>
          <t>LABORATORIO</t>
        </is>
      </c>
      <c r="R817" s="544" t="inlineStr">
        <is>
          <t>No. LOTE</t>
        </is>
      </c>
      <c r="S817" s="544" t="inlineStr">
        <is>
          <t>FECHA DE VENCIMEINTO</t>
        </is>
      </c>
      <c r="T817" s="544" t="inlineStr">
        <is>
          <t>CONDICIÓN FINAL DEL BIOLÓGICO O INSUMO</t>
        </is>
      </c>
      <c r="U817" s="561" t="n"/>
      <c r="V817" s="1254" t="n"/>
      <c r="X817" s="366" t="n"/>
      <c r="Y817" s="232" t="n"/>
      <c r="Z817" s="400" t="inlineStr">
        <is>
          <t>CAUSAS PERDIDA DE BIOLÓGICOS (Remítase a la primera hoja donde se especifica la clasificación de las perdidas)</t>
        </is>
      </c>
      <c r="AA817" s="400" t="n"/>
      <c r="AB817" s="400" t="n"/>
      <c r="AC817" s="400" t="n"/>
      <c r="AD817" s="400" t="n"/>
      <c r="AE817" s="400" t="n"/>
      <c r="AF817" s="400" t="n"/>
      <c r="AG817" s="400" t="n"/>
      <c r="AH817" s="400" t="n"/>
      <c r="AI817" s="400" t="n"/>
      <c r="AJ817" s="400" t="n"/>
      <c r="AK817" s="400" t="n"/>
      <c r="AL817" s="400" t="n"/>
      <c r="AM817" s="1181" t="inlineStr">
        <is>
          <t xml:space="preserve">TOTAL DOSIS PERDIDAS        </t>
        </is>
      </c>
      <c r="AN817" s="367" t="n"/>
      <c r="AO817" s="368" t="n"/>
    </row>
    <row r="818" ht="21.75" customHeight="1">
      <c r="A818" s="973" t="n"/>
      <c r="B818" s="971" t="n"/>
      <c r="C818" s="972" t="n"/>
      <c r="D818" s="973" t="n"/>
      <c r="E818" s="973" t="n"/>
      <c r="F818" s="552" t="inlineStr">
        <is>
          <t>DOSIS APLICADAS
COLOMBIANOS</t>
        </is>
      </c>
      <c r="G818" s="552" t="inlineStr">
        <is>
          <t>DOSIS APLICADAS EXTRANJEROS</t>
        </is>
      </c>
      <c r="H818" s="973" t="n"/>
      <c r="I818" s="973" t="n"/>
      <c r="J818" s="973" t="n"/>
      <c r="K818" s="973" t="n"/>
      <c r="L818" s="973" t="n"/>
      <c r="M818" s="973" t="n"/>
      <c r="N818" s="973" t="n"/>
      <c r="O818" s="973" t="n"/>
      <c r="P818" s="973" t="n"/>
      <c r="Q818" s="973" t="n"/>
      <c r="R818" s="973" t="n"/>
      <c r="S818" s="973" t="n"/>
      <c r="T818" s="973" t="n"/>
      <c r="X818" s="366" t="n"/>
      <c r="Y818" s="232" t="n"/>
      <c r="Z818" s="533" t="n">
        <v>1</v>
      </c>
      <c r="AA818" s="968" t="n"/>
      <c r="AB818" s="967" t="n"/>
      <c r="AC818" s="330" t="n">
        <v>2</v>
      </c>
      <c r="AD818" s="566" t="n">
        <v>3</v>
      </c>
      <c r="AE818" s="533" t="n">
        <v>4</v>
      </c>
      <c r="AF818" s="566" t="n">
        <v>5</v>
      </c>
      <c r="AG818" s="533" t="n">
        <v>6</v>
      </c>
      <c r="AH818" s="566" t="n">
        <v>7</v>
      </c>
      <c r="AI818" s="533" t="n">
        <v>8</v>
      </c>
      <c r="AJ818" s="533" t="n">
        <v>9</v>
      </c>
      <c r="AK818" s="533" t="n">
        <v>10</v>
      </c>
      <c r="AL818" s="566" t="n">
        <v>11</v>
      </c>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X819" s="366" t="n"/>
      <c r="Y819" s="232" t="n"/>
      <c r="Z819" s="533" t="inlineStr">
        <is>
          <t>POLÍTICA DE FRASCOS ABIERTO</t>
        </is>
      </c>
      <c r="AA819" s="968" t="n"/>
      <c r="AB819" s="967" t="n"/>
      <c r="AC819" s="330" t="inlineStr">
        <is>
          <t>INTERRUPCIÓN DE CADENA DE FRÍO</t>
        </is>
      </c>
      <c r="AD819" s="566" t="inlineStr">
        <is>
          <t>CONTAMINACION DEL BIOLÓGICO/DISPOSITIVO MÉDICO</t>
        </is>
      </c>
      <c r="AE819" s="533" t="inlineStr">
        <is>
          <t>VIAL ROTO</t>
        </is>
      </c>
      <c r="AF819" s="566" t="inlineStr">
        <is>
          <t>ERRORES EN LA MANIPULACIÓN</t>
        </is>
      </c>
      <c r="AG819" s="533" t="inlineStr">
        <is>
          <t>VENCIMIENTO DEL BIOLÓGICO O JERINGA</t>
        </is>
      </c>
      <c r="AH819" s="566" t="inlineStr">
        <is>
          <t>FARMACOVIGILANCIA / TECNOVIGILANCIA</t>
        </is>
      </c>
      <c r="AI819" s="533" t="inlineStr">
        <is>
          <t>VOMITO FRANCO</t>
        </is>
      </c>
      <c r="AJ819" s="533" t="inlineStr">
        <is>
          <t>APLICACIÓN FUERA DE LA EDAD</t>
        </is>
      </c>
      <c r="AK819" s="533" t="inlineStr">
        <is>
          <t>POR DECISIÓN FINAL DEL PACIENTE DE NO VACUNACIÓN</t>
        </is>
      </c>
      <c r="AL819" s="566" t="inlineStr">
        <is>
          <t>SINIESTRO O ROBO</t>
        </is>
      </c>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X820" s="366" t="n"/>
      <c r="Y820" s="232" t="n"/>
      <c r="Z820" s="533" t="inlineStr">
        <is>
          <t>INSTITUCIONAL</t>
        </is>
      </c>
      <c r="AA820" s="533" t="inlineStr">
        <is>
          <t>EXTRAMURAL</t>
        </is>
      </c>
      <c r="AB820" s="533" t="inlineStr">
        <is>
          <t>TOTAL</t>
        </is>
      </c>
      <c r="AC820" s="975" t="n"/>
      <c r="AD820" s="975" t="n"/>
      <c r="AE820" s="975" t="n"/>
      <c r="AF820" s="975" t="n"/>
      <c r="AG820" s="975" t="n"/>
      <c r="AH820" s="975" t="n"/>
      <c r="AI820" s="975" t="n"/>
      <c r="AJ820" s="975" t="n"/>
      <c r="AK820" s="975" t="n"/>
      <c r="AL820" s="975" t="n"/>
      <c r="AM820" s="975" t="n"/>
      <c r="AN820" s="333" t="n"/>
      <c r="AO820" s="368" t="n"/>
      <c r="AQ820" s="370" t="inlineStr">
        <is>
          <t>PORCENTAJE DE PERDIDA DEL MES
%</t>
        </is>
      </c>
      <c r="AR820" s="370" t="inlineStr">
        <is>
          <t>FACTOR DE PERDIDA DEL MES</t>
        </is>
      </c>
      <c r="AS820" s="371" t="inlineStr">
        <is>
          <t>% DE PERDIDA DEL MSPS</t>
        </is>
      </c>
      <c r="AT820" s="371" t="inlineStr">
        <is>
          <t>DOSIS POR VIAL</t>
        </is>
      </c>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v>65</v>
      </c>
      <c r="AT821" s="345" t="n">
        <v>10</v>
      </c>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v>0</v>
      </c>
      <c r="AT823" s="345" t="n">
        <v>0</v>
      </c>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v>15</v>
      </c>
      <c r="AT824" s="345" t="n">
        <v>5</v>
      </c>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v>0</v>
      </c>
      <c r="AT825" s="345" t="n">
        <v>0</v>
      </c>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v>0</v>
      </c>
      <c r="AT826" s="345" t="n">
        <v>0</v>
      </c>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v>0</v>
      </c>
      <c r="AT827" s="345" t="n">
        <v>0</v>
      </c>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v>0</v>
      </c>
      <c r="AT829" s="345" t="n">
        <v>1</v>
      </c>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v>0</v>
      </c>
      <c r="AT830" s="345" t="n">
        <v>1</v>
      </c>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v>0</v>
      </c>
      <c r="AT831" s="345" t="n">
        <v>1</v>
      </c>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v>0</v>
      </c>
      <c r="AT832" s="345" t="n">
        <v>1</v>
      </c>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v>0</v>
      </c>
      <c r="AT833" s="345" t="n">
        <v>1</v>
      </c>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v>0</v>
      </c>
      <c r="AT835" s="345" t="n">
        <v>1</v>
      </c>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v>0</v>
      </c>
      <c r="AT836" s="345" t="n">
        <v>1</v>
      </c>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v>0</v>
      </c>
      <c r="AT837" s="345" t="n">
        <v>1</v>
      </c>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v>25</v>
      </c>
      <c r="AT838" s="345" t="n">
        <v>5</v>
      </c>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v>0</v>
      </c>
      <c r="AT839" s="345" t="n">
        <v>1</v>
      </c>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v>70</v>
      </c>
      <c r="AT841" s="345" t="n">
        <v>10</v>
      </c>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v>0</v>
      </c>
      <c r="AT842" s="345" t="n">
        <v>1</v>
      </c>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v>0</v>
      </c>
      <c r="AT843" s="345" t="n">
        <v>1</v>
      </c>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v>0</v>
      </c>
      <c r="AT844" s="345" t="n">
        <v>1</v>
      </c>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v>10</v>
      </c>
      <c r="AT845" s="345" t="n">
        <v>10</v>
      </c>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v>10</v>
      </c>
      <c r="AT847" s="345" t="n">
        <v>20</v>
      </c>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v>10</v>
      </c>
      <c r="AT848" s="345" t="n">
        <v>10</v>
      </c>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v>0</v>
      </c>
      <c r="AT849" s="345" t="n">
        <v>1</v>
      </c>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v>0</v>
      </c>
      <c r="AT850" s="345" t="n">
        <v>1</v>
      </c>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v>0</v>
      </c>
      <c r="AT851" s="345" t="n">
        <v>1</v>
      </c>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v>0</v>
      </c>
      <c r="AT853" s="345" t="n">
        <v>1</v>
      </c>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v>0</v>
      </c>
      <c r="AT854" s="345" t="n">
        <v>1</v>
      </c>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v>0</v>
      </c>
      <c r="AT855" s="345" t="n">
        <v>1</v>
      </c>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v>0</v>
      </c>
      <c r="AT856" s="345" t="n">
        <v>1</v>
      </c>
    </row>
    <row r="857" ht="28.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7"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inlineStr">
        <is>
          <t>SALDO MES ANTERIOR</t>
        </is>
      </c>
      <c r="E889" s="961" t="inlineStr">
        <is>
          <t xml:space="preserve">BIOLÓGICO RECIBIDO POR MSPS O ET </t>
        </is>
      </c>
      <c r="F889" s="545" t="inlineStr">
        <is>
          <t>DOSIS APLICADAS</t>
        </is>
      </c>
      <c r="G889" s="967" t="n"/>
      <c r="H889" s="1232" t="inlineStr">
        <is>
          <t>TOTAL DE DOSIS APLICADAS</t>
        </is>
      </c>
      <c r="I889" s="961" t="inlineStr">
        <is>
          <t>DOSIS PERDIDAS</t>
        </is>
      </c>
      <c r="J889" s="1231" t="inlineStr">
        <is>
          <t>TOTAL DE DOSIS UTILIZADAS EN EL MES</t>
        </is>
      </c>
      <c r="K889" s="961" t="inlineStr">
        <is>
          <t>DOSIS TRASLADADAS A OTROS DEPARTAMENTOS, DISTRITOS O RETORNO AL MSPS</t>
        </is>
      </c>
      <c r="L889" s="1253" t="inlineStr">
        <is>
          <t xml:space="preserve">TOTAL SALDO QUE INICIA EL MES </t>
        </is>
      </c>
      <c r="M889" s="1232" t="inlineStr">
        <is>
          <t xml:space="preserve">SALDO CON QUE EL CA DEPARTAMENTAL INICIA </t>
        </is>
      </c>
      <c r="N889" s="1231" t="inlineStr">
        <is>
          <t xml:space="preserve">SALDO CON QUE LOS MUNICIPIOS O IPS INICIAN </t>
        </is>
      </c>
      <c r="O889" s="1232" t="inlineStr">
        <is>
          <t>MESES DISPONIBLES SEGÚN DOSIS UTILIZADAS EN EL MES</t>
        </is>
      </c>
      <c r="P889" s="544" t="inlineStr">
        <is>
          <t>DOSIS EN CUARENTENA</t>
        </is>
      </c>
      <c r="Q889" s="544" t="inlineStr">
        <is>
          <t>LABORATORIO</t>
        </is>
      </c>
      <c r="R889" s="544" t="inlineStr">
        <is>
          <t>No. LOTE</t>
        </is>
      </c>
      <c r="S889" s="544" t="inlineStr">
        <is>
          <t>FECHA DE VENCIMEINTO</t>
        </is>
      </c>
      <c r="T889" s="544" t="inlineStr">
        <is>
          <t>CONDICIÓN FINAL DEL BIOLÓGICO O INSUMO</t>
        </is>
      </c>
      <c r="U889" s="561" t="n"/>
      <c r="V889" s="1254" t="n"/>
      <c r="Y889" s="232" t="n"/>
      <c r="Z889" s="1221" t="inlineStr">
        <is>
          <t>MOTIVOS DE NO USO DE VACUNAS CONTRA LA COVID-19
RESOLUCIÓN 0118 DEL 27 DE ENERO DE 2026
DISPONIBLE EN EL SIGUIENTE LINK: https://www.minsalud.gov.co/Normatividad_Nuevo/Resolucion%20No%20118%20de%202026.pdf</t>
        </is>
      </c>
      <c r="AA889" s="968" t="n"/>
      <c r="AB889" s="968" t="n"/>
      <c r="AC889" s="968" t="n"/>
      <c r="AD889" s="968" t="n"/>
      <c r="AE889" s="968" t="n"/>
      <c r="AF889" s="968" t="n"/>
      <c r="AG889" s="968" t="n"/>
      <c r="AH889" s="968" t="n"/>
      <c r="AI889" s="968" t="n"/>
      <c r="AJ889" s="968" t="n"/>
      <c r="AK889" s="968" t="n"/>
      <c r="AL889" s="967" t="n"/>
      <c r="AM889" s="532" t="inlineStr">
        <is>
          <t xml:space="preserve">TOTAL DOSIS PERDIDAS        </t>
        </is>
      </c>
      <c r="AP889" s="416" t="n"/>
      <c r="AQ889" s="416" t="n"/>
      <c r="AR889" s="416" t="n"/>
      <c r="AS889" s="416" t="n"/>
      <c r="AT889" s="416" t="n"/>
      <c r="AU889" s="1240" t="n"/>
      <c r="AV889" s="1240" t="n"/>
    </row>
    <row r="890" ht="22.5" customHeight="1">
      <c r="A890" s="971" t="n"/>
      <c r="C890" s="972" t="n"/>
      <c r="D890" s="973" t="n"/>
      <c r="E890" s="973" t="n"/>
      <c r="F890" s="552" t="inlineStr">
        <is>
          <t>DOSIS APLICADAS
COLOMBIANOS</t>
        </is>
      </c>
      <c r="G890" s="552" t="inlineStr">
        <is>
          <t>DOSIS APLICADAS EXTRANJEROS</t>
        </is>
      </c>
      <c r="H890" s="973" t="n"/>
      <c r="I890" s="973" t="n"/>
      <c r="J890" s="973" t="n"/>
      <c r="K890" s="973" t="n"/>
      <c r="L890" s="973" t="n"/>
      <c r="M890" s="973" t="n"/>
      <c r="N890" s="973" t="n"/>
      <c r="O890" s="973" t="n"/>
      <c r="P890" s="973" t="n"/>
      <c r="Q890" s="973" t="n"/>
      <c r="R890" s="973" t="n"/>
      <c r="S890" s="973" t="n"/>
      <c r="T890" s="973" t="n"/>
      <c r="Y890" s="232" t="n"/>
      <c r="Z890" s="533" t="n">
        <v>1</v>
      </c>
      <c r="AA890" s="967" t="n"/>
      <c r="AB890" s="533" t="n">
        <v>2</v>
      </c>
      <c r="AC890" s="533" t="n">
        <v>3</v>
      </c>
      <c r="AD890" s="533" t="n">
        <v>4</v>
      </c>
      <c r="AE890" s="533" t="n">
        <v>5</v>
      </c>
      <c r="AF890" s="533" t="n">
        <v>6</v>
      </c>
      <c r="AG890" s="533" t="n">
        <v>7</v>
      </c>
      <c r="AH890" s="533" t="n">
        <v>8</v>
      </c>
      <c r="AI890" s="533" t="n">
        <v>9</v>
      </c>
      <c r="AJ890" s="533" t="n">
        <v>10</v>
      </c>
      <c r="AK890" s="533" t="n">
        <v>11</v>
      </c>
      <c r="AL890" s="533" t="n">
        <v>12</v>
      </c>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inlineStr">
        <is>
          <t>POLÍTICA DE FRASCOS ABIERTO</t>
        </is>
      </c>
      <c r="AA891" s="967" t="n"/>
      <c r="AB891" s="1222" t="inlineStr">
        <is>
          <t>INTERRUPCIÓN DE LA CADENA DE FRÍO</t>
        </is>
      </c>
      <c r="AC891" s="537" t="inlineStr">
        <is>
          <t>CONTAMINACIÓN DEL BIOLÓGICO</t>
        </is>
      </c>
      <c r="AD891" s="1222" t="inlineStr">
        <is>
          <t>ERROR EN LA MANIPULACIÓN</t>
        </is>
      </c>
      <c r="AE891" s="537" t="inlineStr">
        <is>
          <t>ERROR EN LA RECONSTITUCIÓN/DILUCIÓN</t>
        </is>
      </c>
      <c r="AF891" s="1222" t="inlineStr">
        <is>
          <t>ERROR EN LA DOSIFICACIÓN</t>
        </is>
      </c>
      <c r="AG891" s="537" t="inlineStr">
        <is>
          <t>VACUNA QUE EXCEDE EL TIEMPO DE ALMACENAMIENTO EN REFRIGERACIÓN</t>
        </is>
      </c>
      <c r="AH891" s="1222" t="inlineStr">
        <is>
          <t>VENCIMIENTO DEL BIOLÓGICO</t>
        </is>
      </c>
      <c r="AI891" s="537" t="inlineStr">
        <is>
          <t>FRASCO VIAL ROTO</t>
        </is>
      </c>
      <c r="AJ891" s="1222" t="inlineStr">
        <is>
          <t>FALLAS DE FABRICACIÓN/CALIDAD</t>
        </is>
      </c>
      <c r="AK891" s="537" t="inlineStr">
        <is>
          <t>SINIESTRO / ACCIDENTE</t>
        </is>
      </c>
      <c r="AL891" s="1222" t="inlineStr">
        <is>
          <t>ROBO/HURTO BIOLÓGICO</t>
        </is>
      </c>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inlineStr">
        <is>
          <t>INSTITUCIONAL</t>
        </is>
      </c>
      <c r="AA892" s="497" t="inlineStr">
        <is>
          <t>EXTRAMURAL</t>
        </is>
      </c>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inlineStr">
        <is>
          <t>Observación</t>
        </is>
      </c>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BP3gIQtFmKrAy68Jsfi+sw==" formatRows="1" sort="1" spinCount="100000" hashValue="RyCQCWG9d8AGYkFdymIRQ06zG03amGGOvFh0tfi7H32i8/DYVwQ8R1zm0kaY3qJsMiDLXEgSwZFshOOG9ZeK9Q=="/>
  <mergeCells count="3720">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AC25:AC29"/>
    <mergeCell ref="I133:I138"/>
    <mergeCell ref="B181:C186"/>
    <mergeCell ref="AI352:AI357"/>
    <mergeCell ref="D413:D416"/>
    <mergeCell ref="AL787:AL788"/>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AH11:AH12"/>
    <mergeCell ref="E31:E36"/>
    <mergeCell ref="I435:I440"/>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Z11:AB11"/>
    <mergeCell ref="AG211:AG215"/>
    <mergeCell ref="W742:W748"/>
    <mergeCell ref="AN163:AN167"/>
    <mergeCell ref="D236:D241"/>
    <mergeCell ref="J465:J470"/>
    <mergeCell ref="AV465:AV469"/>
    <mergeCell ref="B507:C512"/>
    <mergeCell ref="Z223:Z227"/>
    <mergeCell ref="D359:D365"/>
    <mergeCell ref="A525:A530"/>
    <mergeCell ref="B778:C778"/>
    <mergeCell ref="I609:I614"/>
    <mergeCell ref="AF230:AF234"/>
    <mergeCell ref="K115:K119"/>
    <mergeCell ref="AF537:AF541"/>
    <mergeCell ref="AC79:AC83"/>
    <mergeCell ref="U9:U12"/>
    <mergeCell ref="AC73:AC77"/>
    <mergeCell ref="J272:J277"/>
    <mergeCell ref="K543:K547"/>
    <mergeCell ref="F652:F657"/>
    <mergeCell ref="K579:K583"/>
    <mergeCell ref="B37:C42"/>
    <mergeCell ref="AA615:AA619"/>
    <mergeCell ref="AK664:AK668"/>
    <mergeCell ref="AH296:AH300"/>
    <mergeCell ref="AH303:AH308"/>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E61:AE65"/>
    <mergeCell ref="AJ441:AJ445"/>
    <mergeCell ref="AF714:AF719"/>
    <mergeCell ref="B121:C126"/>
    <mergeCell ref="E272:E277"/>
    <mergeCell ref="AH676:AH680"/>
    <mergeCell ref="AD543:AD547"/>
    <mergeCell ref="G459:G464"/>
    <mergeCell ref="E735:E741"/>
    <mergeCell ref="D634:D639"/>
    <mergeCell ref="AE519:AE523"/>
    <mergeCell ref="H441:H446"/>
    <mergeCell ref="J199:J204"/>
    <mergeCell ref="B579:C584"/>
    <mergeCell ref="AG11:AG12"/>
    <mergeCell ref="AE891:AE892"/>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I193:I198"/>
    <mergeCell ref="AG296:AG300"/>
    <mergeCell ref="AG303:AG308"/>
    <mergeCell ref="AD804:AD807"/>
    <mergeCell ref="AI489:AI493"/>
    <mergeCell ref="K513:K517"/>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H85:H90"/>
    <mergeCell ref="AC187:AC191"/>
    <mergeCell ref="I175:I180"/>
    <mergeCell ref="AM809:AM812"/>
    <mergeCell ref="AI405:AI408"/>
    <mergeCell ref="AR441:AR445"/>
    <mergeCell ref="AB555:AB559"/>
    <mergeCell ref="H303:H309"/>
    <mergeCell ref="AB549:AB553"/>
    <mergeCell ref="AM97:AM101"/>
    <mergeCell ref="AE721:AE726"/>
    <mergeCell ref="AD749:AD754"/>
    <mergeCell ref="AL423:AL427"/>
    <mergeCell ref="AE591:AE595"/>
    <mergeCell ref="AV447:AV451"/>
    <mergeCell ref="D103:D108"/>
    <mergeCell ref="H507:H512"/>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AA55:AA59"/>
    <mergeCell ref="AT525:AT529"/>
    <mergeCell ref="B782:C782"/>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J284:J289"/>
    <mergeCell ref="K585:K5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K103:AK107"/>
    <mergeCell ref="AA37:AA41"/>
    <mergeCell ref="AL139:AL143"/>
    <mergeCell ref="J749:J755"/>
    <mergeCell ref="AA73:AA77"/>
    <mergeCell ref="AH338:AH343"/>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AI25:AI29"/>
    <mergeCell ref="K211:K215"/>
    <mergeCell ref="B290:C295"/>
    <mergeCell ref="AI181:AI185"/>
    <mergeCell ref="B826:C826"/>
    <mergeCell ref="AW609:AW613"/>
    <mergeCell ref="I278:I283"/>
    <mergeCell ref="AQ441:AQ445"/>
    <mergeCell ref="F531:F536"/>
    <mergeCell ref="AF756:AF761"/>
    <mergeCell ref="B785:C788"/>
    <mergeCell ref="K763:K768"/>
    <mergeCell ref="A187:A192"/>
    <mergeCell ref="AN290:AN294"/>
    <mergeCell ref="AT477:AT481"/>
    <mergeCell ref="AD591:AD595"/>
    <mergeCell ref="AC794:AC797"/>
    <mergeCell ref="B828:C828"/>
    <mergeCell ref="B853:C853"/>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E352:AE357"/>
    <mergeCell ref="E169:E174"/>
    <mergeCell ref="K331:K336"/>
    <mergeCell ref="D501:D506"/>
    <mergeCell ref="I573:I578"/>
    <mergeCell ref="AM603:AM607"/>
    <mergeCell ref="AL664:AL668"/>
    <mergeCell ref="AB390:AB393"/>
    <mergeCell ref="AH787:AH78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Z139:Z143"/>
    <mergeCell ref="G345:G351"/>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565:C565"/>
    <mergeCell ref="Z799:Z802"/>
    <mergeCell ref="B894:C894"/>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AR447:AR451"/>
    <mergeCell ref="D507:D512"/>
    <mergeCell ref="H205:H210"/>
    <mergeCell ref="AK609:AK613"/>
    <mergeCell ref="A682:A687"/>
    <mergeCell ref="R889:R892"/>
    <mergeCell ref="F413:G413"/>
    <mergeCell ref="AA714:AA719"/>
    <mergeCell ref="K278:K282"/>
    <mergeCell ref="H634:H639"/>
    <mergeCell ref="I735:I741"/>
    <mergeCell ref="AF694:AF698"/>
    <mergeCell ref="H31:H36"/>
    <mergeCell ref="AL272:AL27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AN345:AN350"/>
    <mergeCell ref="Z381:AL381"/>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AC248:AC252"/>
    <mergeCell ref="AA175:AA179"/>
    <mergeCell ref="J447:J452"/>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T561:AT565"/>
    <mergeCell ref="AD700:AD704"/>
    <mergeCell ref="AD891:AD892"/>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A109:A114"/>
    <mergeCell ref="H382:H38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Z609:Z613"/>
    <mergeCell ref="B862:C862"/>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W429:AW433"/>
    <mergeCell ref="AL435:AL439"/>
    <mergeCell ref="AG543:AG547"/>
    <mergeCell ref="AG537:AG541"/>
    <mergeCell ref="AA646:AA650"/>
    <mergeCell ref="J459:J464"/>
    <mergeCell ref="A567:A572"/>
    <mergeCell ref="N817:N820"/>
    <mergeCell ref="A561:A566"/>
    <mergeCell ref="K157:K161"/>
    <mergeCell ref="I91:I96"/>
    <mergeCell ref="Z549:Z553"/>
    <mergeCell ref="AF728:AF733"/>
    <mergeCell ref="AK67:AK71"/>
    <mergeCell ref="AN395:AN398"/>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I417:I422"/>
    <mergeCell ref="B781:C781"/>
    <mergeCell ref="I531:I536"/>
    <mergeCell ref="D317:D323"/>
    <mergeCell ref="D187:D192"/>
    <mergeCell ref="AF794:AF797"/>
    <mergeCell ref="D912:G912"/>
    <mergeCell ref="F103:F108"/>
    <mergeCell ref="B571:C571"/>
    <mergeCell ref="AI199:AI203"/>
    <mergeCell ref="J230:J235"/>
    <mergeCell ref="AE395:AE398"/>
    <mergeCell ref="AH561:AH565"/>
    <mergeCell ref="K501:K505"/>
    <mergeCell ref="Z417:Z421"/>
    <mergeCell ref="B871:C871"/>
    <mergeCell ref="Z199:Z203"/>
    <mergeCell ref="J652:J657"/>
    <mergeCell ref="AL85:AL89"/>
    <mergeCell ref="J400:J404"/>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AK133:AK137"/>
    <mergeCell ref="V817:V820"/>
    <mergeCell ref="I799:I803"/>
    <mergeCell ref="B804:C808"/>
    <mergeCell ref="A199:A204"/>
    <mergeCell ref="AV429:AV433"/>
    <mergeCell ref="Z652:Z656"/>
    <mergeCell ref="Z646:Z650"/>
    <mergeCell ref="B145:C150"/>
    <mergeCell ref="AW555:AW559"/>
    <mergeCell ref="AF211:AF215"/>
    <mergeCell ref="AR423:AR427"/>
    <mergeCell ref="Z43:Z47"/>
    <mergeCell ref="A331:A337"/>
    <mergeCell ref="H91:H96"/>
    <mergeCell ref="G513:G518"/>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AK459:AK463"/>
    <mergeCell ref="I519:I524"/>
    <mergeCell ref="AD621:AD625"/>
    <mergeCell ref="B163:C168"/>
    <mergeCell ref="B794:C798"/>
    <mergeCell ref="K242:K246"/>
    <mergeCell ref="Z61:Z65"/>
    <mergeCell ref="K236:K240"/>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D615:D620"/>
    <mergeCell ref="B413:C416"/>
    <mergeCell ref="B395:C399"/>
    <mergeCell ref="Z889:AL889"/>
    <mergeCell ref="B779:C779"/>
    <mergeCell ref="AL181:AL185"/>
    <mergeCell ref="D272:D277"/>
    <mergeCell ref="B543:C548"/>
    <mergeCell ref="AM447:AM451"/>
    <mergeCell ref="Z818:AB818"/>
    <mergeCell ref="AA483:AA487"/>
    <mergeCell ref="AF609:AF613"/>
    <mergeCell ref="K799:K802"/>
    <mergeCell ref="AA694:AA698"/>
    <mergeCell ref="AJ133:AJ137"/>
    <mergeCell ref="AH646:AH650"/>
    <mergeCell ref="H567:H572"/>
    <mergeCell ref="U817:U820"/>
    <mergeCell ref="H561:H566"/>
    <mergeCell ref="B839:C839"/>
    <mergeCell ref="AM573:AM577"/>
    <mergeCell ref="AB471:AB475"/>
    <mergeCell ref="A573:A578"/>
    <mergeCell ref="AB507:AB511"/>
    <mergeCell ref="E429:E434"/>
    <mergeCell ref="J317:J323"/>
    <mergeCell ref="AL163:AL167"/>
    <mergeCell ref="Q381:Q384"/>
    <mergeCell ref="H465:H470"/>
    <mergeCell ref="E97:E102"/>
    <mergeCell ref="AI345:AI350"/>
    <mergeCell ref="B707:C713"/>
    <mergeCell ref="AT465:AT469"/>
    <mergeCell ref="AL199:AL203"/>
    <mergeCell ref="AK531:AK535"/>
    <mergeCell ref="B378:C378"/>
    <mergeCell ref="AD579:AD583"/>
    <mergeCell ref="AK525:AK529"/>
    <mergeCell ref="B115:C120"/>
    <mergeCell ref="AE809:AE812"/>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Z441:Z445"/>
    <mergeCell ref="H489:H494"/>
    <mergeCell ref="AH61:AH65"/>
    <mergeCell ref="AM284:AM288"/>
    <mergeCell ref="A284:A289"/>
    <mergeCell ref="AF331:AF336"/>
    <mergeCell ref="U413:U416"/>
    <mergeCell ref="AJ459:AJ463"/>
    <mergeCell ref="E151:E156"/>
    <mergeCell ref="H193:H198"/>
    <mergeCell ref="AF296:AF300"/>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AK157:AK161"/>
    <mergeCell ref="G385:G389"/>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C67:AC71"/>
    <mergeCell ref="AL278:AL282"/>
    <mergeCell ref="D682:D687"/>
    <mergeCell ref="AH441:AH445"/>
    <mergeCell ref="U889:U892"/>
    <mergeCell ref="AD317:AD322"/>
    <mergeCell ref="AC97:AC101"/>
    <mergeCell ref="AE290:AE294"/>
    <mergeCell ref="K567:K571"/>
    <mergeCell ref="K561:K565"/>
    <mergeCell ref="E459:E464"/>
    <mergeCell ref="AL115:AL119"/>
    <mergeCell ref="J181:J186"/>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E317:E323"/>
    <mergeCell ref="D97:D102"/>
    <mergeCell ref="G465:G470"/>
    <mergeCell ref="AB447:AB451"/>
    <mergeCell ref="AJ531:AJ535"/>
    <mergeCell ref="K714:K719"/>
    <mergeCell ref="K139:K143"/>
    <mergeCell ref="AF248:AF252"/>
    <mergeCell ref="AL477:AL481"/>
    <mergeCell ref="AM567:AM571"/>
    <mergeCell ref="AT435:AT439"/>
    <mergeCell ref="AC537:AC541"/>
    <mergeCell ref="AN331:AN336"/>
    <mergeCell ref="AW585:AW589"/>
    <mergeCell ref="H217:H222"/>
    <mergeCell ref="A707:A713"/>
    <mergeCell ref="J817:J820"/>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AK395:AK398"/>
    <mergeCell ref="B832:C832"/>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Z127:Z131"/>
    <mergeCell ref="AM763:AM768"/>
    <mergeCell ref="H175:H180"/>
    <mergeCell ref="B845:C845"/>
    <mergeCell ref="AJ447:AJ451"/>
    <mergeCell ref="AL205:AL209"/>
    <mergeCell ref="AE682:AE686"/>
    <mergeCell ref="AH405:AH408"/>
    <mergeCell ref="AC609:AC613"/>
    <mergeCell ref="AR531:AR535"/>
    <mergeCell ref="AR525:AR529"/>
    <mergeCell ref="F525:F530"/>
    <mergeCell ref="W423:W428"/>
    <mergeCell ref="AG19:AG23"/>
    <mergeCell ref="Z181:Z185"/>
    <mergeCell ref="AD272:AD276"/>
    <mergeCell ref="AK537:AK541"/>
    <mergeCell ref="AG133:AG137"/>
    <mergeCell ref="AA447:AA451"/>
    <mergeCell ref="R817:R820"/>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K591:K595"/>
    <mergeCell ref="AF891:AF892"/>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AJ97:AJ101"/>
    <mergeCell ref="I465:I470"/>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M477:AM481"/>
    <mergeCell ref="P9:P12"/>
    <mergeCell ref="A477:A482"/>
    <mergeCell ref="K670:K674"/>
    <mergeCell ref="D809:D813"/>
    <mergeCell ref="AM652:AM656"/>
    <mergeCell ref="AL67:AL71"/>
    <mergeCell ref="A79:A84"/>
    <mergeCell ref="E483:E488"/>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AH447:AH451"/>
    <mergeCell ref="B477:C482"/>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L97:AL101"/>
    <mergeCell ref="A317:A323"/>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W465:AW469"/>
    <mergeCell ref="AL345:AL350"/>
    <mergeCell ref="AG579:AG583"/>
    <mergeCell ref="AD405:AD408"/>
    <mergeCell ref="F91:F96"/>
    <mergeCell ref="AN254:AN258"/>
    <mergeCell ref="B375:C375"/>
    <mergeCell ref="AG423:AG427"/>
    <mergeCell ref="K483:K487"/>
    <mergeCell ref="A290:A295"/>
    <mergeCell ref="AI385:AI388"/>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AN157:AN161"/>
    <mergeCell ref="AA272:AA276"/>
    <mergeCell ref="J385:J389"/>
    <mergeCell ref="D555:D560"/>
    <mergeCell ref="AV417:AV421"/>
    <mergeCell ref="AA735:AA740"/>
    <mergeCell ref="AI688:AI692"/>
    <mergeCell ref="AB248:AB252"/>
    <mergeCell ref="Z31:Z35"/>
    <mergeCell ref="H79:H84"/>
    <mergeCell ref="K400:K403"/>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J109:J114"/>
    <mergeCell ref="AH290:AH29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D181:AD185"/>
    <mergeCell ref="AC366:AC371"/>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AB133:AB137"/>
    <mergeCell ref="M817:M820"/>
    <mergeCell ref="AL799:AL802"/>
    <mergeCell ref="J585:J590"/>
    <mergeCell ref="W646:W651"/>
    <mergeCell ref="J382:J384"/>
    <mergeCell ref="F31:F36"/>
    <mergeCell ref="AH310:AH315"/>
    <mergeCell ref="AB477:AB481"/>
    <mergeCell ref="AG236:AG240"/>
    <mergeCell ref="J789:J793"/>
    <mergeCell ref="AI423:AI427"/>
    <mergeCell ref="AD331:AD336"/>
    <mergeCell ref="AN400:AN403"/>
    <mergeCell ref="J193:J198"/>
    <mergeCell ref="S413:S416"/>
    <mergeCell ref="Z352:Z357"/>
    <mergeCell ref="I390:I394"/>
    <mergeCell ref="AI640:AI644"/>
    <mergeCell ref="B531:C536"/>
    <mergeCell ref="AG664:AG668"/>
    <mergeCell ref="AV483:AV487"/>
    <mergeCell ref="AG707:AG712"/>
    <mergeCell ref="T381:T384"/>
    <mergeCell ref="AD507:AD511"/>
    <mergeCell ref="AH205:AH209"/>
    <mergeCell ref="AM714:AM719"/>
    <mergeCell ref="A714:A720"/>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V435:AV439"/>
    <mergeCell ref="AJ477:AJ481"/>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M400:AM403"/>
    <mergeCell ref="A400:A404"/>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D13:D18"/>
    <mergeCell ref="AM115:AM119"/>
    <mergeCell ref="J175:J180"/>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K794:K797"/>
    <mergeCell ref="P413:P416"/>
    <mergeCell ref="T817:T820"/>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AB310:AB315"/>
    <mergeCell ref="J331:J337"/>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AN49:AN53"/>
    <mergeCell ref="I248:I253"/>
    <mergeCell ref="F809:F813"/>
    <mergeCell ref="B835:C835"/>
    <mergeCell ref="B829:C829"/>
    <mergeCell ref="E85:E90"/>
    <mergeCell ref="AA199:AA203"/>
    <mergeCell ref="AN260:AN264"/>
    <mergeCell ref="AK345:AK350"/>
    <mergeCell ref="AV615:AV619"/>
    <mergeCell ref="J615:J620"/>
    <mergeCell ref="F211:F216"/>
    <mergeCell ref="I676:I681"/>
    <mergeCell ref="AG513:AG517"/>
    <mergeCell ref="AH91:AH95"/>
    <mergeCell ref="AM749:AM754"/>
    <mergeCell ref="AK223:AK227"/>
    <mergeCell ref="AA395:AA398"/>
    <mergeCell ref="AS447:AS451"/>
    <mergeCell ref="A621:A626"/>
    <mergeCell ref="AH385:AH388"/>
    <mergeCell ref="F763:F769"/>
    <mergeCell ref="Z254:Z258"/>
    <mergeCell ref="S889:S892"/>
    <mergeCell ref="AA103:AA107"/>
    <mergeCell ref="Z248:Z252"/>
    <mergeCell ref="AB317:AB322"/>
    <mergeCell ref="AM742:AM747"/>
    <mergeCell ref="B830:C830"/>
    <mergeCell ref="D19:D24"/>
    <mergeCell ref="AB441:AB445"/>
    <mergeCell ref="E109:E114"/>
    <mergeCell ref="AC290:AC294"/>
    <mergeCell ref="J43:J48"/>
    <mergeCell ref="Z465:Z469"/>
    <mergeCell ref="AB223:AB227"/>
    <mergeCell ref="J489:J494"/>
    <mergeCell ref="E145:E150"/>
    <mergeCell ref="W413:W416"/>
    <mergeCell ref="K640:K644"/>
    <mergeCell ref="E139:E144"/>
    <mergeCell ref="O785:O788"/>
    <mergeCell ref="J700:J705"/>
    <mergeCell ref="AM615:AM619"/>
    <mergeCell ref="AJ157:AJ161"/>
    <mergeCell ref="AJ151:AJ155"/>
    <mergeCell ref="AM193:AM197"/>
    <mergeCell ref="AA217:AA221"/>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Z151:Z155"/>
    <mergeCell ref="K366:K371"/>
    <mergeCell ref="AA543:AA547"/>
    <mergeCell ref="AR435:AR439"/>
    <mergeCell ref="B193:C198"/>
    <mergeCell ref="AK236:AK240"/>
    <mergeCell ref="AF477:AF481"/>
    <mergeCell ref="A809:A813"/>
    <mergeCell ref="H817:H820"/>
    <mergeCell ref="AR555:AR559"/>
    <mergeCell ref="E585:E590"/>
    <mergeCell ref="AE67:AE71"/>
    <mergeCell ref="AB242:AB246"/>
    <mergeCell ref="AQ789:AQ792"/>
    <mergeCell ref="AJ597:AJ601"/>
    <mergeCell ref="E789:E793"/>
    <mergeCell ref="AD429:AD433"/>
    <mergeCell ref="I109:I114"/>
    <mergeCell ref="W573:W578"/>
    <mergeCell ref="G352:G358"/>
    <mergeCell ref="AI400:AI403"/>
    <mergeCell ref="E193:E198"/>
    <mergeCell ref="N413:N416"/>
    <mergeCell ref="B570:C570"/>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E400:E404"/>
    <mergeCell ref="D585:D590"/>
    <mergeCell ref="AD67:AD71"/>
    <mergeCell ref="AL640:AL644"/>
    <mergeCell ref="G818:G820"/>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M9:AM12"/>
    <mergeCell ref="AD97:AD101"/>
    <mergeCell ref="AI223:AI227"/>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AJ260:AJ264"/>
    <mergeCell ref="B390:C394"/>
    <mergeCell ref="E676:E681"/>
    <mergeCell ref="J804:J808"/>
    <mergeCell ref="AV471:AV475"/>
    <mergeCell ref="J471:J476"/>
    <mergeCell ref="AD91:AD95"/>
    <mergeCell ref="G13:G18"/>
    <mergeCell ref="AK37:AK41"/>
    <mergeCell ref="I324:I330"/>
    <mergeCell ref="AD385:AD388"/>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G151:G156"/>
    <mergeCell ref="AE230:AE234"/>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AN151:AN155"/>
    <mergeCell ref="E489:E494"/>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AM230:AM234"/>
    <mergeCell ref="E61:E66"/>
    <mergeCell ref="H429:H4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D109:D114"/>
    <mergeCell ref="S381:S38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B841:C841"/>
    <mergeCell ref="AK91:AK95"/>
    <mergeCell ref="H573:H578"/>
    <mergeCell ref="B373:C373"/>
    <mergeCell ref="K804:K807"/>
    <mergeCell ref="AM278:AM282"/>
    <mergeCell ref="A278:A283"/>
    <mergeCell ref="G49:G54"/>
    <mergeCell ref="AK385:AK388"/>
    <mergeCell ref="AC254:AC258"/>
    <mergeCell ref="AJ453:AJ457"/>
    <mergeCell ref="K471:K475"/>
    <mergeCell ref="AE317:AE322"/>
    <mergeCell ref="AL809:AL812"/>
    <mergeCell ref="AW603:AW607"/>
    <mergeCell ref="AC465:AC469"/>
    <mergeCell ref="G303:G309"/>
    <mergeCell ref="Z97:Z101"/>
    <mergeCell ref="AE223:AE227"/>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AD242:AD246"/>
    <mergeCell ref="AD217:AD221"/>
    <mergeCell ref="AL519:AL523"/>
    <mergeCell ref="AG585:AG589"/>
    <mergeCell ref="B846:C846"/>
    <mergeCell ref="AH682:AH686"/>
    <mergeCell ref="A609:A614"/>
    <mergeCell ref="AL891:AL892"/>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F223:F228"/>
    <mergeCell ref="K324:K329"/>
    <mergeCell ref="AE345:AE350"/>
    <mergeCell ref="AK567:AK571"/>
    <mergeCell ref="I591:I596"/>
    <mergeCell ref="Z19:Z23"/>
    <mergeCell ref="A640:A645"/>
    <mergeCell ref="AE670:AE674"/>
    <mergeCell ref="AT794:AT797"/>
    <mergeCell ref="AL405:AL408"/>
    <mergeCell ref="H794:H798"/>
    <mergeCell ref="B849:C849"/>
    <mergeCell ref="AB627:AB631"/>
    <mergeCell ref="G395:G399"/>
    <mergeCell ref="AJ799:AJ802"/>
    <mergeCell ref="AL230:AL234"/>
    <mergeCell ref="AM79:AM83"/>
    <mergeCell ref="AV561:AV565"/>
    <mergeCell ref="H585:H590"/>
    <mergeCell ref="G890:G892"/>
    <mergeCell ref="AI73:AI77"/>
    <mergeCell ref="AE242:AE246"/>
    <mergeCell ref="Z477:Z481"/>
    <mergeCell ref="AE236:AE240"/>
    <mergeCell ref="A633:C633"/>
    <mergeCell ref="H789:H793"/>
    <mergeCell ref="K217:K221"/>
    <mergeCell ref="B303:C309"/>
    <mergeCell ref="D25:D30"/>
    <mergeCell ref="AI187:AI191"/>
    <mergeCell ref="B296:C301"/>
    <mergeCell ref="AG429:AG433"/>
    <mergeCell ref="AB331:AB336"/>
    <mergeCell ref="AB85:AB89"/>
    <mergeCell ref="I284:I289"/>
    <mergeCell ref="J133:J138"/>
    <mergeCell ref="J352:J358"/>
    <mergeCell ref="AG770:AG775"/>
    <mergeCell ref="I785:I788"/>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AA133:AA137"/>
    <mergeCell ref="H413:H416"/>
    <mergeCell ref="B860:C860"/>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K175:AK179"/>
    <mergeCell ref="A248:A253"/>
    <mergeCell ref="AQ501:AQ505"/>
    <mergeCell ref="W489:W494"/>
    <mergeCell ref="AL157:AL161"/>
    <mergeCell ref="AC345:AC350"/>
    <mergeCell ref="AF260:AF264"/>
    <mergeCell ref="H700:H705"/>
    <mergeCell ref="F181:F186"/>
    <mergeCell ref="AA459:AA463"/>
    <mergeCell ref="H115:H120"/>
    <mergeCell ref="AC217:AC221"/>
    <mergeCell ref="B317:C323"/>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AS794:AS797"/>
    <mergeCell ref="Z205:Z209"/>
    <mergeCell ref="G794:G798"/>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AT459:AT463"/>
    <mergeCell ref="F519:F524"/>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AS809:AS812"/>
    <mergeCell ref="AJ465:AJ469"/>
    <mergeCell ref="AL223:AL227"/>
    <mergeCell ref="G809:G813"/>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AE266:AE270"/>
    <mergeCell ref="L785:L788"/>
    <mergeCell ref="AB345:AB350"/>
    <mergeCell ref="AE260:AE264"/>
    <mergeCell ref="AM770:AM775"/>
    <mergeCell ref="E181:E186"/>
    <mergeCell ref="B858:C85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G405:G409"/>
    <mergeCell ref="AK603:AK607"/>
    <mergeCell ref="B817:C820"/>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Z310:Z315"/>
    <mergeCell ref="H331:H337"/>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AK324:AK329"/>
    <mergeCell ref="AF11:AF12"/>
    <mergeCell ref="D513:D518"/>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AL13:AL17"/>
    <mergeCell ref="AM49:AM53"/>
    <mergeCell ref="H248:H253"/>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AK676:AK680"/>
    <mergeCell ref="W555:W560"/>
    <mergeCell ref="AK670:AK674"/>
    <mergeCell ref="B260:C265"/>
    <mergeCell ref="B827:C827"/>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M55:AM59"/>
    <mergeCell ref="AB205:AB20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AK13:AK17"/>
    <mergeCell ref="AL49:AL53"/>
    <mergeCell ref="G248:G253"/>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AG809:AG812"/>
    <mergeCell ref="AR603:AR607"/>
    <mergeCell ref="B895:C895"/>
    <mergeCell ref="AB721:AB726"/>
    <mergeCell ref="AM501:AM505"/>
    <mergeCell ref="G272:G277"/>
    <mergeCell ref="AL400:AL403"/>
    <mergeCell ref="B471:C476"/>
    <mergeCell ref="AK615:AK619"/>
    <mergeCell ref="AH157:AH161"/>
    <mergeCell ref="I459:I464"/>
    <mergeCell ref="D115:D120"/>
    <mergeCell ref="AG519:AG523"/>
    <mergeCell ref="A405:A409"/>
    <mergeCell ref="AC682:AC686"/>
    <mergeCell ref="AJ390:AJ393"/>
    <mergeCell ref="AI11:AI12"/>
    <mergeCell ref="J435:J440"/>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G109:G114"/>
    <mergeCell ref="F324:F330"/>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AH223:AH227"/>
    <mergeCell ref="J303:J309"/>
    <mergeCell ref="AC640:AC644"/>
    <mergeCell ref="I525:I530"/>
    <mergeCell ref="AG591:AG595"/>
    <mergeCell ref="J507:J512"/>
    <mergeCell ref="G489:G494"/>
    <mergeCell ref="B109:C114"/>
    <mergeCell ref="AG217:AG221"/>
    <mergeCell ref="D905:G905"/>
    <mergeCell ref="AD417:AD421"/>
    <mergeCell ref="AA49:AA53"/>
    <mergeCell ref="W567:W572"/>
    <mergeCell ref="AL501:AL505"/>
    <mergeCell ref="B564:C564"/>
    <mergeCell ref="AK400:AK403"/>
    <mergeCell ref="AI383:AI384"/>
    <mergeCell ref="AA266:AA270"/>
    <mergeCell ref="AA260:AA264"/>
    <mergeCell ref="H459:H464"/>
    <mergeCell ref="AN109:AN113"/>
    <mergeCell ref="A181:A186"/>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AG603:AG607"/>
    <mergeCell ref="W721:W727"/>
    <mergeCell ref="F817:G817"/>
    <mergeCell ref="AD145:AD149"/>
    <mergeCell ref="G67:G72"/>
    <mergeCell ref="J395:J399"/>
    <mergeCell ref="J429:J434"/>
    <mergeCell ref="G61:G66"/>
    <mergeCell ref="E756:E762"/>
    <mergeCell ref="AM799:AM802"/>
    <mergeCell ref="A799:A803"/>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K405:K408"/>
    <mergeCell ref="F597:F602"/>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B67:C72"/>
    <mergeCell ref="AG324:AG329"/>
    <mergeCell ref="J573:J578"/>
    <mergeCell ref="W640:W645"/>
    <mergeCell ref="E9:G9"/>
    <mergeCell ref="AJ55:AJ59"/>
    <mergeCell ref="I49:I54"/>
    <mergeCell ref="AM385:AM388"/>
    <mergeCell ref="AE254:AE258"/>
    <mergeCell ref="AN61:AN65"/>
    <mergeCell ref="AB97:AB101"/>
    <mergeCell ref="I303:I309"/>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AH199:AH203"/>
    <mergeCell ref="I181:I186"/>
    <mergeCell ref="H381:J381"/>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G352:AG357"/>
    <mergeCell ref="AL471:AL475"/>
    <mergeCell ref="AJ787:AJ788"/>
    <mergeCell ref="AL145:AL149"/>
    <mergeCell ref="A359:A365"/>
    <mergeCell ref="AE483:AE487"/>
    <mergeCell ref="AB115:AB119"/>
    <mergeCell ref="J163:J168"/>
    <mergeCell ref="J794:J798"/>
    <mergeCell ref="AK507:AK511"/>
    <mergeCell ref="AG676:AG680"/>
    <mergeCell ref="B537:C542"/>
    <mergeCell ref="AG670:AG674"/>
    <mergeCell ref="AN405:AN408"/>
    <mergeCell ref="AW441:AW445"/>
    <mergeCell ref="D735:D741"/>
    <mergeCell ref="F67:F72"/>
    <mergeCell ref="I395:I399"/>
    <mergeCell ref="AN230:AN234"/>
    <mergeCell ref="AD519:AD523"/>
    <mergeCell ref="G435:G440"/>
    <mergeCell ref="AA501:AA505"/>
    <mergeCell ref="AK79:AK83"/>
    <mergeCell ref="AK73:AK77"/>
    <mergeCell ref="AG242:AG246"/>
    <mergeCell ref="AQ573:AQ577"/>
    <mergeCell ref="K459:K463"/>
    <mergeCell ref="A266:A271"/>
    <mergeCell ref="F25:F30"/>
    <mergeCell ref="AI429:AI433"/>
    <mergeCell ref="A260:A265"/>
    <mergeCell ref="D603:D608"/>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Z121:Z125"/>
    <mergeCell ref="J242:J247"/>
    <mergeCell ref="B374:C374"/>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AA242:AA246"/>
    <mergeCell ref="H471:H476"/>
    <mergeCell ref="B609:C614"/>
    <mergeCell ref="B847:C847"/>
    <mergeCell ref="E13:E18"/>
    <mergeCell ref="AB385:AB388"/>
    <mergeCell ref="AF352:AF357"/>
    <mergeCell ref="AI787:AI788"/>
    <mergeCell ref="AC809:AC812"/>
    <mergeCell ref="A664:A669"/>
    <mergeCell ref="AK145:AK149"/>
    <mergeCell ref="I728:I734"/>
    <mergeCell ref="K531:K535"/>
    <mergeCell ref="AA115:AA119"/>
    <mergeCell ref="AI501:AI505"/>
    <mergeCell ref="Z447:Z451"/>
    <mergeCell ref="K525:K529"/>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AC405:AC408"/>
    <mergeCell ref="AN199:AN203"/>
    <mergeCell ref="J728:J734"/>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A187:AA191"/>
    <mergeCell ref="AD555:AD559"/>
    <mergeCell ref="AN248:AN252"/>
    <mergeCell ref="AN352:AN357"/>
    <mergeCell ref="AD400:AD403"/>
    <mergeCell ref="AJ579:AJ583"/>
    <mergeCell ref="AK770:AK775"/>
    <mergeCell ref="AV603:AV607"/>
    <mergeCell ref="AS804:AS807"/>
    <mergeCell ref="AB465:AB469"/>
    <mergeCell ref="AD223:AD227"/>
    <mergeCell ref="F303:F309"/>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AG400:AG403"/>
    <mergeCell ref="L413:L416"/>
    <mergeCell ref="AF615:AF619"/>
    <mergeCell ref="AC157:AC161"/>
    <mergeCell ref="AV627:AV631"/>
    <mergeCell ref="J627:J632"/>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AD278:AD282"/>
    <mergeCell ref="B844:C844"/>
    <mergeCell ref="Z145:Z149"/>
    <mergeCell ref="AM756:AM761"/>
    <mergeCell ref="B838:C838"/>
    <mergeCell ref="AK230:AK234"/>
    <mergeCell ref="F429:F434"/>
    <mergeCell ref="D338:D344"/>
    <mergeCell ref="I290:I295"/>
    <mergeCell ref="AJ163:AJ167"/>
    <mergeCell ref="AK441:AK445"/>
    <mergeCell ref="AH73:AH77"/>
    <mergeCell ref="Q413:Q416"/>
    <mergeCell ref="F890:F892"/>
    <mergeCell ref="AC175:AC179"/>
    <mergeCell ref="D157:D162"/>
    <mergeCell ref="AH400:AH403"/>
    <mergeCell ref="A603:A608"/>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G115:G120"/>
    <mergeCell ref="AB217:AB221"/>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C352:AC357"/>
    <mergeCell ref="AH471:AH475"/>
    <mergeCell ref="AA193:AA197"/>
    <mergeCell ref="AF787:AF788"/>
    <mergeCell ref="AJ664:AJ668"/>
    <mergeCell ref="I756:I762"/>
    <mergeCell ref="K597:K601"/>
    <mergeCell ref="H236:H241"/>
    <mergeCell ref="F163:F168"/>
    <mergeCell ref="AI567:AI571"/>
    <mergeCell ref="F794:F798"/>
    <mergeCell ref="AR794:AR797"/>
    <mergeCell ref="AJ405:AJ408"/>
    <mergeCell ref="AS441:AS445"/>
    <mergeCell ref="AQ525:AQ529"/>
    <mergeCell ref="E525:E530"/>
    <mergeCell ref="AM248:AM252"/>
    <mergeCell ref="AL735:AL740"/>
    <mergeCell ref="E395:E399"/>
    <mergeCell ref="AJ230:AJ234"/>
    <mergeCell ref="AT567:AT571"/>
    <mergeCell ref="B874:C874"/>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B700:C705"/>
    <mergeCell ref="AL296:AL300"/>
    <mergeCell ref="D127:D132"/>
    <mergeCell ref="AL303:AL308"/>
    <mergeCell ref="G495:G500"/>
    <mergeCell ref="AN359:AN364"/>
    <mergeCell ref="I688:I693"/>
    <mergeCell ref="Z786:AA786"/>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7:F713"/>
    <mergeCell ref="F700:F705"/>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B352:AB357"/>
    <mergeCell ref="F573:F578"/>
    <mergeCell ref="AE787:AE78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K303:AK308"/>
    <mergeCell ref="AM338:AM343"/>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I169:I174"/>
    <mergeCell ref="AH284:AH288"/>
    <mergeCell ref="AI133:AI137"/>
    <mergeCell ref="Z414:AB414"/>
    <mergeCell ref="H9:J9"/>
    <mergeCell ref="W597:W602"/>
    <mergeCell ref="AD819:AD820"/>
    <mergeCell ref="AN25:AN29"/>
    <mergeCell ref="B338:C344"/>
    <mergeCell ref="AA296:AA300"/>
    <mergeCell ref="AA303:AA308"/>
    <mergeCell ref="D579:D584"/>
    <mergeCell ref="AQ809:AQ812"/>
    <mergeCell ref="AM405:AM408"/>
    <mergeCell ref="AV441:AV445"/>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AC266:AC270"/>
    <mergeCell ref="AB417:AB421"/>
    <mergeCell ref="H714:H720"/>
    <mergeCell ref="J785:J788"/>
    <mergeCell ref="G382:G384"/>
    <mergeCell ref="AJ352:AJ357"/>
    <mergeCell ref="Z400:Z403"/>
    <mergeCell ref="E413:E416"/>
    <mergeCell ref="AJ127:AJ131"/>
    <mergeCell ref="AG390:AG393"/>
    <mergeCell ref="I495:I500"/>
    <mergeCell ref="E664:E669"/>
    <mergeCell ref="D597:D602"/>
    <mergeCell ref="AH483:AH487"/>
    <mergeCell ref="AL415:AL416"/>
    <mergeCell ref="AD359:AD364"/>
    <mergeCell ref="AI609:AI613"/>
    <mergeCell ref="B79:C84"/>
    <mergeCell ref="I67:I72"/>
    <mergeCell ref="G804:G808"/>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391" operator="containsText" dxfId="325" text="VERDE">
      <formula>NOT(ISERROR(SEARCH("VERDE",D229)))</formula>
    </cfRule>
    <cfRule type="containsText" priority="392" operator="containsText" dxfId="324" text="AMARILLO">
      <formula>NOT(ISERROR(SEARCH("AMARILLO",D229)))</formula>
    </cfRule>
    <cfRule type="containsText" priority="393" operator="containsText" dxfId="323" text="ROJO">
      <formula>NOT(ISERROR(SEARCH("ROJO",D229)))</formula>
    </cfRule>
  </conditionalFormatting>
  <conditionalFormatting sqref="D821:D856">
    <cfRule type="cellIs" priority="389" operator="lessThan" dxfId="0" stopIfTrue="1">
      <formula>0</formula>
    </cfRule>
  </conditionalFormatting>
  <conditionalFormatting sqref="D858:D869">
    <cfRule type="cellIs" priority="388" operator="lessThan" dxfId="0" stopIfTrue="1">
      <formula>0</formula>
    </cfRule>
  </conditionalFormatting>
  <conditionalFormatting sqref="D871:D888">
    <cfRule type="cellIs" priority="387" operator="lessThan" dxfId="0" stopIfTrue="1">
      <formula>0</formula>
    </cfRule>
  </conditionalFormatting>
  <conditionalFormatting sqref="D893:D894">
    <cfRule type="cellIs" priority="390" operator="lessThan" dxfId="0" stopIfTrue="1">
      <formula>0</formula>
    </cfRule>
  </conditionalFormatting>
  <conditionalFormatting sqref="D566">
    <cfRule type="cellIs" priority="386" operator="lessThan" dxfId="384" stopIfTrue="1">
      <formula>0</formula>
    </cfRule>
  </conditionalFormatting>
  <conditionalFormatting sqref="D572">
    <cfRule type="cellIs" priority="385" operator="lessThan" dxfId="384" stopIfTrue="1">
      <formula>0</formula>
    </cfRule>
  </conditionalFormatting>
  <conditionalFormatting sqref="D895:D897">
    <cfRule type="cellIs" priority="384" operator="lessThan" dxfId="0" stopIfTrue="1">
      <formula>0</formula>
    </cfRule>
  </conditionalFormatting>
  <conditionalFormatting sqref="E229 P410">
    <cfRule type="containsText" priority="376" operator="containsText" dxfId="325" text="VERDE">
      <formula>NOT(ISERROR(SEARCH("VERDE",E229)))</formula>
    </cfRule>
    <cfRule type="containsText" priority="377" operator="containsText" dxfId="324" text="AMARILLO">
      <formula>NOT(ISERROR(SEARCH("AMARILLO",E229)))</formula>
    </cfRule>
    <cfRule type="containsText" priority="378" operator="containsText" dxfId="323" text="ROJO">
      <formula>NOT(ISERROR(SEARCH("ROJO",E229)))</formula>
    </cfRule>
  </conditionalFormatting>
  <conditionalFormatting sqref="E821:I856">
    <cfRule type="cellIs" priority="253" operator="lessThan" dxfId="0" stopIfTrue="1">
      <formula>0</formula>
    </cfRule>
  </conditionalFormatting>
  <conditionalFormatting sqref="E858:I869">
    <cfRule type="cellIs" priority="252" operator="lessThan" dxfId="0" stopIfTrue="1">
      <formula>0</formula>
    </cfRule>
  </conditionalFormatting>
  <conditionalFormatting sqref="E871:I888">
    <cfRule type="cellIs" priority="251" operator="lessThan" dxfId="0" stopIfTrue="1">
      <formula>0</formula>
    </cfRule>
  </conditionalFormatting>
  <conditionalFormatting sqref="E893:I893 E894:G894 H894:I897">
    <cfRule type="cellIs" priority="369" operator="lessThan" dxfId="0" stopIfTrue="1">
      <formula>0</formula>
    </cfRule>
  </conditionalFormatting>
  <conditionalFormatting sqref="K13:K17">
    <cfRule type="cellIs" priority="379" operator="lessThan" dxfId="0" stopIfTrue="1">
      <formula>0</formula>
    </cfRule>
  </conditionalFormatting>
  <conditionalFormatting sqref="K303:K308 K777:K783">
    <cfRule type="cellIs" priority="365" operator="lessThan" dxfId="0" stopIfTrue="1">
      <formula>0</formula>
    </cfRule>
  </conditionalFormatting>
  <conditionalFormatting sqref="K309">
    <cfRule type="containsText" priority="375" operator="containsText" dxfId="8" text="Falso">
      <formula>NOT(ISERROR(SEARCH("Falso",K309)))</formula>
    </cfRule>
  </conditionalFormatting>
  <conditionalFormatting sqref="K373:K380">
    <cfRule type="cellIs" priority="372" operator="lessThan" dxfId="0" stopIfTrue="1">
      <formula>0</formula>
    </cfRule>
  </conditionalFormatting>
  <conditionalFormatting sqref="K385:K388">
    <cfRule type="cellIs" priority="380" operator="lessThan" dxfId="0" stopIfTrue="1">
      <formula>0</formula>
    </cfRule>
  </conditionalFormatting>
  <conditionalFormatting sqref="K389">
    <cfRule type="containsText" priority="381" operator="containsText" dxfId="8" text="Falso">
      <formula>NOT(ISERROR(SEARCH("Falso",K389)))</formula>
    </cfRule>
  </conditionalFormatting>
  <conditionalFormatting sqref="K394">
    <cfRule type="containsText" priority="371" operator="containsText" dxfId="8" text="Falso">
      <formula>NOT(ISERROR(SEARCH("Falso",K394)))</formula>
    </cfRule>
  </conditionalFormatting>
  <conditionalFormatting sqref="K399 K404 K409">
    <cfRule type="containsText" priority="370" operator="containsText" dxfId="8" text="Falso">
      <formula>NOT(ISERROR(SEARCH("Falso",K399)))</formula>
    </cfRule>
  </conditionalFormatting>
  <conditionalFormatting sqref="K714:K719 K721:K726">
    <cfRule type="cellIs" priority="273" operator="lessThan" dxfId="0" stopIfTrue="1">
      <formula>0</formula>
    </cfRule>
  </conditionalFormatting>
  <conditionalFormatting sqref="K634:K638">
    <cfRule type="cellIs" priority="279" operator="lessThan" dxfId="0" stopIfTrue="1">
      <formula>0</formula>
    </cfRule>
  </conditionalFormatting>
  <conditionalFormatting sqref="K749:K754 K756:K761">
    <cfRule type="cellIs" priority="271" operator="lessThan" dxfId="0" stopIfTrue="1">
      <formula>0</formula>
    </cfRule>
  </conditionalFormatting>
  <conditionalFormatting sqref="K763:K768">
    <cfRule type="cellIs" priority="270" operator="lessThan" dxfId="0" stopIfTrue="1">
      <formula>0</formula>
    </cfRule>
  </conditionalFormatting>
  <conditionalFormatting sqref="K770:K775">
    <cfRule type="cellIs" priority="269" operator="lessThan" dxfId="0" stopIfTrue="1">
      <formula>0</formula>
    </cfRule>
  </conditionalFormatting>
  <conditionalFormatting sqref="K707:K712">
    <cfRule type="cellIs" priority="278" operator="lessThan" dxfId="0" stopIfTrue="1">
      <formula>0</formula>
    </cfRule>
  </conditionalFormatting>
  <conditionalFormatting sqref="K728:K733 K735:K740 K742:K747">
    <cfRule type="cellIs" priority="272" operator="lessThan" dxfId="0" stopIfTrue="1">
      <formula>0</formula>
    </cfRule>
  </conditionalFormatting>
  <conditionalFormatting sqref="K821:K856 M821:O856">
    <cfRule type="cellIs" priority="250" operator="lessThan" dxfId="0" stopIfTrue="1">
      <formula>0</formula>
    </cfRule>
  </conditionalFormatting>
  <conditionalFormatting sqref="K858:K869 M858:N869">
    <cfRule type="cellIs" priority="249" operator="lessThan" dxfId="0" stopIfTrue="1">
      <formula>0</formula>
    </cfRule>
  </conditionalFormatting>
  <conditionalFormatting sqref="K871:K888 M871:N887 M888:O888">
    <cfRule type="cellIs" priority="248" operator="lessThan" dxfId="0" stopIfTrue="1">
      <formula>0</formula>
    </cfRule>
  </conditionalFormatting>
  <conditionalFormatting sqref="K893:K894 M893:N894">
    <cfRule type="cellIs" priority="247" operator="lessThan" dxfId="0" stopIfTrue="1">
      <formula>0</formula>
    </cfRule>
  </conditionalFormatting>
  <conditionalFormatting sqref="P13:P17 P303:P308">
    <cfRule type="containsText" priority="361" operator="containsText" dxfId="131" text="VENCIDO">
      <formula>NOT(ISERROR(SEARCH("VENCIDO",P13)))</formula>
    </cfRule>
    <cfRule type="containsText" priority="362" operator="containsText" dxfId="130" text="VERDE">
      <formula>NOT(ISERROR(SEARCH("VERDE",P13)))</formula>
    </cfRule>
    <cfRule type="containsText" priority="363" operator="containsText" dxfId="129" stopIfTrue="1" text="AMARILLO">
      <formula>NOT(ISERROR(SEARCH("AMARILLO",P13)))</formula>
    </cfRule>
    <cfRule type="containsText" priority="364" operator="containsText" dxfId="128" text="ROJO">
      <formula>NOT(ISERROR(SEARCH("ROJO",P13)))</formula>
    </cfRule>
  </conditionalFormatting>
  <conditionalFormatting sqref="P373:P379">
    <cfRule type="containsText" priority="357" operator="containsText" dxfId="131" text="VENCIDO">
      <formula>NOT(ISERROR(SEARCH("VENCIDO",P373)))</formula>
    </cfRule>
    <cfRule type="containsText" priority="358" operator="containsText" dxfId="130" text="VERDE">
      <formula>NOT(ISERROR(SEARCH("VERDE",P373)))</formula>
    </cfRule>
    <cfRule type="containsText" priority="359" operator="containsText" dxfId="129" stopIfTrue="1" text="AMARILLO">
      <formula>NOT(ISERROR(SEARCH("AMARILLO",P373)))</formula>
    </cfRule>
    <cfRule type="containsText" priority="360" operator="containsText" dxfId="128" text="ROJO">
      <formula>NOT(ISERROR(SEARCH("ROJO",P373)))</formula>
    </cfRule>
  </conditionalFormatting>
  <conditionalFormatting sqref="P385:P388">
    <cfRule type="containsText" priority="353" operator="containsText" dxfId="131" text="VENCIDO">
      <formula>NOT(ISERROR(SEARCH("VENCIDO",P385)))</formula>
    </cfRule>
    <cfRule type="containsText" priority="354" operator="containsText" dxfId="130" text="VERDE">
      <formula>NOT(ISERROR(SEARCH("VERDE",P385)))</formula>
    </cfRule>
    <cfRule type="containsText" priority="355" operator="containsText" dxfId="129" stopIfTrue="1" text="AMARILLO">
      <formula>NOT(ISERROR(SEARCH("AMARILLO",P385)))</formula>
    </cfRule>
    <cfRule type="containsText" priority="356" operator="containsText" dxfId="128" text="ROJO">
      <formula>NOT(ISERROR(SEARCH("ROJO",P385)))</formula>
    </cfRule>
  </conditionalFormatting>
  <conditionalFormatting sqref="P417:P421">
    <cfRule type="containsText" priority="346" operator="containsText" dxfId="131" text="VENCIDO">
      <formula>NOT(ISERROR(SEARCH("VENCIDO",P417)))</formula>
    </cfRule>
    <cfRule type="containsText" priority="347" operator="containsText" dxfId="130" text="VERDE">
      <formula>NOT(ISERROR(SEARCH("VERDE",P417)))</formula>
    </cfRule>
    <cfRule type="containsText" priority="348" operator="containsText" dxfId="129" stopIfTrue="1" text="AMARILLO">
      <formula>NOT(ISERROR(SEARCH("AMARILLO",P417)))</formula>
    </cfRule>
    <cfRule type="containsText" priority="349" operator="containsText" dxfId="128" text="ROJO">
      <formula>NOT(ISERROR(SEARCH("ROJO",P417)))</formula>
    </cfRule>
  </conditionalFormatting>
  <conditionalFormatting sqref="P561:P565">
    <cfRule type="containsText" priority="342" operator="containsText" dxfId="131" text="VENCIDO">
      <formula>NOT(ISERROR(SEARCH("VENCIDO",P561)))</formula>
    </cfRule>
    <cfRule type="containsText" priority="343" operator="containsText" dxfId="130" text="VERDE">
      <formula>NOT(ISERROR(SEARCH("VERDE",P561)))</formula>
    </cfRule>
    <cfRule type="containsText" priority="344" operator="containsText" dxfId="129" stopIfTrue="1" text="AMARILLO">
      <formula>NOT(ISERROR(SEARCH("AMARILLO",P561)))</formula>
    </cfRule>
    <cfRule type="containsText" priority="345" operator="containsText" dxfId="128" text="ROJO">
      <formula>NOT(ISERROR(SEARCH("ROJO",P561)))</formula>
    </cfRule>
  </conditionalFormatting>
  <conditionalFormatting sqref="P707:P712">
    <cfRule type="containsText" priority="274" operator="containsText" dxfId="131" text="VENCIDO">
      <formula>NOT(ISERROR(SEARCH("VENCIDO",P707)))</formula>
    </cfRule>
    <cfRule type="containsText" priority="275" operator="containsText" dxfId="130" text="VERDE">
      <formula>NOT(ISERROR(SEARCH("VERDE",P707)))</formula>
    </cfRule>
    <cfRule type="containsText" priority="276" operator="containsText" dxfId="129" stopIfTrue="1" text="AMARILLO">
      <formula>NOT(ISERROR(SEARCH("AMARILLO",P707)))</formula>
    </cfRule>
    <cfRule type="containsText" priority="277" operator="containsText" dxfId="128" text="ROJO">
      <formula>NOT(ISERROR(SEARCH("ROJO",P707)))</formula>
    </cfRule>
  </conditionalFormatting>
  <conditionalFormatting sqref="P777:P783">
    <cfRule type="containsText" priority="265" operator="containsText" dxfId="131" text="VENCIDO">
      <formula>NOT(ISERROR(SEARCH("VENCIDO",P777)))</formula>
    </cfRule>
    <cfRule type="containsText" priority="266" operator="containsText" dxfId="130" text="VERDE">
      <formula>NOT(ISERROR(SEARCH("VERDE",P777)))</formula>
    </cfRule>
    <cfRule type="containsText" priority="267" operator="containsText" dxfId="129" stopIfTrue="1" text="AMARILLO">
      <formula>NOT(ISERROR(SEARCH("AMARILLO",P777)))</formula>
    </cfRule>
    <cfRule type="containsText" priority="268" operator="containsText" dxfId="128" text="ROJO">
      <formula>NOT(ISERROR(SEARCH("ROJO",P777)))</formula>
    </cfRule>
  </conditionalFormatting>
  <conditionalFormatting sqref="Q833:Q848">
    <cfRule type="containsText" priority="259" operator="containsText" dxfId="325" text="VERDE">
      <formula>NOT(ISERROR(SEARCH("VERDE",Q833)))</formula>
    </cfRule>
    <cfRule type="containsText" priority="260" operator="containsText" dxfId="324" text="AMARILLO">
      <formula>NOT(ISERROR(SEARCH("AMARILLO",Q833)))</formula>
    </cfRule>
    <cfRule type="containsText" priority="261" operator="containsText" dxfId="323" text="ROJO">
      <formula>NOT(ISERROR(SEARCH("ROJO",Q833)))</formula>
    </cfRule>
  </conditionalFormatting>
  <conditionalFormatting sqref="Q821:R832">
    <cfRule type="containsText" priority="350" operator="containsText" dxfId="325" text="VERDE">
      <formula>NOT(ISERROR(SEARCH("VERDE",Q821)))</formula>
    </cfRule>
    <cfRule type="containsText" priority="351" operator="containsText" dxfId="324" text="AMARILLO">
      <formula>NOT(ISERROR(SEARCH("AMARILLO",Q821)))</formula>
    </cfRule>
    <cfRule type="containsText" priority="352" operator="containsText" dxfId="323" text="ROJO">
      <formula>NOT(ISERROR(SEARCH("ROJO",Q821)))</formula>
    </cfRule>
  </conditionalFormatting>
  <conditionalFormatting sqref="AO821:AO827 AO838:AO860 AO868:AO871 AO873 AO875:AO887">
    <cfRule type="expression" priority="366" dxfId="314">
      <formula>$AO821&lt;&gt;#REF!</formula>
    </cfRule>
  </conditionalFormatting>
  <conditionalFormatting sqref="AO828:AO835">
    <cfRule type="expression" priority="382" dxfId="314">
      <formula>$AO828&lt;&gt;#REF!</formula>
    </cfRule>
  </conditionalFormatting>
  <conditionalFormatting sqref="AO836:AO837">
    <cfRule type="expression" priority="264" dxfId="314">
      <formula>$AO836&lt;&gt;#REF!</formula>
    </cfRule>
  </conditionalFormatting>
  <conditionalFormatting sqref="AO861">
    <cfRule type="expression" priority="258" dxfId="314">
      <formula>$AO861&lt;&gt;#REF!</formula>
    </cfRule>
  </conditionalFormatting>
  <conditionalFormatting sqref="AO862:AO866">
    <cfRule type="expression" priority="257" dxfId="314">
      <formula>$AO862&lt;&gt;#REF!</formula>
    </cfRule>
  </conditionalFormatting>
  <conditionalFormatting sqref="AO867">
    <cfRule type="expression" priority="256" dxfId="314">
      <formula>$AO867&lt;&gt;#REF!</formula>
    </cfRule>
  </conditionalFormatting>
  <conditionalFormatting sqref="AO872">
    <cfRule type="expression" priority="255" dxfId="314">
      <formula>$AO872&lt;&gt;#REF!</formula>
    </cfRule>
  </conditionalFormatting>
  <conditionalFormatting sqref="AO874">
    <cfRule type="expression" priority="254" dxfId="314">
      <formula>$AO874&lt;&gt;#REF!</formula>
    </cfRule>
  </conditionalFormatting>
  <conditionalFormatting sqref="AO888">
    <cfRule type="expression" priority="383" dxfId="314">
      <formula>$AO888&lt;&gt;$L888</formula>
    </cfRule>
  </conditionalFormatting>
  <conditionalFormatting sqref="AS417">
    <cfRule type="cellIs" priority="368" operator="greaterThan" dxfId="8">
      <formula>1</formula>
    </cfRule>
  </conditionalFormatting>
  <conditionalFormatting sqref="AS423">
    <cfRule type="cellIs" priority="341" operator="greaterThan" dxfId="8">
      <formula>1</formula>
    </cfRule>
  </conditionalFormatting>
  <conditionalFormatting sqref="AS429">
    <cfRule type="cellIs" priority="339" operator="greaterThan" dxfId="8">
      <formula>1</formula>
    </cfRule>
  </conditionalFormatting>
  <conditionalFormatting sqref="AS435">
    <cfRule type="cellIs" priority="337" operator="greaterThan" dxfId="8">
      <formula>1</formula>
    </cfRule>
  </conditionalFormatting>
  <conditionalFormatting sqref="AS441">
    <cfRule type="cellIs" priority="335" operator="greaterThan" dxfId="8">
      <formula>1</formula>
    </cfRule>
  </conditionalFormatting>
  <conditionalFormatting sqref="AS447">
    <cfRule type="cellIs" priority="333" operator="greaterThan" dxfId="8">
      <formula>1</formula>
    </cfRule>
  </conditionalFormatting>
  <conditionalFormatting sqref="AS453">
    <cfRule type="cellIs" priority="331" operator="greaterThan" dxfId="8">
      <formula>1</formula>
    </cfRule>
  </conditionalFormatting>
  <conditionalFormatting sqref="AS459">
    <cfRule type="cellIs" priority="329" operator="greaterThan" dxfId="8">
      <formula>1</formula>
    </cfRule>
  </conditionalFormatting>
  <conditionalFormatting sqref="AS465">
    <cfRule type="cellIs" priority="327" operator="greaterThan" dxfId="8">
      <formula>1</formula>
    </cfRule>
  </conditionalFormatting>
  <conditionalFormatting sqref="AS471">
    <cfRule type="cellIs" priority="325" operator="greaterThan" dxfId="8">
      <formula>1</formula>
    </cfRule>
  </conditionalFormatting>
  <conditionalFormatting sqref="AS477">
    <cfRule type="cellIs" priority="323" operator="greaterThan" dxfId="8">
      <formula>1</formula>
    </cfRule>
  </conditionalFormatting>
  <conditionalFormatting sqref="AS483">
    <cfRule type="cellIs" priority="321" operator="greaterThan" dxfId="8">
      <formula>1</formula>
    </cfRule>
  </conditionalFormatting>
  <conditionalFormatting sqref="AS489">
    <cfRule type="cellIs" priority="319" operator="greaterThan" dxfId="8">
      <formula>1</formula>
    </cfRule>
  </conditionalFormatting>
  <conditionalFormatting sqref="AS495">
    <cfRule type="cellIs" priority="317" operator="greaterThan" dxfId="8">
      <formula>1</formula>
    </cfRule>
  </conditionalFormatting>
  <conditionalFormatting sqref="AS501">
    <cfRule type="cellIs" priority="315" operator="greaterThan" dxfId="8">
      <formula>1</formula>
    </cfRule>
  </conditionalFormatting>
  <conditionalFormatting sqref="AS507">
    <cfRule type="cellIs" priority="313" operator="greaterThan" dxfId="8">
      <formula>1</formula>
    </cfRule>
  </conditionalFormatting>
  <conditionalFormatting sqref="AS513">
    <cfRule type="cellIs" priority="311" operator="greaterThan" dxfId="8">
      <formula>1</formula>
    </cfRule>
  </conditionalFormatting>
  <conditionalFormatting sqref="AS519">
    <cfRule type="cellIs" priority="309" operator="greaterThan" dxfId="8">
      <formula>1</formula>
    </cfRule>
  </conditionalFormatting>
  <conditionalFormatting sqref="AS525">
    <cfRule type="cellIs" priority="307" operator="greaterThan" dxfId="8">
      <formula>1</formula>
    </cfRule>
  </conditionalFormatting>
  <conditionalFormatting sqref="AS531">
    <cfRule type="cellIs" priority="305" operator="greaterThan" dxfId="8">
      <formula>1</formula>
    </cfRule>
  </conditionalFormatting>
  <conditionalFormatting sqref="AS537">
    <cfRule type="cellIs" priority="303" operator="greaterThan" dxfId="8">
      <formula>1</formula>
    </cfRule>
  </conditionalFormatting>
  <conditionalFormatting sqref="AS543">
    <cfRule type="cellIs" priority="301" operator="greaterThan" dxfId="8">
      <formula>1</formula>
    </cfRule>
  </conditionalFormatting>
  <conditionalFormatting sqref="AS549">
    <cfRule type="cellIs" priority="299" operator="greaterThan" dxfId="8">
      <formula>1</formula>
    </cfRule>
  </conditionalFormatting>
  <conditionalFormatting sqref="AS555">
    <cfRule type="cellIs" priority="297" operator="greaterThan" dxfId="8">
      <formula>1</formula>
    </cfRule>
  </conditionalFormatting>
  <conditionalFormatting sqref="AS561">
    <cfRule type="cellIs" priority="295" operator="greaterThan" dxfId="8">
      <formula>1</formula>
    </cfRule>
  </conditionalFormatting>
  <conditionalFormatting sqref="AS567">
    <cfRule type="cellIs" priority="293" operator="greaterThan" dxfId="8">
      <formula>1</formula>
    </cfRule>
  </conditionalFormatting>
  <conditionalFormatting sqref="AS573">
    <cfRule type="cellIs" priority="288" operator="greaterThan" dxfId="8">
      <formula>1</formula>
    </cfRule>
  </conditionalFormatting>
  <conditionalFormatting sqref="AS579">
    <cfRule type="cellIs" priority="290" operator="greaterThan" dxfId="8">
      <formula>1</formula>
    </cfRule>
  </conditionalFormatting>
  <conditionalFormatting sqref="AS585">
    <cfRule type="cellIs" priority="287" operator="greaterThan" dxfId="8">
      <formula>1</formula>
    </cfRule>
  </conditionalFormatting>
  <conditionalFormatting sqref="AS591">
    <cfRule type="cellIs" priority="285" operator="greaterThan" dxfId="8">
      <formula>1</formula>
    </cfRule>
  </conditionalFormatting>
  <conditionalFormatting sqref="AS597 AS603">
    <cfRule type="cellIs" priority="283" operator="greaterThan" dxfId="8">
      <formula>1</formula>
    </cfRule>
  </conditionalFormatting>
  <conditionalFormatting sqref="AS609 AS615 AS621 AS627">
    <cfRule type="cellIs" priority="281" operator="greaterThan" dxfId="8">
      <formula>1</formula>
    </cfRule>
  </conditionalFormatting>
  <conditionalFormatting sqref="AS780:AS787">
    <cfRule type="cellIs" priority="374" operator="greaterThan" dxfId="8">
      <formula>1</formula>
    </cfRule>
  </conditionalFormatting>
  <conditionalFormatting sqref="AS821:AS856">
    <cfRule type="cellIs" priority="263" operator="greaterThan" dxfId="8">
      <formula>1</formula>
    </cfRule>
  </conditionalFormatting>
  <conditionalFormatting sqref="AT417">
    <cfRule type="cellIs" priority="367" operator="greaterThan" dxfId="121">
      <formula>1</formula>
    </cfRule>
  </conditionalFormatting>
  <conditionalFormatting sqref="AT423">
    <cfRule type="cellIs" priority="340" operator="greaterThan" dxfId="121">
      <formula>1</formula>
    </cfRule>
  </conditionalFormatting>
  <conditionalFormatting sqref="AT429">
    <cfRule type="cellIs" priority="338" operator="greaterThan" dxfId="121">
      <formula>1</formula>
    </cfRule>
  </conditionalFormatting>
  <conditionalFormatting sqref="AT435">
    <cfRule type="cellIs" priority="336" operator="greaterThan" dxfId="121">
      <formula>1</formula>
    </cfRule>
  </conditionalFormatting>
  <conditionalFormatting sqref="AT441">
    <cfRule type="cellIs" priority="334" operator="greaterThan" dxfId="121">
      <formula>1</formula>
    </cfRule>
  </conditionalFormatting>
  <conditionalFormatting sqref="AT447">
    <cfRule type="cellIs" priority="332" operator="greaterThan" dxfId="121">
      <formula>1</formula>
    </cfRule>
  </conditionalFormatting>
  <conditionalFormatting sqref="AT453">
    <cfRule type="cellIs" priority="330" operator="greaterThan" dxfId="121">
      <formula>1</formula>
    </cfRule>
  </conditionalFormatting>
  <conditionalFormatting sqref="AT459">
    <cfRule type="cellIs" priority="328" operator="greaterThan" dxfId="121">
      <formula>1</formula>
    </cfRule>
  </conditionalFormatting>
  <conditionalFormatting sqref="AT465">
    <cfRule type="cellIs" priority="326" operator="greaterThan" dxfId="121">
      <formula>1</formula>
    </cfRule>
  </conditionalFormatting>
  <conditionalFormatting sqref="AT471">
    <cfRule type="cellIs" priority="324" operator="greaterThan" dxfId="121">
      <formula>1</formula>
    </cfRule>
  </conditionalFormatting>
  <conditionalFormatting sqref="AT477">
    <cfRule type="cellIs" priority="322" operator="greaterThan" dxfId="121">
      <formula>1</formula>
    </cfRule>
  </conditionalFormatting>
  <conditionalFormatting sqref="AT483">
    <cfRule type="cellIs" priority="320" operator="greaterThan" dxfId="121">
      <formula>1</formula>
    </cfRule>
  </conditionalFormatting>
  <conditionalFormatting sqref="AT489">
    <cfRule type="cellIs" priority="318" operator="greaterThan" dxfId="121">
      <formula>1</formula>
    </cfRule>
  </conditionalFormatting>
  <conditionalFormatting sqref="AT495">
    <cfRule type="cellIs" priority="316" operator="greaterThan" dxfId="121">
      <formula>1</formula>
    </cfRule>
  </conditionalFormatting>
  <conditionalFormatting sqref="AT501">
    <cfRule type="cellIs" priority="314" operator="greaterThan" dxfId="121">
      <formula>1</formula>
    </cfRule>
  </conditionalFormatting>
  <conditionalFormatting sqref="AT507">
    <cfRule type="cellIs" priority="312" operator="greaterThan" dxfId="121">
      <formula>1</formula>
    </cfRule>
  </conditionalFormatting>
  <conditionalFormatting sqref="AT513">
    <cfRule type="cellIs" priority="310" operator="greaterThan" dxfId="121">
      <formula>1</formula>
    </cfRule>
  </conditionalFormatting>
  <conditionalFormatting sqref="AT519">
    <cfRule type="cellIs" priority="308" operator="greaterThan" dxfId="121">
      <formula>1</formula>
    </cfRule>
  </conditionalFormatting>
  <conditionalFormatting sqref="AT525">
    <cfRule type="cellIs" priority="306" operator="greaterThan" dxfId="121">
      <formula>1</formula>
    </cfRule>
  </conditionalFormatting>
  <conditionalFormatting sqref="AT531">
    <cfRule type="cellIs" priority="304" operator="greaterThan" dxfId="121">
      <formula>1</formula>
    </cfRule>
  </conditionalFormatting>
  <conditionalFormatting sqref="AT537">
    <cfRule type="cellIs" priority="302" operator="greaterThan" dxfId="121">
      <formula>1</formula>
    </cfRule>
  </conditionalFormatting>
  <conditionalFormatting sqref="AT543">
    <cfRule type="cellIs" priority="300" operator="greaterThan" dxfId="121">
      <formula>1</formula>
    </cfRule>
  </conditionalFormatting>
  <conditionalFormatting sqref="AT549">
    <cfRule type="cellIs" priority="298" operator="greaterThan" dxfId="121">
      <formula>1</formula>
    </cfRule>
  </conditionalFormatting>
  <conditionalFormatting sqref="AT555">
    <cfRule type="cellIs" priority="296" operator="greaterThan" dxfId="121">
      <formula>1</formula>
    </cfRule>
  </conditionalFormatting>
  <conditionalFormatting sqref="AT561">
    <cfRule type="cellIs" priority="294" operator="greaterThan" dxfId="121">
      <formula>1</formula>
    </cfRule>
  </conditionalFormatting>
  <conditionalFormatting sqref="AT567">
    <cfRule type="cellIs" priority="292" operator="greaterThan" dxfId="121">
      <formula>1</formula>
    </cfRule>
  </conditionalFormatting>
  <conditionalFormatting sqref="AT573">
    <cfRule type="cellIs" priority="291" operator="greaterThan" dxfId="121">
      <formula>1</formula>
    </cfRule>
  </conditionalFormatting>
  <conditionalFormatting sqref="AT579">
    <cfRule type="cellIs" priority="289" operator="greaterThan" dxfId="121">
      <formula>1</formula>
    </cfRule>
  </conditionalFormatting>
  <conditionalFormatting sqref="AT585">
    <cfRule type="cellIs" priority="286" operator="greaterThan" dxfId="121">
      <formula>1</formula>
    </cfRule>
  </conditionalFormatting>
  <conditionalFormatting sqref="AT591">
    <cfRule type="cellIs" priority="284" operator="greaterThan" dxfId="121">
      <formula>1</formula>
    </cfRule>
  </conditionalFormatting>
  <conditionalFormatting sqref="AT597 AT603">
    <cfRule type="cellIs" priority="282" operator="greaterThan" dxfId="121">
      <formula>1</formula>
    </cfRule>
  </conditionalFormatting>
  <conditionalFormatting sqref="AT609 AT615 AT621 AT627">
    <cfRule type="cellIs" priority="280" operator="greaterThan" dxfId="121">
      <formula>1</formula>
    </cfRule>
  </conditionalFormatting>
  <conditionalFormatting sqref="AT780:AT787">
    <cfRule type="cellIs" priority="373" operator="greaterThan" dxfId="121">
      <formula>1</formula>
    </cfRule>
  </conditionalFormatting>
  <conditionalFormatting sqref="AT821:AT856">
    <cfRule type="cellIs" priority="262" operator="greaterThan" dxfId="121">
      <formula>1</formula>
    </cfRule>
  </conditionalFormatting>
  <conditionalFormatting sqref="K561:K565">
    <cfRule type="cellIs" priority="246" operator="lessThan" dxfId="0" stopIfTrue="1">
      <formula>0</formula>
    </cfRule>
  </conditionalFormatting>
  <conditionalFormatting sqref="K417:K421">
    <cfRule type="cellIs" priority="245" operator="lessThan" dxfId="0" stopIfTrue="1">
      <formula>0</formula>
    </cfRule>
  </conditionalFormatting>
  <conditionalFormatting sqref="K405:K408">
    <cfRule type="cellIs" priority="244" operator="lessThan" dxfId="0" stopIfTrue="1">
      <formula>0</formula>
    </cfRule>
  </conditionalFormatting>
  <conditionalFormatting sqref="K395:K398">
    <cfRule type="cellIs" priority="243" operator="lessThan" dxfId="0" stopIfTrue="1">
      <formula>0</formula>
    </cfRule>
  </conditionalFormatting>
  <conditionalFormatting sqref="K400:K403">
    <cfRule type="cellIs" priority="242" operator="lessThan" dxfId="0" stopIfTrue="1">
      <formula>0</formula>
    </cfRule>
  </conditionalFormatting>
  <conditionalFormatting sqref="K390:K393">
    <cfRule type="cellIs" priority="241" operator="lessThan" dxfId="0" stopIfTrue="1">
      <formula>0</formula>
    </cfRule>
  </conditionalFormatting>
  <conditionalFormatting sqref="P390:P393">
    <cfRule type="containsText" priority="237" operator="containsText" dxfId="131" text="VENCIDO">
      <formula>NOT(ISERROR(SEARCH("VENCIDO",P390)))</formula>
    </cfRule>
    <cfRule type="containsText" priority="238" operator="containsText" dxfId="130" text="VERDE">
      <formula>NOT(ISERROR(SEARCH("VERDE",P390)))</formula>
    </cfRule>
    <cfRule type="containsText" priority="239" operator="containsText" dxfId="129" stopIfTrue="1" text="AMARILLO">
      <formula>NOT(ISERROR(SEARCH("AMARILLO",P390)))</formula>
    </cfRule>
    <cfRule type="containsText" priority="240" operator="containsText" dxfId="128" text="ROJO">
      <formula>NOT(ISERROR(SEARCH("ROJO",P390)))</formula>
    </cfRule>
  </conditionalFormatting>
  <conditionalFormatting sqref="P395:P398">
    <cfRule type="containsText" priority="233" operator="containsText" dxfId="131" text="VENCIDO">
      <formula>NOT(ISERROR(SEARCH("VENCIDO",P395)))</formula>
    </cfRule>
    <cfRule type="containsText" priority="234" operator="containsText" dxfId="130" text="VERDE">
      <formula>NOT(ISERROR(SEARCH("VERDE",P395)))</formula>
    </cfRule>
    <cfRule type="containsText" priority="235" operator="containsText" dxfId="129" stopIfTrue="1" text="AMARILLO">
      <formula>NOT(ISERROR(SEARCH("AMARILLO",P395)))</formula>
    </cfRule>
    <cfRule type="containsText" priority="236" operator="containsText" dxfId="128" text="ROJO">
      <formula>NOT(ISERROR(SEARCH("ROJO",P395)))</formula>
    </cfRule>
  </conditionalFormatting>
  <conditionalFormatting sqref="P400:P403">
    <cfRule type="containsText" priority="229" operator="containsText" dxfId="131" text="VENCIDO">
      <formula>NOT(ISERROR(SEARCH("VENCIDO",P400)))</formula>
    </cfRule>
    <cfRule type="containsText" priority="230" operator="containsText" dxfId="130" text="VERDE">
      <formula>NOT(ISERROR(SEARCH("VERDE",P400)))</formula>
    </cfRule>
    <cfRule type="containsText" priority="231" operator="containsText" dxfId="129" stopIfTrue="1" text="AMARILLO">
      <formula>NOT(ISERROR(SEARCH("AMARILLO",P400)))</formula>
    </cfRule>
    <cfRule type="containsText" priority="232" operator="containsText" dxfId="128" text="ROJO">
      <formula>NOT(ISERROR(SEARCH("ROJO",P400)))</formula>
    </cfRule>
  </conditionalFormatting>
  <conditionalFormatting sqref="P405:P408">
    <cfRule type="containsText" priority="225" operator="containsText" dxfId="131" text="VENCIDO">
      <formula>NOT(ISERROR(SEARCH("VENCIDO",P405)))</formula>
    </cfRule>
    <cfRule type="containsText" priority="226" operator="containsText" dxfId="130" text="VERDE">
      <formula>NOT(ISERROR(SEARCH("VERDE",P405)))</formula>
    </cfRule>
    <cfRule type="containsText" priority="227" operator="containsText" dxfId="129" stopIfTrue="1" text="AMARILLO">
      <formula>NOT(ISERROR(SEARCH("AMARILLO",P405)))</formula>
    </cfRule>
    <cfRule type="containsText" priority="228" operator="containsText" dxfId="128" text="ROJO">
      <formula>NOT(ISERROR(SEARCH("ROJO",P405)))</formula>
    </cfRule>
  </conditionalFormatting>
  <conditionalFormatting sqref="K640:K644 K646:K650 K652:K656 K658:K662 K664:K668 K670:K674 K676:K680 K682:K686 K688:K692 K694:K698 K700:K704">
    <cfRule type="cellIs" priority="181"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24"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20" operator="containsText" dxfId="131" text="VENCIDO">
      <formula>NOT(ISERROR(SEARCH("VENCIDO",P19)))</formula>
    </cfRule>
    <cfRule type="containsText" priority="221" operator="containsText" dxfId="130" text="VERDE">
      <formula>NOT(ISERROR(SEARCH("VERDE",P19)))</formula>
    </cfRule>
    <cfRule type="containsText" priority="222" operator="containsText" dxfId="129" stopIfTrue="1" text="AMARILLO">
      <formula>NOT(ISERROR(SEARCH("AMARILLO",P19)))</formula>
    </cfRule>
    <cfRule type="containsText" priority="223" operator="containsText" dxfId="128" text="ROJO">
      <formula>NOT(ISERROR(SEARCH("ROJO",P19)))</formula>
    </cfRule>
  </conditionalFormatting>
  <conditionalFormatting sqref="K230:K234 K236:K240 K242:K246 K248:K252 K254:K258 K260:K264 K266:K270 K272:K276 K278:K282 K284:K288 K290:K294 K296:K300">
    <cfRule type="cellIs" priority="219" operator="lessThan" dxfId="0" stopIfTrue="1">
      <formula>0</formula>
    </cfRule>
  </conditionalFormatting>
  <conditionalFormatting sqref="P230:P234 P236:P240 P242:P246 P248:P252 P254:P258 P260:P264 P266:P270 P272:P276 P278:P282 P284:P288 P290:P294 P296:P300">
    <cfRule type="containsText" priority="215" operator="containsText" dxfId="131" text="VENCIDO">
      <formula>NOT(ISERROR(SEARCH("VENCIDO",P230)))</formula>
    </cfRule>
    <cfRule type="containsText" priority="216" operator="containsText" dxfId="130" text="VERDE">
      <formula>NOT(ISERROR(SEARCH("VERDE",P230)))</formula>
    </cfRule>
    <cfRule type="containsText" priority="217" operator="containsText" dxfId="129" stopIfTrue="1" text="AMARILLO">
      <formula>NOT(ISERROR(SEARCH("AMARILLO",P230)))</formula>
    </cfRule>
    <cfRule type="containsText" priority="218" operator="containsText" dxfId="128" text="ROJO">
      <formula>NOT(ISERROR(SEARCH("ROJO",P230)))</formula>
    </cfRule>
  </conditionalFormatting>
  <conditionalFormatting sqref="K316 K323 K330 K337 K344 K351 K358 K365 K372">
    <cfRule type="containsText" priority="214" operator="containsText" dxfId="8" text="Falso">
      <formula>NOT(ISERROR(SEARCH("Falso",K316)))</formula>
    </cfRule>
  </conditionalFormatting>
  <conditionalFormatting sqref="P310:P315 P317:P322 P324:P329 P331:P336 P338:P343 P345:P350 P352:P357 P359:P364 P366:P371">
    <cfRule type="containsText" priority="210" operator="containsText" dxfId="131" text="VENCIDO">
      <formula>NOT(ISERROR(SEARCH("VENCIDO",P310)))</formula>
    </cfRule>
    <cfRule type="containsText" priority="211" operator="containsText" dxfId="130" text="VERDE">
      <formula>NOT(ISERROR(SEARCH("VERDE",P310)))</formula>
    </cfRule>
    <cfRule type="containsText" priority="212" operator="containsText" dxfId="129" stopIfTrue="1" text="AMARILLO">
      <formula>NOT(ISERROR(SEARCH("AMARILLO",P310)))</formula>
    </cfRule>
    <cfRule type="containsText" priority="213" operator="containsText" dxfId="128" text="ROJO">
      <formula>NOT(ISERROR(SEARCH("ROJO",P310)))</formula>
    </cfRule>
  </conditionalFormatting>
  <conditionalFormatting sqref="K310:K315">
    <cfRule type="cellIs" priority="209" operator="lessThan" dxfId="0" stopIfTrue="1">
      <formula>0</formula>
    </cfRule>
  </conditionalFormatting>
  <conditionalFormatting sqref="K317:K322">
    <cfRule type="cellIs" priority="208" operator="lessThan" dxfId="0" stopIfTrue="1">
      <formula>0</formula>
    </cfRule>
  </conditionalFormatting>
  <conditionalFormatting sqref="K324:K329">
    <cfRule type="cellIs" priority="207" operator="lessThan" dxfId="0" stopIfTrue="1">
      <formula>0</formula>
    </cfRule>
  </conditionalFormatting>
  <conditionalFormatting sqref="K331:K336">
    <cfRule type="cellIs" priority="206" operator="lessThan" dxfId="0" stopIfTrue="1">
      <formula>0</formula>
    </cfRule>
  </conditionalFormatting>
  <conditionalFormatting sqref="K338:K343">
    <cfRule type="cellIs" priority="205" operator="lessThan" dxfId="0" stopIfTrue="1">
      <formula>0</formula>
    </cfRule>
  </conditionalFormatting>
  <conditionalFormatting sqref="K345:K350">
    <cfRule type="cellIs" priority="204" operator="lessThan" dxfId="0" stopIfTrue="1">
      <formula>0</formula>
    </cfRule>
  </conditionalFormatting>
  <conditionalFormatting sqref="K352:K357">
    <cfRule type="cellIs" priority="203" operator="lessThan" dxfId="0" stopIfTrue="1">
      <formula>0</formula>
    </cfRule>
  </conditionalFormatting>
  <conditionalFormatting sqref="K359:K364">
    <cfRule type="cellIs" priority="202" operator="lessThan" dxfId="0" stopIfTrue="1">
      <formula>0</formula>
    </cfRule>
  </conditionalFormatting>
  <conditionalFormatting sqref="K366:K371">
    <cfRule type="cellIs" priority="201"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197" operator="containsText" dxfId="131" text="VENCIDO">
      <formula>NOT(ISERROR(SEARCH("VENCIDO",P423)))</formula>
    </cfRule>
    <cfRule type="containsText" priority="198" operator="containsText" dxfId="130" text="VERDE">
      <formula>NOT(ISERROR(SEARCH("VERDE",P423)))</formula>
    </cfRule>
    <cfRule type="containsText" priority="199" operator="containsText" dxfId="129" stopIfTrue="1" text="AMARILLO">
      <formula>NOT(ISERROR(SEARCH("AMARILLO",P423)))</formula>
    </cfRule>
    <cfRule type="containsText" priority="200"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196" operator="lessThan" dxfId="0" stopIfTrue="1">
      <formula>0</formula>
    </cfRule>
  </conditionalFormatting>
  <conditionalFormatting sqref="P567:P571">
    <cfRule type="containsText" priority="192" operator="containsText" dxfId="131" text="VENCIDO">
      <formula>NOT(ISERROR(SEARCH("VENCIDO",P567)))</formula>
    </cfRule>
    <cfRule type="containsText" priority="193" operator="containsText" dxfId="130" text="VERDE">
      <formula>NOT(ISERROR(SEARCH("VERDE",P567)))</formula>
    </cfRule>
    <cfRule type="containsText" priority="194" operator="containsText" dxfId="129" stopIfTrue="1" text="AMARILLO">
      <formula>NOT(ISERROR(SEARCH("AMARILLO",P567)))</formula>
    </cfRule>
    <cfRule type="containsText" priority="195" operator="containsText" dxfId="128" text="ROJO">
      <formula>NOT(ISERROR(SEARCH("ROJO",P567)))</formula>
    </cfRule>
  </conditionalFormatting>
  <conditionalFormatting sqref="K567:K571">
    <cfRule type="cellIs" priority="191" operator="lessThan" dxfId="0" stopIfTrue="1">
      <formula>0</formula>
    </cfRule>
  </conditionalFormatting>
  <conditionalFormatting sqref="P573:P577 P579:P583 P585:P589 P591:P595 P597:P601 P603:P607 P609:P613 P615:P619 P621:P625 P627:P631">
    <cfRule type="containsText" priority="187" operator="containsText" dxfId="131" text="VENCIDO">
      <formula>NOT(ISERROR(SEARCH("VENCIDO",P573)))</formula>
    </cfRule>
    <cfRule type="containsText" priority="188" operator="containsText" dxfId="130" text="VERDE">
      <formula>NOT(ISERROR(SEARCH("VERDE",P573)))</formula>
    </cfRule>
    <cfRule type="containsText" priority="189" operator="containsText" dxfId="129" stopIfTrue="1" text="AMARILLO">
      <formula>NOT(ISERROR(SEARCH("AMARILLO",P573)))</formula>
    </cfRule>
    <cfRule type="containsText" priority="190" operator="containsText" dxfId="128" text="ROJO">
      <formula>NOT(ISERROR(SEARCH("ROJO",P573)))</formula>
    </cfRule>
  </conditionalFormatting>
  <conditionalFormatting sqref="K573:K577 K579:K583 K585:K589 K591:K595 K597:K601 K603:K607 K609:K613 K615:K619 K621:K625 K627:K631">
    <cfRule type="cellIs" priority="186" operator="lessThan" dxfId="0" stopIfTrue="1">
      <formula>0</formula>
    </cfRule>
  </conditionalFormatting>
  <conditionalFormatting sqref="P634:P638">
    <cfRule type="containsText" priority="182" operator="containsText" dxfId="131" text="VENCIDO">
      <formula>NOT(ISERROR(SEARCH("VENCIDO",P634)))</formula>
    </cfRule>
    <cfRule type="containsText" priority="183" operator="containsText" dxfId="130" text="VERDE">
      <formula>NOT(ISERROR(SEARCH("VERDE",P634)))</formula>
    </cfRule>
    <cfRule type="containsText" priority="184" operator="containsText" dxfId="129" stopIfTrue="1" text="AMARILLO">
      <formula>NOT(ISERROR(SEARCH("AMARILLO",P634)))</formula>
    </cfRule>
    <cfRule type="containsText" priority="185" operator="containsText" dxfId="128" text="ROJO">
      <formula>NOT(ISERROR(SEARCH("ROJO",P634)))</formula>
    </cfRule>
  </conditionalFormatting>
  <conditionalFormatting sqref="P640:P644 P646:P650 P652:P656 P658:P662 P664:P668 P670:P674 P676:P680 P682:P686 P688:P692 P694:P698 P700:P704">
    <cfRule type="containsText" priority="177" operator="containsText" dxfId="131" text="VENCIDO">
      <formula>NOT(ISERROR(SEARCH("VENCIDO",P640)))</formula>
    </cfRule>
    <cfRule type="containsText" priority="178" operator="containsText" dxfId="130" text="VERDE">
      <formula>NOT(ISERROR(SEARCH("VERDE",P640)))</formula>
    </cfRule>
    <cfRule type="containsText" priority="179" operator="containsText" dxfId="129" stopIfTrue="1" text="AMARILLO">
      <formula>NOT(ISERROR(SEARCH("AMARILLO",P640)))</formula>
    </cfRule>
    <cfRule type="containsText" priority="180" operator="containsText" dxfId="128" text="ROJO">
      <formula>NOT(ISERROR(SEARCH("ROJO",P640)))</formula>
    </cfRule>
  </conditionalFormatting>
  <conditionalFormatting sqref="P714:P719">
    <cfRule type="containsText" priority="173" operator="containsText" dxfId="131" text="VENCIDO">
      <formula>NOT(ISERROR(SEARCH("VENCIDO",P714)))</formula>
    </cfRule>
    <cfRule type="containsText" priority="174" operator="containsText" dxfId="130" text="VERDE">
      <formula>NOT(ISERROR(SEARCH("VERDE",P714)))</formula>
    </cfRule>
    <cfRule type="containsText" priority="175" operator="containsText" dxfId="129" stopIfTrue="1" text="AMARILLO">
      <formula>NOT(ISERROR(SEARCH("AMARILLO",P714)))</formula>
    </cfRule>
    <cfRule type="containsText" priority="176" operator="containsText" dxfId="128" text="ROJO">
      <formula>NOT(ISERROR(SEARCH("ROJO",P714)))</formula>
    </cfRule>
  </conditionalFormatting>
  <conditionalFormatting sqref="P721:P726">
    <cfRule type="containsText" priority="169" operator="containsText" dxfId="131" text="VENCIDO">
      <formula>NOT(ISERROR(SEARCH("VENCIDO",P721)))</formula>
    </cfRule>
    <cfRule type="containsText" priority="170" operator="containsText" dxfId="130" text="VERDE">
      <formula>NOT(ISERROR(SEARCH("VERDE",P721)))</formula>
    </cfRule>
    <cfRule type="containsText" priority="171" operator="containsText" dxfId="129" stopIfTrue="1" text="AMARILLO">
      <formula>NOT(ISERROR(SEARCH("AMARILLO",P721)))</formula>
    </cfRule>
    <cfRule type="containsText" priority="172" operator="containsText" dxfId="128" text="ROJO">
      <formula>NOT(ISERROR(SEARCH("ROJO",P721)))</formula>
    </cfRule>
  </conditionalFormatting>
  <conditionalFormatting sqref="P728:P733">
    <cfRule type="containsText" priority="165" operator="containsText" dxfId="131" text="VENCIDO">
      <formula>NOT(ISERROR(SEARCH("VENCIDO",P728)))</formula>
    </cfRule>
    <cfRule type="containsText" priority="166" operator="containsText" dxfId="130" text="VERDE">
      <formula>NOT(ISERROR(SEARCH("VERDE",P728)))</formula>
    </cfRule>
    <cfRule type="containsText" priority="167" operator="containsText" dxfId="129" stopIfTrue="1" text="AMARILLO">
      <formula>NOT(ISERROR(SEARCH("AMARILLO",P728)))</formula>
    </cfRule>
    <cfRule type="containsText" priority="168" operator="containsText" dxfId="128" text="ROJO">
      <formula>NOT(ISERROR(SEARCH("ROJO",P728)))</formula>
    </cfRule>
  </conditionalFormatting>
  <conditionalFormatting sqref="P735:P740">
    <cfRule type="containsText" priority="161" operator="containsText" dxfId="131" text="VENCIDO">
      <formula>NOT(ISERROR(SEARCH("VENCIDO",P735)))</formula>
    </cfRule>
    <cfRule type="containsText" priority="162" operator="containsText" dxfId="130" text="VERDE">
      <formula>NOT(ISERROR(SEARCH("VERDE",P735)))</formula>
    </cfRule>
    <cfRule type="containsText" priority="163" operator="containsText" dxfId="129" stopIfTrue="1" text="AMARILLO">
      <formula>NOT(ISERROR(SEARCH("AMARILLO",P735)))</formula>
    </cfRule>
    <cfRule type="containsText" priority="164" operator="containsText" dxfId="128" text="ROJO">
      <formula>NOT(ISERROR(SEARCH("ROJO",P735)))</formula>
    </cfRule>
  </conditionalFormatting>
  <conditionalFormatting sqref="P742:P747">
    <cfRule type="containsText" priority="157" operator="containsText" dxfId="131" text="VENCIDO">
      <formula>NOT(ISERROR(SEARCH("VENCIDO",P742)))</formula>
    </cfRule>
    <cfRule type="containsText" priority="158" operator="containsText" dxfId="130" text="VERDE">
      <formula>NOT(ISERROR(SEARCH("VERDE",P742)))</formula>
    </cfRule>
    <cfRule type="containsText" priority="159" operator="containsText" dxfId="129" stopIfTrue="1" text="AMARILLO">
      <formula>NOT(ISERROR(SEARCH("AMARILLO",P742)))</formula>
    </cfRule>
    <cfRule type="containsText" priority="160" operator="containsText" dxfId="128" text="ROJO">
      <formula>NOT(ISERROR(SEARCH("ROJO",P742)))</formula>
    </cfRule>
  </conditionalFormatting>
  <conditionalFormatting sqref="P749:P754">
    <cfRule type="containsText" priority="153" operator="containsText" dxfId="131" text="VENCIDO">
      <formula>NOT(ISERROR(SEARCH("VENCIDO",P749)))</formula>
    </cfRule>
    <cfRule type="containsText" priority="154" operator="containsText" dxfId="130" text="VERDE">
      <formula>NOT(ISERROR(SEARCH("VERDE",P749)))</formula>
    </cfRule>
    <cfRule type="containsText" priority="155" operator="containsText" dxfId="129" stopIfTrue="1" text="AMARILLO">
      <formula>NOT(ISERROR(SEARCH("AMARILLO",P749)))</formula>
    </cfRule>
    <cfRule type="containsText" priority="156" operator="containsText" dxfId="128" text="ROJO">
      <formula>NOT(ISERROR(SEARCH("ROJO",P749)))</formula>
    </cfRule>
  </conditionalFormatting>
  <conditionalFormatting sqref="P756:P761">
    <cfRule type="containsText" priority="149" operator="containsText" dxfId="131" text="VENCIDO">
      <formula>NOT(ISERROR(SEARCH("VENCIDO",P756)))</formula>
    </cfRule>
    <cfRule type="containsText" priority="150" operator="containsText" dxfId="130" text="VERDE">
      <formula>NOT(ISERROR(SEARCH("VERDE",P756)))</formula>
    </cfRule>
    <cfRule type="containsText" priority="151" operator="containsText" dxfId="129" stopIfTrue="1" text="AMARILLO">
      <formula>NOT(ISERROR(SEARCH("AMARILLO",P756)))</formula>
    </cfRule>
    <cfRule type="containsText" priority="152" operator="containsText" dxfId="128" text="ROJO">
      <formula>NOT(ISERROR(SEARCH("ROJO",P756)))</formula>
    </cfRule>
  </conditionalFormatting>
  <conditionalFormatting sqref="P763:P768">
    <cfRule type="containsText" priority="145" operator="containsText" dxfId="131" text="VENCIDO">
      <formula>NOT(ISERROR(SEARCH("VENCIDO",P763)))</formula>
    </cfRule>
    <cfRule type="containsText" priority="146" operator="containsText" dxfId="130" text="VERDE">
      <formula>NOT(ISERROR(SEARCH("VERDE",P763)))</formula>
    </cfRule>
    <cfRule type="containsText" priority="147" operator="containsText" dxfId="129" stopIfTrue="1" text="AMARILLO">
      <formula>NOT(ISERROR(SEARCH("AMARILLO",P763)))</formula>
    </cfRule>
    <cfRule type="containsText" priority="148" operator="containsText" dxfId="128" text="ROJO">
      <formula>NOT(ISERROR(SEARCH("ROJO",P763)))</formula>
    </cfRule>
  </conditionalFormatting>
  <conditionalFormatting sqref="P770:P775">
    <cfRule type="containsText" priority="141" operator="containsText" dxfId="131" text="VENCIDO">
      <formula>NOT(ISERROR(SEARCH("VENCIDO",P770)))</formula>
    </cfRule>
    <cfRule type="containsText" priority="142" operator="containsText" dxfId="130" text="VERDE">
      <formula>NOT(ISERROR(SEARCH("VERDE",P770)))</formula>
    </cfRule>
    <cfRule type="containsText" priority="143" operator="containsText" dxfId="129" stopIfTrue="1" text="AMARILLO">
      <formula>NOT(ISERROR(SEARCH("AMARILLO",P770)))</formula>
    </cfRule>
    <cfRule type="containsText" priority="144" operator="containsText" dxfId="128" text="ROJO">
      <formula>NOT(ISERROR(SEARCH("ROJO",P770)))</formula>
    </cfRule>
  </conditionalFormatting>
  <conditionalFormatting sqref="P789:P792">
    <cfRule type="containsText" priority="137" operator="containsText" dxfId="131" text="VENCIDO">
      <formula>NOT(ISERROR(SEARCH("VENCIDO",P789)))</formula>
    </cfRule>
    <cfRule type="containsText" priority="138" operator="containsText" dxfId="130" text="VERDE">
      <formula>NOT(ISERROR(SEARCH("VERDE",P789)))</formula>
    </cfRule>
    <cfRule type="containsText" priority="139" operator="containsText" dxfId="129" stopIfTrue="1" text="AMARILLO">
      <formula>NOT(ISERROR(SEARCH("AMARILLO",P789)))</formula>
    </cfRule>
    <cfRule type="containsText" priority="140" operator="containsText" dxfId="128" text="ROJO">
      <formula>NOT(ISERROR(SEARCH("ROJO",P789)))</formula>
    </cfRule>
  </conditionalFormatting>
  <conditionalFormatting sqref="P794:P797">
    <cfRule type="containsText" priority="133" operator="containsText" dxfId="131" text="VENCIDO">
      <formula>NOT(ISERROR(SEARCH("VENCIDO",P794)))</formula>
    </cfRule>
    <cfRule type="containsText" priority="134" operator="containsText" dxfId="130" text="VERDE">
      <formula>NOT(ISERROR(SEARCH("VERDE",P794)))</formula>
    </cfRule>
    <cfRule type="containsText" priority="135" operator="containsText" dxfId="129" stopIfTrue="1" text="AMARILLO">
      <formula>NOT(ISERROR(SEARCH("AMARILLO",P794)))</formula>
    </cfRule>
    <cfRule type="containsText" priority="136" operator="containsText" dxfId="128" text="ROJO">
      <formula>NOT(ISERROR(SEARCH("ROJO",P794)))</formula>
    </cfRule>
  </conditionalFormatting>
  <conditionalFormatting sqref="P799:P802 P804:P807 P809:P812">
    <cfRule type="containsText" priority="129" operator="containsText" dxfId="131" text="VENCIDO">
      <formula>NOT(ISERROR(SEARCH("VENCIDO",P799)))</formula>
    </cfRule>
    <cfRule type="containsText" priority="130" operator="containsText" dxfId="130" text="VERDE">
      <formula>NOT(ISERROR(SEARCH("VERDE",P799)))</formula>
    </cfRule>
    <cfRule type="containsText" priority="131" operator="containsText" dxfId="129" stopIfTrue="1" text="AMARILLO">
      <formula>NOT(ISERROR(SEARCH("AMARILLO",P799)))</formula>
    </cfRule>
    <cfRule type="containsText" priority="132" operator="containsText" dxfId="128" text="ROJO">
      <formula>NOT(ISERROR(SEARCH("ROJO",P799)))</formula>
    </cfRule>
  </conditionalFormatting>
  <conditionalFormatting sqref="K789:K792">
    <cfRule type="cellIs" priority="128" operator="lessThan" dxfId="0" stopIfTrue="1">
      <formula>0</formula>
    </cfRule>
  </conditionalFormatting>
  <conditionalFormatting sqref="K794:K797">
    <cfRule type="cellIs" priority="127" operator="lessThan" dxfId="0" stopIfTrue="1">
      <formula>0</formula>
    </cfRule>
  </conditionalFormatting>
  <conditionalFormatting sqref="K799:K802">
    <cfRule type="cellIs" priority="126" operator="lessThan" dxfId="0" stopIfTrue="1">
      <formula>0</formula>
    </cfRule>
  </conditionalFormatting>
  <conditionalFormatting sqref="K804:K807">
    <cfRule type="cellIs" priority="125" operator="lessThan" dxfId="0" stopIfTrue="1">
      <formula>0</formula>
    </cfRule>
  </conditionalFormatting>
  <conditionalFormatting sqref="K809:K812">
    <cfRule type="cellIs" priority="124" operator="lessThan" dxfId="0" stopIfTrue="1">
      <formula>0</formula>
    </cfRule>
  </conditionalFormatting>
  <conditionalFormatting sqref="AT789">
    <cfRule type="cellIs" priority="123" operator="greaterThan" dxfId="121">
      <formula>1</formula>
    </cfRule>
  </conditionalFormatting>
  <conditionalFormatting sqref="AT794 AT799 AT804 AT809">
    <cfRule type="cellIs" priority="122" operator="greaterThan" dxfId="121">
      <formula>1</formula>
    </cfRule>
  </conditionalFormatting>
  <conditionalFormatting sqref="E895:G897">
    <cfRule type="cellIs" priority="121" operator="lessThan" dxfId="0" stopIfTrue="1">
      <formula>0</formula>
    </cfRule>
  </conditionalFormatting>
  <conditionalFormatting sqref="K895:K897 M895:N897">
    <cfRule type="cellIs" priority="120" operator="lessThan" dxfId="0" stopIfTrue="1">
      <formula>0</formula>
    </cfRule>
  </conditionalFormatting>
  <conditionalFormatting sqref="K301">
    <cfRule type="containsText" priority="119" operator="containsText" dxfId="8" text="Falso">
      <formula>NOT(ISERROR(SEARCH("Falso",K301)))</formula>
    </cfRule>
  </conditionalFormatting>
  <conditionalFormatting sqref="K295">
    <cfRule type="containsText" priority="118" operator="containsText" dxfId="8" text="Falso">
      <formula>NOT(ISERROR(SEARCH("Falso",K295)))</formula>
    </cfRule>
  </conditionalFormatting>
  <conditionalFormatting sqref="K289">
    <cfRule type="containsText" priority="117" operator="containsText" dxfId="8" text="Falso">
      <formula>NOT(ISERROR(SEARCH("Falso",K289)))</formula>
    </cfRule>
  </conditionalFormatting>
  <conditionalFormatting sqref="K283">
    <cfRule type="containsText" priority="116" operator="containsText" dxfId="8" text="Falso">
      <formula>NOT(ISERROR(SEARCH("Falso",K283)))</formula>
    </cfRule>
  </conditionalFormatting>
  <conditionalFormatting sqref="K277">
    <cfRule type="containsText" priority="115" operator="containsText" dxfId="8" text="Falso">
      <formula>NOT(ISERROR(SEARCH("Falso",K277)))</formula>
    </cfRule>
  </conditionalFormatting>
  <conditionalFormatting sqref="K271">
    <cfRule type="containsText" priority="114" operator="containsText" dxfId="8" text="Falso">
      <formula>NOT(ISERROR(SEARCH("Falso",K271)))</formula>
    </cfRule>
  </conditionalFormatting>
  <conditionalFormatting sqref="K265">
    <cfRule type="containsText" priority="113" operator="containsText" dxfId="8" text="Falso">
      <formula>NOT(ISERROR(SEARCH("Falso",K265)))</formula>
    </cfRule>
  </conditionalFormatting>
  <conditionalFormatting sqref="K259">
    <cfRule type="containsText" priority="112" operator="containsText" dxfId="8" text="Falso">
      <formula>NOT(ISERROR(SEARCH("Falso",K259)))</formula>
    </cfRule>
  </conditionalFormatting>
  <conditionalFormatting sqref="K253">
    <cfRule type="containsText" priority="111" operator="containsText" dxfId="8" text="Falso">
      <formula>NOT(ISERROR(SEARCH("Falso",K253)))</formula>
    </cfRule>
  </conditionalFormatting>
  <conditionalFormatting sqref="K247">
    <cfRule type="containsText" priority="110" operator="containsText" dxfId="8" text="Falso">
      <formula>NOT(ISERROR(SEARCH("Falso",K247)))</formula>
    </cfRule>
  </conditionalFormatting>
  <conditionalFormatting sqref="K235">
    <cfRule type="containsText" priority="109" operator="containsText" dxfId="8" text="Falso">
      <formula>NOT(ISERROR(SEARCH("Falso",K235)))</formula>
    </cfRule>
  </conditionalFormatting>
  <conditionalFormatting sqref="K241">
    <cfRule type="containsText" priority="108" operator="containsText" dxfId="8" text="Falso">
      <formula>NOT(ISERROR(SEARCH("Falso",K241)))</formula>
    </cfRule>
  </conditionalFormatting>
  <conditionalFormatting sqref="K228">
    <cfRule type="containsText" priority="107" operator="containsText" dxfId="8" text="Falso">
      <formula>NOT(ISERROR(SEARCH("Falso",K228)))</formula>
    </cfRule>
  </conditionalFormatting>
  <conditionalFormatting sqref="K222">
    <cfRule type="containsText" priority="106" operator="containsText" dxfId="8" text="Falso">
      <formula>NOT(ISERROR(SEARCH("Falso",K222)))</formula>
    </cfRule>
  </conditionalFormatting>
  <conditionalFormatting sqref="K216">
    <cfRule type="containsText" priority="105" operator="containsText" dxfId="8" text="Falso">
      <formula>NOT(ISERROR(SEARCH("Falso",K216)))</formula>
    </cfRule>
  </conditionalFormatting>
  <conditionalFormatting sqref="K210">
    <cfRule type="containsText" priority="104" operator="containsText" dxfId="8" text="Falso">
      <formula>NOT(ISERROR(SEARCH("Falso",K210)))</formula>
    </cfRule>
  </conditionalFormatting>
  <conditionalFormatting sqref="K204">
    <cfRule type="containsText" priority="103" operator="containsText" dxfId="8" text="Falso">
      <formula>NOT(ISERROR(SEARCH("Falso",K204)))</formula>
    </cfRule>
  </conditionalFormatting>
  <conditionalFormatting sqref="K198">
    <cfRule type="containsText" priority="102" operator="containsText" dxfId="8" text="Falso">
      <formula>NOT(ISERROR(SEARCH("Falso",K198)))</formula>
    </cfRule>
  </conditionalFormatting>
  <conditionalFormatting sqref="K192">
    <cfRule type="containsText" priority="101" operator="containsText" dxfId="8" text="Falso">
      <formula>NOT(ISERROR(SEARCH("Falso",K192)))</formula>
    </cfRule>
  </conditionalFormatting>
  <conditionalFormatting sqref="K186">
    <cfRule type="containsText" priority="100" operator="containsText" dxfId="8" text="Falso">
      <formula>NOT(ISERROR(SEARCH("Falso",K186)))</formula>
    </cfRule>
  </conditionalFormatting>
  <conditionalFormatting sqref="K180">
    <cfRule type="containsText" priority="99" operator="containsText" dxfId="8" text="Falso">
      <formula>NOT(ISERROR(SEARCH("Falso",K180)))</formula>
    </cfRule>
  </conditionalFormatting>
  <conditionalFormatting sqref="K174">
    <cfRule type="containsText" priority="98" operator="containsText" dxfId="8" text="Falso">
      <formula>NOT(ISERROR(SEARCH("Falso",K174)))</formula>
    </cfRule>
  </conditionalFormatting>
  <conditionalFormatting sqref="K168">
    <cfRule type="containsText" priority="97" operator="containsText" dxfId="8" text="Falso">
      <formula>NOT(ISERROR(SEARCH("Falso",K168)))</formula>
    </cfRule>
  </conditionalFormatting>
  <conditionalFormatting sqref="K162">
    <cfRule type="containsText" priority="96" operator="containsText" dxfId="8" text="Falso">
      <formula>NOT(ISERROR(SEARCH("Falso",K162)))</formula>
    </cfRule>
  </conditionalFormatting>
  <conditionalFormatting sqref="K156">
    <cfRule type="containsText" priority="95" operator="containsText" dxfId="8" text="Falso">
      <formula>NOT(ISERROR(SEARCH("Falso",K156)))</formula>
    </cfRule>
  </conditionalFormatting>
  <conditionalFormatting sqref="K150">
    <cfRule type="containsText" priority="94" operator="containsText" dxfId="8" text="Falso">
      <formula>NOT(ISERROR(SEARCH("Falso",K150)))</formula>
    </cfRule>
  </conditionalFormatting>
  <conditionalFormatting sqref="K144">
    <cfRule type="containsText" priority="93" operator="containsText" dxfId="8" text="Falso">
      <formula>NOT(ISERROR(SEARCH("Falso",K144)))</formula>
    </cfRule>
  </conditionalFormatting>
  <conditionalFormatting sqref="K138">
    <cfRule type="containsText" priority="92" operator="containsText" dxfId="8" text="Falso">
      <formula>NOT(ISERROR(SEARCH("Falso",K138)))</formula>
    </cfRule>
  </conditionalFormatting>
  <conditionalFormatting sqref="K132">
    <cfRule type="containsText" priority="91" operator="containsText" dxfId="8" text="Falso">
      <formula>NOT(ISERROR(SEARCH("Falso",K132)))</formula>
    </cfRule>
  </conditionalFormatting>
  <conditionalFormatting sqref="K126">
    <cfRule type="containsText" priority="90" operator="containsText" dxfId="8" text="Falso">
      <formula>NOT(ISERROR(SEARCH("Falso",K126)))</formula>
    </cfRule>
  </conditionalFormatting>
  <conditionalFormatting sqref="K120">
    <cfRule type="containsText" priority="89" operator="containsText" dxfId="8" text="Falso">
      <formula>NOT(ISERROR(SEARCH("Falso",K120)))</formula>
    </cfRule>
  </conditionalFormatting>
  <conditionalFormatting sqref="K114">
    <cfRule type="containsText" priority="88" operator="containsText" dxfId="8" text="Falso">
      <formula>NOT(ISERROR(SEARCH("Falso",K114)))</formula>
    </cfRule>
  </conditionalFormatting>
  <conditionalFormatting sqref="K108">
    <cfRule type="containsText" priority="87" operator="containsText" dxfId="8" text="Falso">
      <formula>NOT(ISERROR(SEARCH("Falso",K108)))</formula>
    </cfRule>
  </conditionalFormatting>
  <conditionalFormatting sqref="K102">
    <cfRule type="containsText" priority="86" operator="containsText" dxfId="8" text="Falso">
      <formula>NOT(ISERROR(SEARCH("Falso",K102)))</formula>
    </cfRule>
  </conditionalFormatting>
  <conditionalFormatting sqref="K96">
    <cfRule type="containsText" priority="85" operator="containsText" dxfId="8" text="Falso">
      <formula>NOT(ISERROR(SEARCH("Falso",K96)))</formula>
    </cfRule>
  </conditionalFormatting>
  <conditionalFormatting sqref="K90">
    <cfRule type="containsText" priority="84" operator="containsText" dxfId="8" text="Falso">
      <formula>NOT(ISERROR(SEARCH("Falso",K90)))</formula>
    </cfRule>
  </conditionalFormatting>
  <conditionalFormatting sqref="K84">
    <cfRule type="containsText" priority="83" operator="containsText" dxfId="8" text="Falso">
      <formula>NOT(ISERROR(SEARCH("Falso",K84)))</formula>
    </cfRule>
  </conditionalFormatting>
  <conditionalFormatting sqref="K78">
    <cfRule type="containsText" priority="82" operator="containsText" dxfId="8" text="Falso">
      <formula>NOT(ISERROR(SEARCH("Falso",K78)))</formula>
    </cfRule>
  </conditionalFormatting>
  <conditionalFormatting sqref="K72">
    <cfRule type="containsText" priority="81" operator="containsText" dxfId="8" text="Falso">
      <formula>NOT(ISERROR(SEARCH("Falso",K72)))</formula>
    </cfRule>
  </conditionalFormatting>
  <conditionalFormatting sqref="K66">
    <cfRule type="containsText" priority="80" operator="containsText" dxfId="8" text="Falso">
      <formula>NOT(ISERROR(SEARCH("Falso",K66)))</formula>
    </cfRule>
  </conditionalFormatting>
  <conditionalFormatting sqref="K60">
    <cfRule type="containsText" priority="79" operator="containsText" dxfId="8" text="Falso">
      <formula>NOT(ISERROR(SEARCH("Falso",K60)))</formula>
    </cfRule>
  </conditionalFormatting>
  <conditionalFormatting sqref="K54">
    <cfRule type="containsText" priority="78" operator="containsText" dxfId="8" text="Falso">
      <formula>NOT(ISERROR(SEARCH("Falso",K54)))</formula>
    </cfRule>
  </conditionalFormatting>
  <conditionalFormatting sqref="K48">
    <cfRule type="containsText" priority="77" operator="containsText" dxfId="8" text="Falso">
      <formula>NOT(ISERROR(SEARCH("Falso",K48)))</formula>
    </cfRule>
  </conditionalFormatting>
  <conditionalFormatting sqref="K42">
    <cfRule type="containsText" priority="76" operator="containsText" dxfId="8" text="Falso">
      <formula>NOT(ISERROR(SEARCH("Falso",K42)))</formula>
    </cfRule>
  </conditionalFormatting>
  <conditionalFormatting sqref="K36">
    <cfRule type="containsText" priority="75" operator="containsText" dxfId="8" text="Falso">
      <formula>NOT(ISERROR(SEARCH("Falso",K36)))</formula>
    </cfRule>
  </conditionalFormatting>
  <conditionalFormatting sqref="K30">
    <cfRule type="containsText" priority="74" operator="containsText" dxfId="8" text="Falso">
      <formula>NOT(ISERROR(SEARCH("Falso",K30)))</formula>
    </cfRule>
  </conditionalFormatting>
  <conditionalFormatting sqref="K24">
    <cfRule type="containsText" priority="73" operator="containsText" dxfId="8" text="Falso">
      <formula>NOT(ISERROR(SEARCH("Falso",K24)))</formula>
    </cfRule>
  </conditionalFormatting>
  <conditionalFormatting sqref="K18">
    <cfRule type="containsText" priority="72" operator="containsText" dxfId="8" text="Falso">
      <formula>NOT(ISERROR(SEARCH("Falso",K18)))</formula>
    </cfRule>
  </conditionalFormatting>
  <conditionalFormatting sqref="K422">
    <cfRule type="containsText" priority="71" operator="containsText" dxfId="8" text="Falso">
      <formula>NOT(ISERROR(SEARCH("Falso",K422)))</formula>
    </cfRule>
  </conditionalFormatting>
  <conditionalFormatting sqref="K428">
    <cfRule type="containsText" priority="70" operator="containsText" dxfId="8" text="Falso">
      <formula>NOT(ISERROR(SEARCH("Falso",K428)))</formula>
    </cfRule>
  </conditionalFormatting>
  <conditionalFormatting sqref="K434">
    <cfRule type="containsText" priority="69" operator="containsText" dxfId="8" text="Falso">
      <formula>NOT(ISERROR(SEARCH("Falso",K434)))</formula>
    </cfRule>
  </conditionalFormatting>
  <conditionalFormatting sqref="K440">
    <cfRule type="containsText" priority="68" operator="containsText" dxfId="8" text="Falso">
      <formula>NOT(ISERROR(SEARCH("Falso",K440)))</formula>
    </cfRule>
  </conditionalFormatting>
  <conditionalFormatting sqref="K446">
    <cfRule type="containsText" priority="67" operator="containsText" dxfId="8" text="Falso">
      <formula>NOT(ISERROR(SEARCH("Falso",K446)))</formula>
    </cfRule>
  </conditionalFormatting>
  <conditionalFormatting sqref="K452">
    <cfRule type="containsText" priority="66" operator="containsText" dxfId="8" text="Falso">
      <formula>NOT(ISERROR(SEARCH("Falso",K452)))</formula>
    </cfRule>
  </conditionalFormatting>
  <conditionalFormatting sqref="K458">
    <cfRule type="containsText" priority="65" operator="containsText" dxfId="8" text="Falso">
      <formula>NOT(ISERROR(SEARCH("Falso",K458)))</formula>
    </cfRule>
  </conditionalFormatting>
  <conditionalFormatting sqref="K464">
    <cfRule type="containsText" priority="64" operator="containsText" dxfId="8" text="Falso">
      <formula>NOT(ISERROR(SEARCH("Falso",K464)))</formula>
    </cfRule>
  </conditionalFormatting>
  <conditionalFormatting sqref="K470">
    <cfRule type="containsText" priority="63" operator="containsText" dxfId="8" text="Falso">
      <formula>NOT(ISERROR(SEARCH("Falso",K470)))</formula>
    </cfRule>
  </conditionalFormatting>
  <conditionalFormatting sqref="K476">
    <cfRule type="containsText" priority="62" operator="containsText" dxfId="8" text="Falso">
      <formula>NOT(ISERROR(SEARCH("Falso",K476)))</formula>
    </cfRule>
  </conditionalFormatting>
  <conditionalFormatting sqref="K482">
    <cfRule type="containsText" priority="61" operator="containsText" dxfId="8" text="Falso">
      <formula>NOT(ISERROR(SEARCH("Falso",K482)))</formula>
    </cfRule>
  </conditionalFormatting>
  <conditionalFormatting sqref="K488">
    <cfRule type="containsText" priority="60" operator="containsText" dxfId="8" text="Falso">
      <formula>NOT(ISERROR(SEARCH("Falso",K488)))</formula>
    </cfRule>
  </conditionalFormatting>
  <conditionalFormatting sqref="K494">
    <cfRule type="containsText" priority="59" operator="containsText" dxfId="8" text="Falso">
      <formula>NOT(ISERROR(SEARCH("Falso",K494)))</formula>
    </cfRule>
  </conditionalFormatting>
  <conditionalFormatting sqref="K500">
    <cfRule type="containsText" priority="58" operator="containsText" dxfId="8" text="Falso">
      <formula>NOT(ISERROR(SEARCH("Falso",K500)))</formula>
    </cfRule>
  </conditionalFormatting>
  <conditionalFormatting sqref="K506">
    <cfRule type="containsText" priority="57" operator="containsText" dxfId="8" text="Falso">
      <formula>NOT(ISERROR(SEARCH("Falso",K506)))</formula>
    </cfRule>
  </conditionalFormatting>
  <conditionalFormatting sqref="K512">
    <cfRule type="containsText" priority="56" operator="containsText" dxfId="8" text="Falso">
      <formula>NOT(ISERROR(SEARCH("Falso",K512)))</formula>
    </cfRule>
  </conditionalFormatting>
  <conditionalFormatting sqref="K518">
    <cfRule type="containsText" priority="55" operator="containsText" dxfId="8" text="Falso">
      <formula>NOT(ISERROR(SEARCH("Falso",K518)))</formula>
    </cfRule>
  </conditionalFormatting>
  <conditionalFormatting sqref="K524">
    <cfRule type="containsText" priority="54" operator="containsText" dxfId="8" text="Falso">
      <formula>NOT(ISERROR(SEARCH("Falso",K524)))</formula>
    </cfRule>
  </conditionalFormatting>
  <conditionalFormatting sqref="K530">
    <cfRule type="containsText" priority="53" operator="containsText" dxfId="8" text="Falso">
      <formula>NOT(ISERROR(SEARCH("Falso",K530)))</formula>
    </cfRule>
  </conditionalFormatting>
  <conditionalFormatting sqref="K536">
    <cfRule type="containsText" priority="52" operator="containsText" dxfId="8" text="Falso">
      <formula>NOT(ISERROR(SEARCH("Falso",K536)))</formula>
    </cfRule>
  </conditionalFormatting>
  <conditionalFormatting sqref="K542">
    <cfRule type="containsText" priority="51" operator="containsText" dxfId="8" text="Falso">
      <formula>NOT(ISERROR(SEARCH("Falso",K542)))</formula>
    </cfRule>
  </conditionalFormatting>
  <conditionalFormatting sqref="K548">
    <cfRule type="containsText" priority="50" operator="containsText" dxfId="8" text="Falso">
      <formula>NOT(ISERROR(SEARCH("Falso",K548)))</formula>
    </cfRule>
  </conditionalFormatting>
  <conditionalFormatting sqref="K554">
    <cfRule type="containsText" priority="49" operator="containsText" dxfId="8" text="Falso">
      <formula>NOT(ISERROR(SEARCH("Falso",K554)))</formula>
    </cfRule>
  </conditionalFormatting>
  <conditionalFormatting sqref="K560">
    <cfRule type="containsText" priority="48" operator="containsText" dxfId="8" text="Falso">
      <formula>NOT(ISERROR(SEARCH("Falso",K560)))</formula>
    </cfRule>
  </conditionalFormatting>
  <conditionalFormatting sqref="K566">
    <cfRule type="containsText" priority="47" operator="containsText" dxfId="8" text="Falso">
      <formula>NOT(ISERROR(SEARCH("Falso",K566)))</formula>
    </cfRule>
  </conditionalFormatting>
  <conditionalFormatting sqref="K572">
    <cfRule type="containsText" priority="46" operator="containsText" dxfId="8" text="Falso">
      <formula>NOT(ISERROR(SEARCH("Falso",K572)))</formula>
    </cfRule>
  </conditionalFormatting>
  <conditionalFormatting sqref="K578">
    <cfRule type="containsText" priority="45" operator="containsText" dxfId="8" text="Falso">
      <formula>NOT(ISERROR(SEARCH("Falso",K578)))</formula>
    </cfRule>
  </conditionalFormatting>
  <conditionalFormatting sqref="K584">
    <cfRule type="containsText" priority="44" operator="containsText" dxfId="8" text="Falso">
      <formula>NOT(ISERROR(SEARCH("Falso",K584)))</formula>
    </cfRule>
  </conditionalFormatting>
  <conditionalFormatting sqref="K590">
    <cfRule type="containsText" priority="43" operator="containsText" dxfId="8" text="Falso">
      <formula>NOT(ISERROR(SEARCH("Falso",K590)))</formula>
    </cfRule>
  </conditionalFormatting>
  <conditionalFormatting sqref="K596">
    <cfRule type="containsText" priority="42" operator="containsText" dxfId="8" text="Falso">
      <formula>NOT(ISERROR(SEARCH("Falso",K596)))</formula>
    </cfRule>
  </conditionalFormatting>
  <conditionalFormatting sqref="K602">
    <cfRule type="containsText" priority="41" operator="containsText" dxfId="8" text="Falso">
      <formula>NOT(ISERROR(SEARCH("Falso",K602)))</formula>
    </cfRule>
  </conditionalFormatting>
  <conditionalFormatting sqref="K608">
    <cfRule type="containsText" priority="40" operator="containsText" dxfId="8" text="Falso">
      <formula>NOT(ISERROR(SEARCH("Falso",K608)))</formula>
    </cfRule>
  </conditionalFormatting>
  <conditionalFormatting sqref="K614">
    <cfRule type="containsText" priority="39" operator="containsText" dxfId="8" text="Falso">
      <formula>NOT(ISERROR(SEARCH("Falso",K614)))</formula>
    </cfRule>
  </conditionalFormatting>
  <conditionalFormatting sqref="K620">
    <cfRule type="containsText" priority="38" operator="containsText" dxfId="8" text="Falso">
      <formula>NOT(ISERROR(SEARCH("Falso",K620)))</formula>
    </cfRule>
  </conditionalFormatting>
  <conditionalFormatting sqref="K626">
    <cfRule type="containsText" priority="37" operator="containsText" dxfId="8" text="Falso">
      <formula>NOT(ISERROR(SEARCH("Falso",K626)))</formula>
    </cfRule>
  </conditionalFormatting>
  <conditionalFormatting sqref="K632">
    <cfRule type="containsText" priority="36" operator="containsText" dxfId="8" text="Falso">
      <formula>NOT(ISERROR(SEARCH("Falso",K632)))</formula>
    </cfRule>
  </conditionalFormatting>
  <conditionalFormatting sqref="K639">
    <cfRule type="containsText" priority="35" operator="containsText" dxfId="8" text="Falso">
      <formula>NOT(ISERROR(SEARCH("Falso",K639)))</formula>
    </cfRule>
  </conditionalFormatting>
  <conditionalFormatting sqref="K645">
    <cfRule type="containsText" priority="34" operator="containsText" dxfId="8" text="Falso">
      <formula>NOT(ISERROR(SEARCH("Falso",K645)))</formula>
    </cfRule>
  </conditionalFormatting>
  <conditionalFormatting sqref="K651">
    <cfRule type="containsText" priority="33" operator="containsText" dxfId="8" text="Falso">
      <formula>NOT(ISERROR(SEARCH("Falso",K651)))</formula>
    </cfRule>
  </conditionalFormatting>
  <conditionalFormatting sqref="K657">
    <cfRule type="containsText" priority="32" operator="containsText" dxfId="8" text="Falso">
      <formula>NOT(ISERROR(SEARCH("Falso",K657)))</formula>
    </cfRule>
  </conditionalFormatting>
  <conditionalFormatting sqref="K663">
    <cfRule type="containsText" priority="31" operator="containsText" dxfId="8" text="Falso">
      <formula>NOT(ISERROR(SEARCH("Falso",K663)))</formula>
    </cfRule>
  </conditionalFormatting>
  <conditionalFormatting sqref="K669">
    <cfRule type="containsText" priority="30" operator="containsText" dxfId="8" text="Falso">
      <formula>NOT(ISERROR(SEARCH("Falso",K669)))</formula>
    </cfRule>
  </conditionalFormatting>
  <conditionalFormatting sqref="K675">
    <cfRule type="containsText" priority="29" operator="containsText" dxfId="8" text="Falso">
      <formula>NOT(ISERROR(SEARCH("Falso",K675)))</formula>
    </cfRule>
  </conditionalFormatting>
  <conditionalFormatting sqref="K681">
    <cfRule type="containsText" priority="28" operator="containsText" dxfId="8" text="Falso">
      <formula>NOT(ISERROR(SEARCH("Falso",K681)))</formula>
    </cfRule>
  </conditionalFormatting>
  <conditionalFormatting sqref="K687">
    <cfRule type="containsText" priority="27" operator="containsText" dxfId="8" text="Falso">
      <formula>NOT(ISERROR(SEARCH("Falso",K687)))</formula>
    </cfRule>
  </conditionalFormatting>
  <conditionalFormatting sqref="K693">
    <cfRule type="containsText" priority="26" operator="containsText" dxfId="8" text="Falso">
      <formula>NOT(ISERROR(SEARCH("Falso",K693)))</formula>
    </cfRule>
  </conditionalFormatting>
  <conditionalFormatting sqref="K699">
    <cfRule type="containsText" priority="25" operator="containsText" dxfId="8" text="Falso">
      <formula>NOT(ISERROR(SEARCH("Falso",K699)))</formula>
    </cfRule>
  </conditionalFormatting>
  <conditionalFormatting sqref="K705">
    <cfRule type="containsText" priority="24" operator="containsText" dxfId="8" text="Falso">
      <formula>NOT(ISERROR(SEARCH("Falso",K705)))</formula>
    </cfRule>
  </conditionalFormatting>
  <conditionalFormatting sqref="K713">
    <cfRule type="containsText" priority="23" operator="containsText" dxfId="8" text="Falso">
      <formula>NOT(ISERROR(SEARCH("Falso",K713)))</formula>
    </cfRule>
  </conditionalFormatting>
  <conditionalFormatting sqref="K720">
    <cfRule type="containsText" priority="22" operator="containsText" dxfId="8" text="Falso">
      <formula>NOT(ISERROR(SEARCH("Falso",K720)))</formula>
    </cfRule>
  </conditionalFormatting>
  <conditionalFormatting sqref="K727">
    <cfRule type="containsText" priority="21" operator="containsText" dxfId="8" text="Falso">
      <formula>NOT(ISERROR(SEARCH("Falso",K727)))</formula>
    </cfRule>
  </conditionalFormatting>
  <conditionalFormatting sqref="K734">
    <cfRule type="containsText" priority="20" operator="containsText" dxfId="8" text="Falso">
      <formula>NOT(ISERROR(SEARCH("Falso",K734)))</formula>
    </cfRule>
  </conditionalFormatting>
  <conditionalFormatting sqref="K741">
    <cfRule type="containsText" priority="19" operator="containsText" dxfId="8" text="Falso">
      <formula>NOT(ISERROR(SEARCH("Falso",K741)))</formula>
    </cfRule>
  </conditionalFormatting>
  <conditionalFormatting sqref="K748">
    <cfRule type="containsText" priority="18" operator="containsText" dxfId="8" text="Falso">
      <formula>NOT(ISERROR(SEARCH("Falso",K748)))</formula>
    </cfRule>
  </conditionalFormatting>
  <conditionalFormatting sqref="K755">
    <cfRule type="containsText" priority="17" operator="containsText" dxfId="8" text="Falso">
      <formula>NOT(ISERROR(SEARCH("Falso",K755)))</formula>
    </cfRule>
  </conditionalFormatting>
  <conditionalFormatting sqref="K762">
    <cfRule type="containsText" priority="16" operator="containsText" dxfId="8" text="Falso">
      <formula>NOT(ISERROR(SEARCH("Falso",K762)))</formula>
    </cfRule>
  </conditionalFormatting>
  <conditionalFormatting sqref="K769">
    <cfRule type="containsText" priority="15" operator="containsText" dxfId="8" text="Falso">
      <formula>NOT(ISERROR(SEARCH("Falso",K769)))</formula>
    </cfRule>
  </conditionalFormatting>
  <conditionalFormatting sqref="K776">
    <cfRule type="containsText" priority="14" operator="containsText" dxfId="8" text="Falso">
      <formula>NOT(ISERROR(SEARCH("Falso",K776)))</formula>
    </cfRule>
  </conditionalFormatting>
  <conditionalFormatting sqref="K793">
    <cfRule type="containsText" priority="13" operator="containsText" dxfId="8" text="Falso">
      <formula>NOT(ISERROR(SEARCH("Falso",K793)))</formula>
    </cfRule>
  </conditionalFormatting>
  <conditionalFormatting sqref="K798">
    <cfRule type="containsText" priority="12" operator="containsText" dxfId="8" text="Falso">
      <formula>NOT(ISERROR(SEARCH("Falso",K798)))</formula>
    </cfRule>
  </conditionalFormatting>
  <conditionalFormatting sqref="K803">
    <cfRule type="containsText" priority="11" operator="containsText" dxfId="8" text="Falso">
      <formula>NOT(ISERROR(SEARCH("Falso",K803)))</formula>
    </cfRule>
  </conditionalFormatting>
  <conditionalFormatting sqref="K808">
    <cfRule type="containsText" priority="10" operator="containsText" dxfId="8" text="Falso">
      <formula>NOT(ISERROR(SEARCH("Falso",K808)))</formula>
    </cfRule>
  </conditionalFormatting>
  <conditionalFormatting sqref="K813">
    <cfRule type="containsText" priority="9" operator="containsText" dxfId="8" text="Falso">
      <formula>NOT(ISERROR(SEARCH("Falso",K813)))</formula>
    </cfRule>
  </conditionalFormatting>
  <conditionalFormatting sqref="O858:O869">
    <cfRule type="cellIs" priority="8" operator="lessThan" dxfId="0" stopIfTrue="1">
      <formula>0</formula>
    </cfRule>
  </conditionalFormatting>
  <conditionalFormatting sqref="O871:O887">
    <cfRule type="cellIs" priority="7" operator="lessThan" dxfId="0" stopIfTrue="1">
      <formula>0</formula>
    </cfRule>
  </conditionalFormatting>
  <conditionalFormatting sqref="O893:O897">
    <cfRule type="cellIs" priority="6" operator="lessThan" dxfId="0" stopIfTrue="1">
      <formula>0</formula>
    </cfRule>
  </conditionalFormatting>
  <conditionalFormatting sqref="L888">
    <cfRule type="cellIs" priority="5" operator="lessThan" dxfId="0" stopIfTrue="1">
      <formula>0</formula>
    </cfRule>
  </conditionalFormatting>
  <conditionalFormatting sqref="L821:L856">
    <cfRule type="cellIs" priority="4" operator="lessThan" dxfId="0" stopIfTrue="1">
      <formula>0</formula>
    </cfRule>
  </conditionalFormatting>
  <conditionalFormatting sqref="L858:L869">
    <cfRule type="cellIs" priority="3" operator="lessThan" dxfId="0" stopIfTrue="1">
      <formula>0</formula>
    </cfRule>
  </conditionalFormatting>
  <conditionalFormatting sqref="L871:L887">
    <cfRule type="cellIs" priority="2" operator="lessThan" dxfId="0" stopIfTrue="1">
      <formula>0</formula>
    </cfRule>
  </conditionalFormatting>
  <conditionalFormatting sqref="L893:L897">
    <cfRule type="cellIs" priority="1" operator="lessThan" dxfId="0" stopIfTrue="1">
      <formula>0</formula>
    </cfRule>
  </conditionalFormatting>
  <dataValidations count="3">
    <dataValidation sqref="C903:C907 C912:C913" showDropDown="0" showInputMessage="1" showErrorMessage="1" allowBlank="1" type="list">
      <formula1>"SI,NO"</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O278:O279 O284:O285 O292" showDropDown="0" showInputMessage="1" showErrorMessage="1" allowBlank="1" errorTitle="INGRESE LA FECHA" error="FECHA DE VENCIMIENTO" type="date" operator="greaterThan">
      <formula1>39083</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xl/worksheets/sheet12.xml><?xml version="1.0" encoding="utf-8"?>
<worksheet xmlns="http://schemas.openxmlformats.org/spreadsheetml/2006/main">
  <sheetPr codeName="Hoja22">
    <tabColor theme="9" tint="0.3999755851924192"/>
    <outlinePr summaryBelow="1" summaryRight="1"/>
    <pageSetUpPr/>
  </sheetPr>
  <dimension ref="A1:AZ919"/>
  <sheetViews>
    <sheetView tabSelected="1" topLeftCell="A589" zoomScale="70" zoomScaleNormal="70" workbookViewId="0">
      <selection activeCell="F417" sqref="F417:F614"/>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n"/>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748"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496">
        <f>JUNIO!K13</f>
        <v/>
      </c>
      <c r="E13" s="731" t="n"/>
      <c r="F13" s="731" t="n"/>
      <c r="G13" s="730">
        <f>E13+F13</f>
        <v/>
      </c>
      <c r="H13" s="731" t="n">
        <v>1600</v>
      </c>
      <c r="I13" s="731" t="n"/>
      <c r="J13" s="732">
        <f>AM13</f>
        <v/>
      </c>
      <c r="K13" s="738">
        <f>+(D13+G13)-(H13+I13+J13)</f>
        <v/>
      </c>
      <c r="L13" s="253" t="n">
        <v>2240</v>
      </c>
      <c r="M13" s="254" t="inlineStr">
        <is>
          <t>0374MA082</t>
        </is>
      </c>
      <c r="N13" s="254" t="inlineStr">
        <is>
          <t>Serum</t>
        </is>
      </c>
      <c r="O13" s="1183" t="inlineStr">
        <is>
          <t>31/01/2027</t>
        </is>
      </c>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inlineStr">
        <is>
          <t>AMAZONAS</t>
        </is>
      </c>
      <c r="AZ13" s="231" t="inlineStr">
        <is>
          <t>ENERO</t>
        </is>
      </c>
    </row>
    <row r="14" ht="18.75" customHeight="1">
      <c r="A14" s="973" t="n"/>
      <c r="B14" s="971" t="n"/>
      <c r="C14" s="972" t="n"/>
      <c r="D14" s="973" t="n"/>
      <c r="E14" s="994" t="n"/>
      <c r="F14" s="994" t="n"/>
      <c r="G14" s="973" t="n"/>
      <c r="H14" s="994" t="n"/>
      <c r="I14" s="994" t="n"/>
      <c r="J14" s="973" t="n"/>
      <c r="K14" s="973" t="n"/>
      <c r="L14" s="253" t="n">
        <v>3000</v>
      </c>
      <c r="M14" s="254" t="inlineStr">
        <is>
          <t>0375MA027</t>
        </is>
      </c>
      <c r="N14" s="254" t="inlineStr">
        <is>
          <t>Serum</t>
        </is>
      </c>
      <c r="O14" s="1183" t="inlineStr">
        <is>
          <t>30/06/2027</t>
        </is>
      </c>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inlineStr">
        <is>
          <t>ANTIOQUIA</t>
        </is>
      </c>
      <c r="AZ14" s="231" t="inlineStr">
        <is>
          <t>JUNIO</t>
        </is>
      </c>
    </row>
    <row r="15" ht="18.75" customHeight="1">
      <c r="A15" s="973" t="n"/>
      <c r="B15" s="971" t="n"/>
      <c r="C15" s="972" t="n"/>
      <c r="D15" s="973" t="n"/>
      <c r="E15" s="994" t="n"/>
      <c r="F15" s="994" t="n"/>
      <c r="G15" s="973" t="n"/>
      <c r="H15" s="994" t="n"/>
      <c r="I15" s="994" t="n"/>
      <c r="J15" s="973" t="n"/>
      <c r="K15" s="973" t="n"/>
      <c r="L15" s="253" t="n"/>
      <c r="M15" s="254" t="n"/>
      <c r="N15" s="254" t="n"/>
      <c r="O15" s="1183" t="n"/>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73"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inlineStr">
        <is>
          <t>ATLANTICO</t>
        </is>
      </c>
      <c r="AZ16" s="231" t="inlineStr">
        <is>
          <t>ABRIL</t>
        </is>
      </c>
    </row>
    <row r="17" ht="18.75" customHeight="1">
      <c r="A17" s="973" t="n"/>
      <c r="B17" s="971" t="n"/>
      <c r="C17" s="972" t="n"/>
      <c r="D17" s="973"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inlineStr">
        <is>
          <t>BARRANQUILLA</t>
        </is>
      </c>
      <c r="AZ17" s="231" t="inlineStr">
        <is>
          <t>MAYO</t>
        </is>
      </c>
    </row>
    <row r="18" ht="18.75" customHeight="1">
      <c r="A18" s="975" t="n"/>
      <c r="B18" s="1182" t="n"/>
      <c r="C18" s="1103" t="n"/>
      <c r="D18" s="975"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JUNIO</t>
        </is>
      </c>
    </row>
    <row r="19" ht="18.75" customHeight="1">
      <c r="A19" s="741">
        <f>A13+1</f>
        <v/>
      </c>
      <c r="B19" s="733" t="inlineStr">
        <is>
          <t>Vacuna de Hepatitis B Recombinante Pediátrica - Liquida</t>
        </is>
      </c>
      <c r="C19" s="965" t="n"/>
      <c r="D19" s="496">
        <f>JUNIO!K19</f>
        <v/>
      </c>
      <c r="E19" s="731" t="n"/>
      <c r="F19" s="731" t="n"/>
      <c r="G19" s="730">
        <f>E19+F19</f>
        <v/>
      </c>
      <c r="H19" s="731" t="n">
        <v>555</v>
      </c>
      <c r="I19" s="731" t="n"/>
      <c r="J19" s="732">
        <f>AM19</f>
        <v/>
      </c>
      <c r="K19" s="738">
        <f>+(D19+G19)-(H19+I19+J19)</f>
        <v/>
      </c>
      <c r="L19" s="253" t="n">
        <v>2</v>
      </c>
      <c r="M19" s="254" t="inlineStr">
        <is>
          <t>0324L013A</t>
        </is>
      </c>
      <c r="N19" s="254" t="inlineStr">
        <is>
          <t>Serum</t>
        </is>
      </c>
      <c r="O19" s="1183" t="inlineStr">
        <is>
          <t>30/11/2027</t>
        </is>
      </c>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inlineStr">
        <is>
          <t>BOLIVAR</t>
        </is>
      </c>
      <c r="AZ19" s="231" t="inlineStr">
        <is>
          <t>JULIO</t>
        </is>
      </c>
    </row>
    <row r="20" ht="18.75" customHeight="1">
      <c r="A20" s="973" t="n"/>
      <c r="B20" s="971" t="n"/>
      <c r="C20" s="972" t="n"/>
      <c r="D20" s="973" t="n"/>
      <c r="E20" s="994" t="n"/>
      <c r="F20" s="994" t="n"/>
      <c r="G20" s="973" t="n"/>
      <c r="H20" s="994" t="n"/>
      <c r="I20" s="994" t="n"/>
      <c r="J20" s="973" t="n"/>
      <c r="K20" s="973" t="n"/>
      <c r="L20" s="253" t="n">
        <v>24</v>
      </c>
      <c r="M20" s="254" t="inlineStr">
        <is>
          <t>0324L013B</t>
        </is>
      </c>
      <c r="N20" s="254" t="inlineStr">
        <is>
          <t>Serum</t>
        </is>
      </c>
      <c r="O20" s="1183" t="inlineStr">
        <is>
          <t>30/11/2027</t>
        </is>
      </c>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73" t="n"/>
      <c r="E21" s="994" t="n"/>
      <c r="F21" s="994" t="n"/>
      <c r="G21" s="973" t="n"/>
      <c r="H21" s="994" t="n"/>
      <c r="I21" s="994" t="n"/>
      <c r="J21" s="973" t="n"/>
      <c r="K21" s="973" t="n"/>
      <c r="L21" s="253" t="n">
        <v>2</v>
      </c>
      <c r="M21" s="254" t="inlineStr">
        <is>
          <t>0325Q010B</t>
        </is>
      </c>
      <c r="N21" s="254" t="inlineStr">
        <is>
          <t>Sinovac</t>
        </is>
      </c>
      <c r="O21" s="1183" t="inlineStr">
        <is>
          <t>25/04/2028</t>
        </is>
      </c>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inlineStr">
        <is>
          <t>CARTAGENA</t>
        </is>
      </c>
      <c r="AZ21" s="231" t="inlineStr">
        <is>
          <t>AGOSTO</t>
        </is>
      </c>
    </row>
    <row r="22" ht="18.75" customHeight="1">
      <c r="A22" s="973" t="n"/>
      <c r="B22" s="971" t="n"/>
      <c r="C22" s="972" t="n"/>
      <c r="D22" s="973" t="n"/>
      <c r="E22" s="994" t="n"/>
      <c r="F22" s="994" t="n"/>
      <c r="G22" s="973" t="n"/>
      <c r="H22" s="994" t="n"/>
      <c r="I22" s="994" t="n"/>
      <c r="J22" s="973" t="n"/>
      <c r="K22" s="973" t="n"/>
      <c r="L22" s="253" t="n">
        <v>1050</v>
      </c>
      <c r="M22" s="254" t="inlineStr">
        <is>
          <t>0325Q010C</t>
        </is>
      </c>
      <c r="N22" s="254" t="inlineStr">
        <is>
          <t>Serum</t>
        </is>
      </c>
      <c r="O22" s="1183" t="inlineStr">
        <is>
          <t>31/03/2028</t>
        </is>
      </c>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inlineStr">
        <is>
          <t>BOYACA</t>
        </is>
      </c>
      <c r="AZ22" s="231" t="inlineStr">
        <is>
          <t>SEPTIEMBRE</t>
        </is>
      </c>
    </row>
    <row r="23" ht="18.75" customHeight="1">
      <c r="A23" s="973" t="n"/>
      <c r="B23" s="971" t="n"/>
      <c r="C23" s="972" t="n"/>
      <c r="D23" s="973"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inlineStr">
        <is>
          <t>CAQUETA</t>
        </is>
      </c>
      <c r="AZ23" s="231" t="inlineStr">
        <is>
          <t>NOVIEMBRE</t>
        </is>
      </c>
    </row>
    <row r="24" ht="18.75" customHeight="1">
      <c r="A24" s="975" t="n"/>
      <c r="B24" s="1182" t="n"/>
      <c r="C24" s="1103" t="n"/>
      <c r="D24" s="975"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496">
        <f>JUNIO!K25</f>
        <v/>
      </c>
      <c r="E25" s="731" t="n"/>
      <c r="F25" s="731" t="n"/>
      <c r="G25" s="730">
        <f>E25+F25</f>
        <v/>
      </c>
      <c r="H25" s="731" t="n">
        <v>67</v>
      </c>
      <c r="I25" s="731" t="n"/>
      <c r="J25" s="732">
        <f>AM25</f>
        <v/>
      </c>
      <c r="K25" s="738">
        <f>+(D25+G25)-(H25+I25+J25)</f>
        <v/>
      </c>
      <c r="L25" s="253" t="n">
        <v>15</v>
      </c>
      <c r="M25" s="254" t="inlineStr">
        <is>
          <t>0345L003B</t>
        </is>
      </c>
      <c r="N25" s="254" t="inlineStr">
        <is>
          <t>Serum</t>
        </is>
      </c>
      <c r="O25" s="1183" t="inlineStr">
        <is>
          <t>31/12/2027</t>
        </is>
      </c>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inlineStr">
        <is>
          <t>BOLIVAR</t>
        </is>
      </c>
    </row>
    <row r="26" ht="18.75" customHeight="1">
      <c r="A26" s="973" t="n"/>
      <c r="B26" s="971" t="n"/>
      <c r="C26" s="972" t="n"/>
      <c r="D26" s="973"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73"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inlineStr">
        <is>
          <t>CARTAGENA</t>
        </is>
      </c>
    </row>
    <row r="28" ht="18.75" customHeight="1">
      <c r="A28" s="973" t="n"/>
      <c r="B28" s="971" t="n"/>
      <c r="C28" s="972" t="n"/>
      <c r="D28" s="973"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inlineStr">
        <is>
          <t>BOYACA</t>
        </is>
      </c>
    </row>
    <row r="29" ht="18.75" customHeight="1">
      <c r="A29" s="973" t="n"/>
      <c r="B29" s="971" t="n"/>
      <c r="C29" s="972" t="n"/>
      <c r="D29" s="973"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inlineStr">
        <is>
          <t>CAQUETA</t>
        </is>
      </c>
    </row>
    <row r="30" ht="18.75" customHeight="1">
      <c r="A30" s="975" t="n"/>
      <c r="B30" s="1182" t="n"/>
      <c r="C30" s="1103" t="n"/>
      <c r="D30" s="975"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496">
        <f>JUNIO!K31</f>
        <v/>
      </c>
      <c r="E31" s="731" t="n"/>
      <c r="F31" s="731" t="n"/>
      <c r="G31" s="730">
        <f>E31+F31</f>
        <v/>
      </c>
      <c r="H31" s="731" t="n">
        <v>2365</v>
      </c>
      <c r="I31" s="731" t="n"/>
      <c r="J31" s="732">
        <f>AM31</f>
        <v/>
      </c>
      <c r="K31" s="738">
        <f>+(D31+G31)-(H31+I31+J31)</f>
        <v/>
      </c>
      <c r="L31" s="253" t="n">
        <v>2450</v>
      </c>
      <c r="M31" s="254" t="inlineStr">
        <is>
          <t>2526003A</t>
        </is>
      </c>
      <c r="N31" s="254" t="inlineStr">
        <is>
          <t>Bilthoven Biologicals BV</t>
        </is>
      </c>
      <c r="O31" s="1183" t="inlineStr">
        <is>
          <t>12/06/2028</t>
        </is>
      </c>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inlineStr">
        <is>
          <t>CAUCA</t>
        </is>
      </c>
    </row>
    <row r="32" ht="18.75" customHeight="1">
      <c r="A32" s="973" t="n"/>
      <c r="B32" s="971" t="n"/>
      <c r="C32" s="972" t="n"/>
      <c r="D32" s="973" t="n"/>
      <c r="E32" s="994" t="n"/>
      <c r="F32" s="994" t="n"/>
      <c r="G32" s="973" t="n"/>
      <c r="H32" s="994" t="n"/>
      <c r="I32" s="994" t="n"/>
      <c r="J32" s="973" t="n"/>
      <c r="K32" s="973" t="n"/>
      <c r="L32" s="253" t="n">
        <v>2050</v>
      </c>
      <c r="M32" s="254" t="inlineStr">
        <is>
          <t>2522006A</t>
        </is>
      </c>
      <c r="N32" s="254" t="inlineStr">
        <is>
          <t>Bilthoven Biologicals BV</t>
        </is>
      </c>
      <c r="O32" s="1183" t="inlineStr">
        <is>
          <t>25/02/2028</t>
        </is>
      </c>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73" t="n"/>
      <c r="E33" s="994" t="n"/>
      <c r="F33" s="994" t="n"/>
      <c r="G33" s="973" t="n"/>
      <c r="H33" s="994" t="n"/>
      <c r="I33" s="994" t="n"/>
      <c r="J33" s="973" t="n"/>
      <c r="K33" s="973" t="n"/>
      <c r="L33" s="253" t="n">
        <v>12000</v>
      </c>
      <c r="M33" s="254" t="inlineStr">
        <is>
          <t>MB202602003</t>
        </is>
      </c>
      <c r="N33" s="254" t="inlineStr">
        <is>
          <t>Sinovac</t>
        </is>
      </c>
      <c r="O33" s="1183" t="inlineStr">
        <is>
          <t>02/02/2028</t>
        </is>
      </c>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inlineStr">
        <is>
          <t>CESAR</t>
        </is>
      </c>
    </row>
    <row r="34" ht="18.75" customHeight="1">
      <c r="A34" s="973" t="n"/>
      <c r="B34" s="971" t="n"/>
      <c r="C34" s="972" t="n"/>
      <c r="D34" s="973"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inlineStr">
        <is>
          <t>CHOCO</t>
        </is>
      </c>
    </row>
    <row r="35" ht="18.75" customHeight="1">
      <c r="A35" s="973" t="n"/>
      <c r="B35" s="971" t="n"/>
      <c r="C35" s="972" t="n"/>
      <c r="D35" s="973"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inlineStr">
        <is>
          <t>CORDOBA</t>
        </is>
      </c>
    </row>
    <row r="36" ht="18.75" customHeight="1">
      <c r="A36" s="975" t="n"/>
      <c r="B36" s="1182" t="n"/>
      <c r="C36" s="1103" t="n"/>
      <c r="D36" s="975"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496">
        <f>JUNIO!K37</f>
        <v/>
      </c>
      <c r="E37" s="731" t="n"/>
      <c r="F37" s="731" t="n"/>
      <c r="G37" s="730">
        <f>E37+F37</f>
        <v/>
      </c>
      <c r="H37" s="731" t="n">
        <v>1590</v>
      </c>
      <c r="I37" s="731" t="n"/>
      <c r="J37" s="732">
        <f>AM37</f>
        <v/>
      </c>
      <c r="K37" s="738">
        <f>+(D37+G37)-(H37+I37+J37)</f>
        <v/>
      </c>
      <c r="L37" s="253" t="n">
        <v>810</v>
      </c>
      <c r="M37" s="254" t="inlineStr">
        <is>
          <t>2855X002C</t>
        </is>
      </c>
      <c r="N37" s="254" t="inlineStr">
        <is>
          <t>Serum</t>
        </is>
      </c>
      <c r="O37" s="1183" t="inlineStr">
        <is>
          <t>30/06/2027</t>
        </is>
      </c>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inlineStr">
        <is>
          <t>NARIÑO</t>
        </is>
      </c>
    </row>
    <row r="38" ht="19.5" customHeight="1">
      <c r="A38" s="973" t="n"/>
      <c r="B38" s="971" t="n"/>
      <c r="C38" s="972" t="n"/>
      <c r="D38" s="973" t="n"/>
      <c r="E38" s="994" t="n"/>
      <c r="F38" s="994" t="n"/>
      <c r="G38" s="973" t="n"/>
      <c r="H38" s="994" t="n"/>
      <c r="I38" s="994" t="n"/>
      <c r="J38" s="973" t="n"/>
      <c r="K38" s="973" t="n"/>
      <c r="L38" s="253" t="n">
        <v>150</v>
      </c>
      <c r="M38" s="254" t="inlineStr">
        <is>
          <t>2855X001A</t>
        </is>
      </c>
      <c r="N38" s="254" t="inlineStr">
        <is>
          <t>Serum</t>
        </is>
      </c>
      <c r="O38" s="1183" t="inlineStr">
        <is>
          <t>30/06/2027</t>
        </is>
      </c>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73" t="n"/>
      <c r="E39" s="994" t="n"/>
      <c r="F39" s="994" t="n"/>
      <c r="G39" s="973" t="n"/>
      <c r="H39" s="994" t="n"/>
      <c r="I39" s="994" t="n"/>
      <c r="J39" s="973" t="n"/>
      <c r="K39" s="973" t="n"/>
      <c r="L39" s="253" t="n">
        <v>9000</v>
      </c>
      <c r="M39" s="254" t="inlineStr">
        <is>
          <t>2855X008E</t>
        </is>
      </c>
      <c r="N39" s="254" t="inlineStr">
        <is>
          <t>Serum</t>
        </is>
      </c>
      <c r="O39" s="1183" t="inlineStr">
        <is>
          <t>31/08/2027</t>
        </is>
      </c>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inlineStr">
        <is>
          <t>NORTE DE SANTANDER</t>
        </is>
      </c>
    </row>
    <row r="40" ht="19.5" customHeight="1">
      <c r="A40" s="973" t="n"/>
      <c r="B40" s="971" t="n"/>
      <c r="C40" s="972" t="n"/>
      <c r="D40" s="973"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73"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inlineStr">
        <is>
          <t>PUTUMAYO</t>
        </is>
      </c>
    </row>
    <row r="42" ht="19.5" customHeight="1">
      <c r="A42" s="975" t="n"/>
      <c r="B42" s="1182" t="n"/>
      <c r="C42" s="1103" t="n"/>
      <c r="D42" s="975"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496">
        <f>JUNIO!K43</f>
        <v/>
      </c>
      <c r="E43" s="731" t="n"/>
      <c r="F43" s="731" t="n"/>
      <c r="G43" s="730">
        <f>E43+F43</f>
        <v/>
      </c>
      <c r="H43" s="731" t="n">
        <v>11</v>
      </c>
      <c r="I43" s="731" t="n"/>
      <c r="J43" s="732">
        <f>AM43</f>
        <v/>
      </c>
      <c r="K43" s="706">
        <f>+(D43+G43)-(H43+I43+J43)</f>
        <v/>
      </c>
      <c r="L43" s="253" t="n">
        <v>97</v>
      </c>
      <c r="M43" s="254" t="inlineStr">
        <is>
          <t>Y3C49</t>
        </is>
      </c>
      <c r="N43" s="254" t="inlineStr">
        <is>
          <t>Sanofi Pasteur</t>
        </is>
      </c>
      <c r="O43" s="1183" t="inlineStr">
        <is>
          <t>29/02/2028</t>
        </is>
      </c>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inlineStr">
        <is>
          <t>NARIÑO</t>
        </is>
      </c>
    </row>
    <row r="44" ht="19.5" customHeight="1">
      <c r="A44" s="973" t="n"/>
      <c r="B44" s="971" t="n"/>
      <c r="C44" s="972" t="n"/>
      <c r="D44" s="973"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73"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inlineStr">
        <is>
          <t>NORTE DE SANTANDER</t>
        </is>
      </c>
    </row>
    <row r="46" ht="19.5" customHeight="1">
      <c r="A46" s="973" t="n"/>
      <c r="B46" s="971" t="n"/>
      <c r="C46" s="972" t="n"/>
      <c r="D46" s="973"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inlineStr">
        <is>
          <t>PUTUMAYO</t>
        </is>
      </c>
    </row>
    <row r="47" ht="19.5" customHeight="1">
      <c r="A47" s="973" t="n"/>
      <c r="B47" s="971" t="n"/>
      <c r="C47" s="972" t="n"/>
      <c r="D47" s="973"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inlineStr">
        <is>
          <t>QUINDIO</t>
        </is>
      </c>
    </row>
    <row r="48" ht="19.5" customHeight="1">
      <c r="A48" s="975" t="n"/>
      <c r="B48" s="1182" t="n"/>
      <c r="C48" s="1103" t="n"/>
      <c r="D48" s="975"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496">
        <f>JUNIO!K49</f>
        <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inlineStr">
        <is>
          <t>NARIÑO</t>
        </is>
      </c>
    </row>
    <row r="50" ht="19.5" customHeight="1">
      <c r="A50" s="973" t="n"/>
      <c r="B50" s="971" t="n"/>
      <c r="C50" s="972" t="n"/>
      <c r="D50" s="973"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73"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inlineStr">
        <is>
          <t>NORTE DE SANTANDER</t>
        </is>
      </c>
    </row>
    <row r="52" ht="19.5" customHeight="1">
      <c r="A52" s="973" t="n"/>
      <c r="B52" s="971" t="n"/>
      <c r="C52" s="972" t="n"/>
      <c r="D52" s="973"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inlineStr">
        <is>
          <t>PUTUMAYO</t>
        </is>
      </c>
    </row>
    <row r="53" ht="19.5" customHeight="1">
      <c r="A53" s="973" t="n"/>
      <c r="B53" s="971" t="n"/>
      <c r="C53" s="972" t="n"/>
      <c r="D53" s="973"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inlineStr">
        <is>
          <t>QUINDIO</t>
        </is>
      </c>
    </row>
    <row r="54" ht="19.5" customHeight="1">
      <c r="A54" s="975" t="n"/>
      <c r="B54" s="1182" t="n"/>
      <c r="C54" s="1103" t="n"/>
      <c r="D54" s="975"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496">
        <f>JUNIO!K55</f>
        <v/>
      </c>
      <c r="E55" s="731" t="n"/>
      <c r="F55" s="731" t="n"/>
      <c r="G55" s="730">
        <f>E55+F55</f>
        <v/>
      </c>
      <c r="H55" s="731" t="n">
        <v>440</v>
      </c>
      <c r="I55" s="731" t="n"/>
      <c r="J55" s="732">
        <f>AM55</f>
        <v/>
      </c>
      <c r="K55" s="738">
        <f>+(D55+G55)-(H55+I55+J55)</f>
        <v/>
      </c>
      <c r="L55" s="253" t="n">
        <v>10</v>
      </c>
      <c r="M55" s="254" t="inlineStr">
        <is>
          <t>2825Q005A</t>
        </is>
      </c>
      <c r="N55" s="254" t="inlineStr">
        <is>
          <t>Serum</t>
        </is>
      </c>
      <c r="O55" s="1183" t="inlineStr">
        <is>
          <t>28/02/2027</t>
        </is>
      </c>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inlineStr">
        <is>
          <t>SANTANDER</t>
        </is>
      </c>
    </row>
    <row r="56" ht="19.5" customHeight="1">
      <c r="A56" s="973" t="n"/>
      <c r="B56" s="971" t="n"/>
      <c r="C56" s="972" t="n"/>
      <c r="D56" s="973" t="n"/>
      <c r="E56" s="994" t="n"/>
      <c r="F56" s="994" t="n"/>
      <c r="G56" s="973" t="n"/>
      <c r="H56" s="994" t="n"/>
      <c r="I56" s="994" t="n"/>
      <c r="J56" s="973" t="n"/>
      <c r="K56" s="973" t="n"/>
      <c r="L56" s="253" t="n">
        <v>4020</v>
      </c>
      <c r="M56" s="254" t="inlineStr">
        <is>
          <t>2825X014A</t>
        </is>
      </c>
      <c r="N56" s="254" t="inlineStr">
        <is>
          <t>Serum</t>
        </is>
      </c>
      <c r="O56" s="1183" t="inlineStr">
        <is>
          <t>30/09/2027</t>
        </is>
      </c>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73"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inlineStr">
        <is>
          <t>SUCRE</t>
        </is>
      </c>
    </row>
    <row r="58" ht="19.5" customHeight="1">
      <c r="A58" s="973" t="n"/>
      <c r="B58" s="971" t="n"/>
      <c r="C58" s="972" t="n"/>
      <c r="D58" s="973"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inlineStr">
        <is>
          <t>TOLIMA</t>
        </is>
      </c>
    </row>
    <row r="59" ht="19.5" customHeight="1">
      <c r="A59" s="973" t="n"/>
      <c r="B59" s="971" t="n"/>
      <c r="C59" s="972" t="n"/>
      <c r="D59" s="973"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inlineStr">
        <is>
          <t>VALLE</t>
        </is>
      </c>
    </row>
    <row r="60" ht="19.5" customHeight="1">
      <c r="A60" s="975" t="n"/>
      <c r="B60" s="971" t="n"/>
      <c r="C60" s="972" t="n"/>
      <c r="D60" s="975"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496">
        <f>JUNIO!K61</f>
        <v/>
      </c>
      <c r="E61" s="731" t="n"/>
      <c r="F61" s="731" t="n">
        <v>14</v>
      </c>
      <c r="G61" s="730">
        <f>E61+F61</f>
        <v/>
      </c>
      <c r="H61" s="731" t="n">
        <v>10</v>
      </c>
      <c r="I61" s="731" t="n"/>
      <c r="J61" s="732">
        <f>AM61</f>
        <v/>
      </c>
      <c r="K61" s="738">
        <f>+(D61+G61)-(H61+I61+J61)</f>
        <v/>
      </c>
      <c r="L61" s="253" t="n">
        <v>5</v>
      </c>
      <c r="M61" s="254" t="inlineStr">
        <is>
          <t>4CA34C1</t>
        </is>
      </c>
      <c r="N61" s="254" t="inlineStr">
        <is>
          <t>Sanofi Pasteur</t>
        </is>
      </c>
      <c r="O61" s="1183" t="inlineStr">
        <is>
          <t>31/05/2027</t>
        </is>
      </c>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inlineStr">
        <is>
          <t>VICHADA</t>
        </is>
      </c>
    </row>
    <row r="62" ht="19.5" customHeight="1">
      <c r="A62" s="973" t="n"/>
      <c r="B62" s="971" t="n"/>
      <c r="C62" s="972" t="n"/>
      <c r="D62" s="973" t="n"/>
      <c r="E62" s="994" t="n"/>
      <c r="F62" s="994" t="n"/>
      <c r="G62" s="973" t="n"/>
      <c r="H62" s="994" t="n"/>
      <c r="I62" s="994" t="n"/>
      <c r="J62" s="973" t="n"/>
      <c r="K62" s="973" t="n"/>
      <c r="L62" s="253" t="n">
        <v>4</v>
      </c>
      <c r="M62" s="254" t="inlineStr">
        <is>
          <t>4CA03C1</t>
        </is>
      </c>
      <c r="N62" s="254" t="inlineStr">
        <is>
          <t>Sanofi Pasteur</t>
        </is>
      </c>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73"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73"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73"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75"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496">
        <f>JUNIO!K67</f>
        <v/>
      </c>
      <c r="E67" s="731" t="n"/>
      <c r="F67" s="731" t="n"/>
      <c r="G67" s="730">
        <f>E67+F67</f>
        <v/>
      </c>
      <c r="H67" s="731" t="n">
        <v>810</v>
      </c>
      <c r="I67" s="731" t="n"/>
      <c r="J67" s="732">
        <f>AM67</f>
        <v/>
      </c>
      <c r="K67" s="738">
        <f>+(D67+G67)-(H67+I67+J67)</f>
        <v/>
      </c>
      <c r="L67" s="253" t="n">
        <v>3430</v>
      </c>
      <c r="M67" s="254" t="inlineStr">
        <is>
          <t>AROLE487AA</t>
        </is>
      </c>
      <c r="N67" s="254" t="inlineStr">
        <is>
          <t>Glaxo SmithKline</t>
        </is>
      </c>
      <c r="O67" s="1183" t="inlineStr">
        <is>
          <t>31/01/2028</t>
        </is>
      </c>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73" t="n"/>
      <c r="E68" s="994" t="n"/>
      <c r="F68" s="994" t="n"/>
      <c r="G68" s="973" t="n"/>
      <c r="H68" s="994" t="n"/>
      <c r="I68" s="994" t="n"/>
      <c r="J68" s="973" t="n"/>
      <c r="K68" s="973" t="n"/>
      <c r="L68" s="253" t="n"/>
      <c r="M68" s="254" t="n"/>
      <c r="N68" s="254" t="n"/>
      <c r="O68" s="1183" t="n"/>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73" t="n"/>
      <c r="E69" s="994" t="n"/>
      <c r="F69" s="994" t="n"/>
      <c r="G69" s="973" t="n"/>
      <c r="H69" s="994" t="n"/>
      <c r="I69" s="994" t="n"/>
      <c r="J69" s="973" t="n"/>
      <c r="K69" s="973" t="n"/>
      <c r="L69" s="253" t="n"/>
      <c r="M69" s="254" t="n"/>
      <c r="N69" s="254" t="n"/>
      <c r="O69" s="1183" t="n"/>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73"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73"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75"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496">
        <f>JUNIO!K73</f>
        <v/>
      </c>
      <c r="E73" s="731" t="n"/>
      <c r="F73" s="731" t="n"/>
      <c r="G73" s="730">
        <f>E73+F73</f>
        <v/>
      </c>
      <c r="H73" s="731" t="n">
        <v>1400</v>
      </c>
      <c r="I73" s="731" t="n"/>
      <c r="J73" s="732">
        <f>AM73</f>
        <v/>
      </c>
      <c r="K73" s="738">
        <f>+(D73+G73)-(H73+I73+J73)</f>
        <v/>
      </c>
      <c r="L73" s="253" t="n">
        <v>5</v>
      </c>
      <c r="M73" s="254" t="inlineStr">
        <is>
          <t>LK3156</t>
        </is>
      </c>
      <c r="N73" s="254" t="inlineStr">
        <is>
          <t>PFIZER</t>
        </is>
      </c>
      <c r="O73" s="1183" t="inlineStr">
        <is>
          <t>31/05/2027</t>
        </is>
      </c>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73" t="n"/>
      <c r="E74" s="994" t="n"/>
      <c r="F74" s="994" t="n"/>
      <c r="G74" s="973" t="n"/>
      <c r="H74" s="994" t="n"/>
      <c r="I74" s="994" t="n"/>
      <c r="J74" s="973" t="n"/>
      <c r="K74" s="973" t="n"/>
      <c r="L74" s="253" t="n">
        <v>290</v>
      </c>
      <c r="M74" s="254" t="inlineStr">
        <is>
          <t>LR6371</t>
        </is>
      </c>
      <c r="N74" s="254" t="inlineStr">
        <is>
          <t>PFIZER</t>
        </is>
      </c>
      <c r="O74" s="1183" t="inlineStr">
        <is>
          <t>30/09/2027</t>
        </is>
      </c>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73" t="n"/>
      <c r="E75" s="994" t="n"/>
      <c r="F75" s="994" t="n"/>
      <c r="G75" s="973" t="n"/>
      <c r="H75" s="994" t="n"/>
      <c r="I75" s="994" t="n"/>
      <c r="J75" s="973" t="n"/>
      <c r="K75" s="973" t="n"/>
      <c r="L75" s="253" t="n">
        <v>5200</v>
      </c>
      <c r="M75" s="254" t="inlineStr">
        <is>
          <t>ND3068</t>
        </is>
      </c>
      <c r="N75" s="254" t="inlineStr">
        <is>
          <t>PFIZER</t>
        </is>
      </c>
      <c r="O75" s="1183" t="inlineStr">
        <is>
          <t>31/07/2028</t>
        </is>
      </c>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73"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73"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75"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496">
        <f>JUNIO!K79</f>
        <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73"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73"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73"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73"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75"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496">
        <f>JUNIO!K85</f>
        <v/>
      </c>
      <c r="E85" s="731" t="n"/>
      <c r="F85" s="731" t="n"/>
      <c r="G85" s="730">
        <f>E85+F85</f>
        <v/>
      </c>
      <c r="H85" s="731" t="n">
        <v>1041</v>
      </c>
      <c r="I85" s="731" t="n"/>
      <c r="J85" s="732">
        <f>AM85</f>
        <v/>
      </c>
      <c r="K85" s="738">
        <f>+(D85+G85)-(H85+I85+J85)</f>
        <v/>
      </c>
      <c r="L85" s="253" t="n">
        <v>9</v>
      </c>
      <c r="M85" s="254" t="inlineStr">
        <is>
          <t>0133N146B</t>
        </is>
      </c>
      <c r="N85" s="254" t="inlineStr">
        <is>
          <t>Serum</t>
        </is>
      </c>
      <c r="O85" s="1183" t="inlineStr">
        <is>
          <t>30/09/2026</t>
        </is>
      </c>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73" t="n"/>
      <c r="E86" s="994" t="n"/>
      <c r="F86" s="994" t="n"/>
      <c r="G86" s="973" t="n"/>
      <c r="H86" s="994" t="n"/>
      <c r="I86" s="994" t="n"/>
      <c r="J86" s="973" t="n"/>
      <c r="K86" s="973" t="n"/>
      <c r="L86" s="253" t="n">
        <v>3320</v>
      </c>
      <c r="M86" s="254" t="inlineStr">
        <is>
          <t>0134N093A</t>
        </is>
      </c>
      <c r="N86" s="254" t="inlineStr">
        <is>
          <t>Serum</t>
        </is>
      </c>
      <c r="O86" s="1183" t="inlineStr">
        <is>
          <t>30/04/2027</t>
        </is>
      </c>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73" t="n"/>
      <c r="E87" s="994" t="n"/>
      <c r="F87" s="994" t="n"/>
      <c r="G87" s="973" t="n"/>
      <c r="H87" s="994" t="n"/>
      <c r="I87" s="994" t="n"/>
      <c r="J87" s="973" t="n"/>
      <c r="K87" s="973" t="n"/>
      <c r="L87" s="253" t="n">
        <v>1068</v>
      </c>
      <c r="M87" s="254" t="inlineStr">
        <is>
          <t>0134N096A</t>
        </is>
      </c>
      <c r="N87" s="254" t="inlineStr">
        <is>
          <t>Serum</t>
        </is>
      </c>
      <c r="O87" s="1183" t="inlineStr">
        <is>
          <t>30/04/2027</t>
        </is>
      </c>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73" t="n"/>
      <c r="E88" s="994" t="n"/>
      <c r="F88" s="994" t="n"/>
      <c r="G88" s="973" t="n"/>
      <c r="H88" s="994" t="n"/>
      <c r="I88" s="994" t="n"/>
      <c r="J88" s="973" t="n"/>
      <c r="K88" s="973" t="n"/>
      <c r="L88" s="253" t="n">
        <v>4200</v>
      </c>
      <c r="M88" s="254" t="inlineStr">
        <is>
          <t>0135AB117</t>
        </is>
      </c>
      <c r="N88" s="254" t="inlineStr">
        <is>
          <t>Serum</t>
        </is>
      </c>
      <c r="O88" s="1183" t="inlineStr">
        <is>
          <t>31/12/2027</t>
        </is>
      </c>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73"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75"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496">
        <f>JUNIO!K91</f>
        <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73"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73"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73"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73"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75"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496">
        <f>JUNIO!K97</f>
        <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73"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73"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73"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73"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75"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496">
        <f>JUNIO!K103</f>
        <v/>
      </c>
      <c r="E103" s="731" t="n"/>
      <c r="F103" s="731" t="n"/>
      <c r="G103" s="730">
        <f>E103+F103</f>
        <v/>
      </c>
      <c r="H103" s="731" t="n">
        <v>3870</v>
      </c>
      <c r="I103" s="731" t="n"/>
      <c r="J103" s="732">
        <f>AM103</f>
        <v/>
      </c>
      <c r="K103" s="738">
        <f>+(D103+G103)-(H103+I103+J103)</f>
        <v/>
      </c>
      <c r="L103" s="253" t="n"/>
      <c r="M103" s="254" t="n"/>
      <c r="N103" s="254" t="n"/>
      <c r="O103" s="1183" t="inlineStr">
        <is>
          <t>2028-07-31 00:00:00</t>
        </is>
      </c>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73" t="n"/>
      <c r="E104" s="994" t="n"/>
      <c r="F104" s="994" t="n"/>
      <c r="G104" s="973" t="n"/>
      <c r="H104" s="994" t="n"/>
      <c r="I104" s="994" t="n"/>
      <c r="J104" s="973" t="n"/>
      <c r="K104" s="973" t="n"/>
      <c r="L104" s="253" t="n"/>
      <c r="M104" s="254" t="n"/>
      <c r="N104" s="254" t="n"/>
      <c r="O104" s="1183" t="n"/>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73"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73"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73"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75"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496">
        <f>JUNIO!K109</f>
        <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73"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73"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73"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73"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75"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496">
        <f>JUNIO!K115</f>
        <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73"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73"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73"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73"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75"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496">
        <f>JUNIO!K121</f>
        <v/>
      </c>
      <c r="E121" s="731" t="n"/>
      <c r="F121" s="731" t="n"/>
      <c r="G121" s="730">
        <f>E121+F121</f>
        <v/>
      </c>
      <c r="H121" s="731" t="n">
        <v>6450</v>
      </c>
      <c r="I121" s="731" t="n"/>
      <c r="J121" s="732">
        <f>AM121</f>
        <v/>
      </c>
      <c r="K121" s="738">
        <f>+(D121+G121)-(H121+I121+J121)</f>
        <v/>
      </c>
      <c r="L121" s="253" t="n">
        <v>140</v>
      </c>
      <c r="M121" s="254" t="inlineStr">
        <is>
          <t>Y3D32</t>
        </is>
      </c>
      <c r="N121" s="254" t="inlineStr">
        <is>
          <t>Sanofi Pasteur</t>
        </is>
      </c>
      <c r="O121" s="1183" t="inlineStr">
        <is>
          <t>30/04/2027</t>
        </is>
      </c>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73" t="n"/>
      <c r="E122" s="994" t="n"/>
      <c r="F122" s="994" t="n"/>
      <c r="G122" s="973" t="n"/>
      <c r="H122" s="994" t="n"/>
      <c r="I122" s="994" t="n"/>
      <c r="J122" s="973" t="n"/>
      <c r="K122" s="973" t="n"/>
      <c r="L122" s="253" t="n">
        <v>23600</v>
      </c>
      <c r="M122" s="254" t="inlineStr">
        <is>
          <t>Y3H33</t>
        </is>
      </c>
      <c r="N122" s="254" t="inlineStr">
        <is>
          <t>Sanofi Pasteur</t>
        </is>
      </c>
      <c r="O122" s="1183" t="inlineStr">
        <is>
          <t>31/08/2027</t>
        </is>
      </c>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73" t="n"/>
      <c r="E123" s="994" t="n"/>
      <c r="F123" s="994" t="n"/>
      <c r="G123" s="973" t="n"/>
      <c r="H123" s="994" t="n"/>
      <c r="I123" s="994" t="n"/>
      <c r="J123" s="973" t="n"/>
      <c r="K123" s="973" t="n"/>
      <c r="L123" s="253" t="n">
        <v>10000</v>
      </c>
      <c r="M123" s="254" t="inlineStr">
        <is>
          <t>515</t>
        </is>
      </c>
      <c r="N123" s="254" t="n"/>
      <c r="O123" s="1183" t="inlineStr">
        <is>
          <t>30/11/2027</t>
        </is>
      </c>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73"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73"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75"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496">
        <f>JUNIO!K127</f>
        <v/>
      </c>
      <c r="E127" s="731" t="n"/>
      <c r="F127" s="731" t="n"/>
      <c r="G127" s="730">
        <f>E127+F127</f>
        <v/>
      </c>
      <c r="H127" s="731" t="n">
        <v>200</v>
      </c>
      <c r="I127" s="731" t="n"/>
      <c r="J127" s="732">
        <f>AM127</f>
        <v/>
      </c>
      <c r="K127" s="738">
        <f>+(D127+G127)-(H127+I127+J127)</f>
        <v/>
      </c>
      <c r="L127" s="253" t="n">
        <v>1</v>
      </c>
      <c r="M127" s="254" t="inlineStr">
        <is>
          <t>AB202404013</t>
        </is>
      </c>
      <c r="N127" s="254" t="inlineStr">
        <is>
          <t>Sinovac</t>
        </is>
      </c>
      <c r="O127" s="1183" t="inlineStr">
        <is>
          <t>21/10/2027</t>
        </is>
      </c>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73" t="n"/>
      <c r="E128" s="994" t="n"/>
      <c r="F128" s="994" t="n"/>
      <c r="G128" s="973" t="n"/>
      <c r="H128" s="994" t="n"/>
      <c r="I128" s="994" t="n"/>
      <c r="J128" s="973" t="n"/>
      <c r="K128" s="973" t="n"/>
      <c r="L128" s="253" t="n">
        <v>1000</v>
      </c>
      <c r="M128" s="254" t="inlineStr">
        <is>
          <t>AB202410043</t>
        </is>
      </c>
      <c r="N128" s="254" t="inlineStr">
        <is>
          <t>Sinovac</t>
        </is>
      </c>
      <c r="O128" s="1183" t="inlineStr">
        <is>
          <t>25/04/2028</t>
        </is>
      </c>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73" t="n"/>
      <c r="E129" s="994" t="n"/>
      <c r="F129" s="994" t="n"/>
      <c r="G129" s="973" t="n"/>
      <c r="H129" s="994" t="n"/>
      <c r="I129" s="994" t="n"/>
      <c r="J129" s="973" t="n"/>
      <c r="K129" s="973" t="n"/>
      <c r="L129" s="253" t="n">
        <v>340</v>
      </c>
      <c r="M129" s="254" t="inlineStr">
        <is>
          <t>B202411048</t>
        </is>
      </c>
      <c r="N129" s="254" t="inlineStr">
        <is>
          <t>Sinovac</t>
        </is>
      </c>
      <c r="O129" s="1183" t="inlineStr">
        <is>
          <t>03/05/2028</t>
        </is>
      </c>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73"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73"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75"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496">
        <f>JUNIO!K133</f>
        <v/>
      </c>
      <c r="E133" s="731" t="n"/>
      <c r="F133" s="731" t="n"/>
      <c r="G133" s="730">
        <f>E133+F133</f>
        <v/>
      </c>
      <c r="H133" s="731" t="n">
        <v>1122</v>
      </c>
      <c r="I133" s="731" t="n"/>
      <c r="J133" s="732">
        <f>AM133</f>
        <v/>
      </c>
      <c r="K133" s="738">
        <f>+(D133+G133)-(H133+I133+J133)</f>
        <v/>
      </c>
      <c r="L133" s="253" t="n">
        <v>10</v>
      </c>
      <c r="M133" s="254" t="inlineStr">
        <is>
          <t>BB202506051</t>
        </is>
      </c>
      <c r="N133" s="254" t="inlineStr">
        <is>
          <t>Sinovac</t>
        </is>
      </c>
      <c r="O133" s="1183" t="inlineStr">
        <is>
          <t>12/06/2027</t>
        </is>
      </c>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73" t="n"/>
      <c r="E134" s="994" t="n"/>
      <c r="F134" s="994" t="n"/>
      <c r="G134" s="973" t="n"/>
      <c r="H134" s="994" t="n"/>
      <c r="I134" s="994" t="n"/>
      <c r="J134" s="973" t="n"/>
      <c r="K134" s="973" t="n"/>
      <c r="L134" s="253" t="n">
        <v>70</v>
      </c>
      <c r="M134" s="254" t="inlineStr">
        <is>
          <t>BB202506052</t>
        </is>
      </c>
      <c r="N134" s="254" t="inlineStr">
        <is>
          <t>Sinovac</t>
        </is>
      </c>
      <c r="O134" s="1183" t="inlineStr">
        <is>
          <t>16/06/2027</t>
        </is>
      </c>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73" t="n"/>
      <c r="E135" s="994" t="n"/>
      <c r="F135" s="994" t="n"/>
      <c r="G135" s="973" t="n"/>
      <c r="H135" s="994" t="n"/>
      <c r="I135" s="994" t="n"/>
      <c r="J135" s="973" t="n"/>
      <c r="K135" s="973" t="n"/>
      <c r="L135" s="253" t="n">
        <v>2440</v>
      </c>
      <c r="M135" s="254" t="inlineStr">
        <is>
          <t>B202507054</t>
        </is>
      </c>
      <c r="N135" s="254" t="inlineStr">
        <is>
          <t>Sinovac</t>
        </is>
      </c>
      <c r="O135" s="1183" t="inlineStr">
        <is>
          <t>05/07/2027</t>
        </is>
      </c>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73" t="n"/>
      <c r="E136" s="994" t="n"/>
      <c r="F136" s="994" t="n"/>
      <c r="G136" s="973" t="n"/>
      <c r="H136" s="994" t="n"/>
      <c r="I136" s="994" t="n"/>
      <c r="J136" s="973" t="n"/>
      <c r="K136" s="973" t="n"/>
      <c r="L136" s="253" t="n"/>
      <c r="M136" s="254" t="n"/>
      <c r="N136" s="254" t="inlineStr">
        <is>
          <t>Sinovac</t>
        </is>
      </c>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73"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75"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496">
        <f>JUNIO!K139</f>
        <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73"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73"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73"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73"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75"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496">
        <f>JUNIO!K145</f>
        <v/>
      </c>
      <c r="E145" s="731" t="n"/>
      <c r="F145" s="731" t="n"/>
      <c r="G145" s="730">
        <f>E145+F145</f>
        <v/>
      </c>
      <c r="H145" s="731" t="n">
        <v>1330</v>
      </c>
      <c r="I145" s="731" t="n"/>
      <c r="J145" s="732">
        <f>AM145</f>
        <v/>
      </c>
      <c r="K145" s="738">
        <f>+(D145+G145)-(H145+I145+J145)</f>
        <v/>
      </c>
      <c r="L145" s="253" t="n"/>
      <c r="M145" s="254" t="n"/>
      <c r="N145" s="254" t="inlineStr">
        <is>
          <t>Serum</t>
        </is>
      </c>
      <c r="O145" s="1183" t="inlineStr">
        <is>
          <t>31/03/2027</t>
        </is>
      </c>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73" t="n"/>
      <c r="E146" s="994" t="n"/>
      <c r="F146" s="994" t="n"/>
      <c r="G146" s="973" t="n"/>
      <c r="H146" s="994" t="n"/>
      <c r="I146" s="994" t="n"/>
      <c r="J146" s="973" t="n"/>
      <c r="K146" s="973" t="n"/>
      <c r="L146" s="253" t="n">
        <v>4600</v>
      </c>
      <c r="M146" s="254" t="inlineStr">
        <is>
          <t>2335L013D</t>
        </is>
      </c>
      <c r="N146" s="254" t="inlineStr">
        <is>
          <t>Serum</t>
        </is>
      </c>
      <c r="O146" s="1183" t="inlineStr">
        <is>
          <t>30/04/2028</t>
        </is>
      </c>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73"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73"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73"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75"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496">
        <f>JUNIO!K151</f>
        <v/>
      </c>
      <c r="E151" s="731" t="n"/>
      <c r="F151" s="731" t="n"/>
      <c r="G151" s="730">
        <f>E151+F151</f>
        <v/>
      </c>
      <c r="H151" s="731" t="n">
        <v>450</v>
      </c>
      <c r="I151" s="731" t="n"/>
      <c r="J151" s="732">
        <f>AM151</f>
        <v/>
      </c>
      <c r="K151" s="738">
        <f>+(D151+G151)-(H151+I151+J151)</f>
        <v/>
      </c>
      <c r="L151" s="253" t="n">
        <v>214</v>
      </c>
      <c r="M151" s="254" t="inlineStr">
        <is>
          <t>5DA79D1</t>
        </is>
      </c>
      <c r="N151" s="254" t="inlineStr">
        <is>
          <t>Sanofi Pasteur</t>
        </is>
      </c>
      <c r="O151" s="1183" t="inlineStr">
        <is>
          <t>30/09/2028</t>
        </is>
      </c>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73" t="n"/>
      <c r="E152" s="994" t="n"/>
      <c r="F152" s="994" t="n"/>
      <c r="G152" s="973" t="n"/>
      <c r="H152" s="994" t="n"/>
      <c r="I152" s="994" t="n"/>
      <c r="J152" s="973" t="n"/>
      <c r="K152" s="973" t="n"/>
      <c r="L152" s="253" t="n">
        <v>1200</v>
      </c>
      <c r="M152" s="254" t="inlineStr">
        <is>
          <t>AC37B532AA</t>
        </is>
      </c>
      <c r="N152" s="254" t="inlineStr">
        <is>
          <t>Glaxo SmithKline</t>
        </is>
      </c>
      <c r="O152" s="1183" t="inlineStr">
        <is>
          <t>31/12/2028</t>
        </is>
      </c>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73"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73"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73"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75"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496">
        <f>JUNIO!K157</f>
        <v/>
      </c>
      <c r="E157" s="731" t="n"/>
      <c r="F157" s="731" t="n"/>
      <c r="G157" s="730">
        <f>E157+F157</f>
        <v/>
      </c>
      <c r="H157" s="731" t="n">
        <v>2320</v>
      </c>
      <c r="I157" s="731" t="n"/>
      <c r="J157" s="732">
        <f>AM157</f>
        <v/>
      </c>
      <c r="K157" s="738">
        <f>+(D157+G157)-(H157+I157+J157)</f>
        <v/>
      </c>
      <c r="L157" s="253" t="n">
        <v>480</v>
      </c>
      <c r="M157" s="254" t="inlineStr">
        <is>
          <t>2600761/00</t>
        </is>
      </c>
      <c r="N157" s="254" t="inlineStr">
        <is>
          <t>BUTANTAN</t>
        </is>
      </c>
      <c r="O157" s="1183" t="inlineStr">
        <is>
          <t>08/02/2027</t>
        </is>
      </c>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73"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73"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73"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73"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75"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496">
        <f>JUNIO!K163</f>
        <v/>
      </c>
      <c r="E163" s="731" t="n">
        <v>15000</v>
      </c>
      <c r="F163" s="731" t="n"/>
      <c r="G163" s="730">
        <f>E163+F163</f>
        <v/>
      </c>
      <c r="H163" s="731" t="n">
        <v>12600</v>
      </c>
      <c r="I163" s="731" t="n"/>
      <c r="J163" s="732">
        <f>AM163</f>
        <v/>
      </c>
      <c r="K163" s="738">
        <f>+(D163+G163)-(H163+I163+J163)</f>
        <v/>
      </c>
      <c r="L163" s="253" t="n">
        <v>270</v>
      </c>
      <c r="M163" s="254" t="inlineStr">
        <is>
          <t>2600761-00</t>
        </is>
      </c>
      <c r="N163" s="254" t="inlineStr">
        <is>
          <t>BUTANTAN</t>
        </is>
      </c>
      <c r="O163" s="1183" t="inlineStr">
        <is>
          <t>08/02/2027</t>
        </is>
      </c>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73" t="n"/>
      <c r="E164" s="994" t="n"/>
      <c r="F164" s="994" t="n"/>
      <c r="G164" s="973" t="n"/>
      <c r="H164" s="994" t="n"/>
      <c r="I164" s="994" t="n"/>
      <c r="J164" s="973" t="n"/>
      <c r="K164" s="973" t="n"/>
      <c r="L164" s="253" t="n">
        <v>7000</v>
      </c>
      <c r="M164" s="254" t="inlineStr">
        <is>
          <t>V50526006</t>
        </is>
      </c>
      <c r="N164" s="254" t="inlineStr">
        <is>
          <t>GC BIOPHARMA CORP</t>
        </is>
      </c>
      <c r="O164" s="1183" t="inlineStr">
        <is>
          <t>09/02/2026</t>
        </is>
      </c>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73" t="n"/>
      <c r="E165" s="994" t="n"/>
      <c r="F165" s="994" t="n"/>
      <c r="G165" s="973" t="n"/>
      <c r="H165" s="994" t="n"/>
      <c r="I165" s="994" t="n"/>
      <c r="J165" s="973" t="n"/>
      <c r="K165" s="973" t="n"/>
      <c r="L165" s="253" t="n">
        <v>15000</v>
      </c>
      <c r="M165" s="254" t="inlineStr">
        <is>
          <t>25526</t>
        </is>
      </c>
      <c r="N165" s="254" t="n"/>
      <c r="O165" s="1183" t="inlineStr">
        <is>
          <t>28/02/2027</t>
        </is>
      </c>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73"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73"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75"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496">
        <f>JUNIO!K169</f>
        <v/>
      </c>
      <c r="E169" s="731" t="n"/>
      <c r="F169" s="731" t="n"/>
      <c r="G169" s="730">
        <f>E169+F169</f>
        <v/>
      </c>
      <c r="H169" s="731" t="n">
        <v>690</v>
      </c>
      <c r="I169" s="731" t="n"/>
      <c r="J169" s="732">
        <f>AM169</f>
        <v/>
      </c>
      <c r="K169" s="738">
        <f>+(D169+G169)-(H169+I169+J169)</f>
        <v/>
      </c>
      <c r="L169" s="253" t="n">
        <v>510</v>
      </c>
      <c r="M169" s="254" t="inlineStr">
        <is>
          <t>NJ0379</t>
        </is>
      </c>
      <c r="N169" s="254" t="inlineStr">
        <is>
          <t>PFIZER</t>
        </is>
      </c>
      <c r="O169" s="1183" t="inlineStr">
        <is>
          <t>2029-02-28 00:00:00</t>
        </is>
      </c>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73" t="n"/>
      <c r="E170" s="994" t="n"/>
      <c r="F170" s="994" t="n"/>
      <c r="G170" s="973" t="n"/>
      <c r="H170" s="994" t="n"/>
      <c r="I170" s="994" t="n"/>
      <c r="J170" s="973" t="n"/>
      <c r="K170" s="973" t="n"/>
      <c r="L170" s="253" t="n"/>
      <c r="M170" s="254"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73"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73"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73"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75"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496">
        <f>JUNIO!K175</f>
        <v/>
      </c>
      <c r="E175" s="731" t="n"/>
      <c r="F175" s="731" t="n"/>
      <c r="G175" s="730">
        <f>E175+F175</f>
        <v/>
      </c>
      <c r="H175" s="731" t="n">
        <v>930</v>
      </c>
      <c r="I175" s="731" t="n"/>
      <c r="J175" s="732">
        <f>AM175</f>
        <v/>
      </c>
      <c r="K175" s="738">
        <f>+(D175+G175)-(H175+I175+J175)</f>
        <v/>
      </c>
      <c r="L175" s="253" t="n">
        <v>13</v>
      </c>
      <c r="M175" s="254" t="inlineStr">
        <is>
          <t>Y014828</t>
        </is>
      </c>
      <c r="N175" s="254" t="inlineStr">
        <is>
          <t>MERCK SHARP DOHME</t>
        </is>
      </c>
      <c r="O175" s="1183" t="inlineStr">
        <is>
          <t>31/05/2027</t>
        </is>
      </c>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73" t="n"/>
      <c r="E176" s="994" t="n"/>
      <c r="F176" s="994" t="n"/>
      <c r="G176" s="973" t="n"/>
      <c r="H176" s="994" t="n"/>
      <c r="I176" s="994" t="n"/>
      <c r="J176" s="973" t="n"/>
      <c r="K176" s="973" t="n"/>
      <c r="L176" s="253" t="n">
        <v>350</v>
      </c>
      <c r="M176" s="254" t="inlineStr">
        <is>
          <t>Y017576</t>
        </is>
      </c>
      <c r="N176" s="254" t="inlineStr">
        <is>
          <t>MERCK SHARP DOHME</t>
        </is>
      </c>
      <c r="O176" s="1183" t="inlineStr">
        <is>
          <t>05/06/2027</t>
        </is>
      </c>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73" t="n"/>
      <c r="E177" s="994" t="n"/>
      <c r="F177" s="994" t="n"/>
      <c r="G177" s="973" t="n"/>
      <c r="H177" s="994" t="n"/>
      <c r="I177" s="994" t="n"/>
      <c r="J177" s="973" t="n"/>
      <c r="K177" s="973" t="n"/>
      <c r="L177" s="253" t="n">
        <v>2260</v>
      </c>
      <c r="M177" s="254" t="inlineStr">
        <is>
          <t>Z004516</t>
        </is>
      </c>
      <c r="N177" s="254" t="inlineStr">
        <is>
          <t>MSD</t>
        </is>
      </c>
      <c r="O177" s="1183" t="inlineStr">
        <is>
          <t>22/09/2027</t>
        </is>
      </c>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73"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73"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75"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496">
        <f>JUNIO!K181</f>
        <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73"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73"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73"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73"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75"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496">
        <f>JUNIO!K187</f>
        <v/>
      </c>
      <c r="E187" s="731" t="n"/>
      <c r="F187" s="731" t="n"/>
      <c r="G187" s="730">
        <f>E187+F187</f>
        <v/>
      </c>
      <c r="H187" s="731" t="n">
        <v>572</v>
      </c>
      <c r="I187" s="731" t="n"/>
      <c r="J187" s="732">
        <f>AM187</f>
        <v/>
      </c>
      <c r="K187" s="738">
        <f>+(D187+G187)-(H187+I187+J187)</f>
        <v/>
      </c>
      <c r="L187" s="253" t="n">
        <v>728</v>
      </c>
      <c r="M187" s="254" t="inlineStr">
        <is>
          <t>1485O043</t>
        </is>
      </c>
      <c r="N187" s="254" t="inlineStr">
        <is>
          <t>Serum</t>
        </is>
      </c>
      <c r="O187" s="1183" t="inlineStr">
        <is>
          <t>31/03/2028</t>
        </is>
      </c>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73" t="n"/>
      <c r="E188" s="994" t="n"/>
      <c r="F188" s="994" t="n"/>
      <c r="G188" s="973" t="n"/>
      <c r="H188" s="994" t="n"/>
      <c r="I188" s="994" t="n"/>
      <c r="J188" s="973" t="n"/>
      <c r="K188" s="973" t="n"/>
      <c r="L188" s="253" t="n"/>
      <c r="M188" s="254" t="n"/>
      <c r="N188" s="254" t="n"/>
      <c r="O188" s="1183" t="n"/>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73"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73"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73"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75"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496">
        <f>JUNIO!K193</f>
        <v/>
      </c>
      <c r="E193" s="731" t="n"/>
      <c r="F193" s="731" t="n"/>
      <c r="G193" s="730">
        <f>E193+F193</f>
        <v/>
      </c>
      <c r="H193" s="731" t="n">
        <v>78</v>
      </c>
      <c r="I193" s="731" t="n"/>
      <c r="J193" s="732">
        <f>AM193</f>
        <v/>
      </c>
      <c r="K193" s="738">
        <f>+(D193+G193)-(H193+I193+J193)</f>
        <v/>
      </c>
      <c r="L193" s="253" t="n"/>
      <c r="M193" s="254" t="n"/>
      <c r="N193" s="254" t="n"/>
      <c r="O193" s="1183" t="inlineStr">
        <is>
          <t>24/03/2028</t>
        </is>
      </c>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73"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73"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73"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73"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75"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496">
        <f>JUNIO!K199</f>
        <v/>
      </c>
      <c r="E199" s="731" t="n"/>
      <c r="F199" s="731" t="n"/>
      <c r="G199" s="730">
        <f>E199+F199</f>
        <v/>
      </c>
      <c r="H199" s="731" t="n"/>
      <c r="I199" s="731" t="n"/>
      <c r="J199" s="732">
        <f>AM199</f>
        <v/>
      </c>
      <c r="K199" s="738">
        <f>+(D199+G199)-(H199+I199+J199)</f>
        <v/>
      </c>
      <c r="L199" s="253" t="n">
        <v>61</v>
      </c>
      <c r="M199" s="254" t="inlineStr">
        <is>
          <t>08AR25015</t>
        </is>
      </c>
      <c r="N199" s="254" t="inlineStr">
        <is>
          <t>VINS BIOPRODUCTS LIMITED</t>
        </is>
      </c>
      <c r="O199" s="1183" t="inlineStr">
        <is>
          <t>31/05/2027</t>
        </is>
      </c>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73" t="n"/>
      <c r="E200" s="994" t="n"/>
      <c r="F200" s="994" t="n"/>
      <c r="G200" s="973" t="n"/>
      <c r="H200" s="994" t="n"/>
      <c r="I200" s="994" t="n"/>
      <c r="J200" s="973" t="n"/>
      <c r="K200" s="973" t="n"/>
      <c r="L200" s="253" t="n">
        <v>204</v>
      </c>
      <c r="M200" s="254" t="inlineStr">
        <is>
          <t>08AR25031</t>
        </is>
      </c>
      <c r="N200" s="254" t="inlineStr">
        <is>
          <t>VINS BIOPRODUCTS LIMITED</t>
        </is>
      </c>
      <c r="O200" s="1183" t="inlineStr">
        <is>
          <t>30/07/2027</t>
        </is>
      </c>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73"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73"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73"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75"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496">
        <f>JUNIO!K205</f>
        <v/>
      </c>
      <c r="E205" s="731" t="n"/>
      <c r="F205" s="731" t="n"/>
      <c r="G205" s="730">
        <f>E205+F205</f>
        <v/>
      </c>
      <c r="H205" s="731" t="n">
        <v>7</v>
      </c>
      <c r="I205" s="731" t="n"/>
      <c r="J205" s="732">
        <f>AM205</f>
        <v/>
      </c>
      <c r="K205" s="738">
        <f>+(D205+G205)-(H205+I205+J205)</f>
        <v/>
      </c>
      <c r="L205" s="253" t="n"/>
      <c r="M205" s="254" t="n"/>
      <c r="N205" s="254" t="n"/>
      <c r="O205" s="1183" t="inlineStr">
        <is>
          <t>09/07/2028</t>
        </is>
      </c>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73"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73"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73"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73"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75"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496">
        <f>JUNIO!K211</f>
        <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73"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73"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73"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73"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75"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496">
        <f>JUNIO!K217</f>
        <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73"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73"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73"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73"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75"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496">
        <f>JUNIO!K223</f>
        <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73"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73"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73"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73"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75"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496">
        <f>JUNIO!K230</f>
        <v/>
      </c>
      <c r="E230" s="731" t="n"/>
      <c r="F230" s="731" t="n"/>
      <c r="G230" s="730">
        <f>E230+F230</f>
        <v/>
      </c>
      <c r="H230" s="731" t="n">
        <v>1600</v>
      </c>
      <c r="I230" s="731" t="n"/>
      <c r="J230" s="732">
        <f>AM230</f>
        <v/>
      </c>
      <c r="K230" s="738">
        <f>+(D230+G230)-(H230+I230+J230)</f>
        <v/>
      </c>
      <c r="L230" s="253" t="n">
        <v>20</v>
      </c>
      <c r="M230" s="254" t="inlineStr">
        <is>
          <t>0704S4011</t>
        </is>
      </c>
      <c r="N230" s="254" t="inlineStr">
        <is>
          <t>Serum</t>
        </is>
      </c>
      <c r="O230" s="1183" t="inlineStr">
        <is>
          <t>30/06/2028</t>
        </is>
      </c>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73" t="n"/>
      <c r="E231" s="994" t="n"/>
      <c r="F231" s="994" t="n"/>
      <c r="G231" s="973" t="n"/>
      <c r="H231" s="994" t="n"/>
      <c r="I231" s="994" t="n"/>
      <c r="J231" s="973" t="n"/>
      <c r="K231" s="973" t="n"/>
      <c r="L231" s="253" t="n">
        <v>2470</v>
      </c>
      <c r="M231" s="254" t="inlineStr">
        <is>
          <t>0704S1005</t>
        </is>
      </c>
      <c r="N231" s="254" t="inlineStr">
        <is>
          <t>Serum</t>
        </is>
      </c>
      <c r="O231" s="1183" t="inlineStr">
        <is>
          <t>31/08/2028</t>
        </is>
      </c>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73" t="n"/>
      <c r="E232" s="994" t="n"/>
      <c r="F232" s="994" t="n"/>
      <c r="G232" s="973" t="n"/>
      <c r="H232" s="994" t="n"/>
      <c r="I232" s="994" t="n"/>
      <c r="J232" s="973" t="n"/>
      <c r="K232" s="973" t="n"/>
      <c r="L232" s="253" t="n">
        <v>3000</v>
      </c>
      <c r="M232" s="254" t="inlineStr">
        <is>
          <t>0704S4013</t>
        </is>
      </c>
      <c r="N232" s="254" t="inlineStr">
        <is>
          <t>Serum</t>
        </is>
      </c>
      <c r="O232" s="1183" t="inlineStr">
        <is>
          <t>30/09/2028</t>
        </is>
      </c>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73"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73"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75" t="n"/>
      <c r="E235" s="998" t="n"/>
      <c r="F235" s="998" t="n"/>
      <c r="G235" s="975" t="n"/>
      <c r="H235" s="998" t="n"/>
      <c r="I235" s="998" t="n"/>
      <c r="J235" s="975" t="n"/>
      <c r="K235" s="1189">
        <f>K230=L235</f>
        <v/>
      </c>
      <c r="L235" s="491">
        <f>SUM(L230:L234)</f>
        <v/>
      </c>
      <c r="M235" s="1190" t="inlineStr">
        <is>
          <t xml:space="preserve">“Verdadero” indica que la cantidad por lote, coincide con el saldo que inicia al mes siguiente. "Falso" no coinicide. </t>
        </is>
      </c>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496">
        <f>JUNIO!K236</f>
        <v/>
      </c>
      <c r="E236" s="731" t="n"/>
      <c r="F236" s="731" t="n"/>
      <c r="G236" s="730">
        <f>E236+F236</f>
        <v/>
      </c>
      <c r="H236" s="731" t="n">
        <v>1041</v>
      </c>
      <c r="I236" s="731" t="n"/>
      <c r="J236" s="732">
        <f>AM236</f>
        <v/>
      </c>
      <c r="K236" s="738">
        <f>+(D236+G236)-(H236+I236+J236)</f>
        <v/>
      </c>
      <c r="L236" s="253" t="n">
        <v>4</v>
      </c>
      <c r="M236" s="254" t="inlineStr">
        <is>
          <t>0643S1010</t>
        </is>
      </c>
      <c r="N236" s="254" t="inlineStr">
        <is>
          <t>Serum</t>
        </is>
      </c>
      <c r="O236" s="1183" t="inlineStr">
        <is>
          <t>30/04/2028</t>
        </is>
      </c>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73" t="n"/>
      <c r="E237" s="994" t="n"/>
      <c r="F237" s="994" t="n"/>
      <c r="G237" s="973" t="n"/>
      <c r="H237" s="994" t="n"/>
      <c r="I237" s="994" t="n"/>
      <c r="J237" s="973" t="n"/>
      <c r="K237" s="973" t="n"/>
      <c r="L237" s="253" t="n">
        <v>7199</v>
      </c>
      <c r="M237" s="254" t="inlineStr">
        <is>
          <t>0644S4011</t>
        </is>
      </c>
      <c r="N237" s="254" t="inlineStr">
        <is>
          <t>Serum</t>
        </is>
      </c>
      <c r="O237" s="1183" t="inlineStr">
        <is>
          <t>30/06/2029</t>
        </is>
      </c>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73" t="n"/>
      <c r="E238" s="994" t="n"/>
      <c r="F238" s="994" t="n"/>
      <c r="G238" s="973" t="n"/>
      <c r="H238" s="994" t="n"/>
      <c r="I238" s="994" t="n"/>
      <c r="J238" s="973" t="n"/>
      <c r="K238" s="973" t="n"/>
      <c r="L238" s="253" t="n">
        <v>4500</v>
      </c>
      <c r="M238" s="254" t="inlineStr">
        <is>
          <t>0644S1004</t>
        </is>
      </c>
      <c r="N238" s="254" t="inlineStr">
        <is>
          <t>Serum</t>
        </is>
      </c>
      <c r="O238" s="1183" t="inlineStr">
        <is>
          <t>31/08/2029</t>
        </is>
      </c>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73"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73"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75" t="n"/>
      <c r="E241" s="998" t="n"/>
      <c r="F241" s="998" t="n"/>
      <c r="G241" s="975" t="n"/>
      <c r="H241" s="998" t="n"/>
      <c r="I241" s="998" t="n"/>
      <c r="J241" s="975" t="n"/>
      <c r="K241" s="1189">
        <f>K236=L241</f>
        <v/>
      </c>
      <c r="L241" s="491">
        <f>SUM(L236:L240)</f>
        <v/>
      </c>
      <c r="M241" s="1190" t="inlineStr">
        <is>
          <t xml:space="preserve">“Verdadero” indica que la cantidad por lote, coincide con el saldo que inicia al mes siguiente. "Falso" no coinicide. </t>
        </is>
      </c>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496">
        <f>JUNIO!K242</f>
        <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73"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73"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73"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73"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75" t="n"/>
      <c r="E247" s="998" t="n"/>
      <c r="F247" s="998" t="n"/>
      <c r="G247" s="975" t="n"/>
      <c r="H247" s="998" t="n"/>
      <c r="I247" s="998" t="n"/>
      <c r="J247" s="975" t="n"/>
      <c r="K247" s="1189">
        <f>K242=L247</f>
        <v/>
      </c>
      <c r="L247" s="491">
        <f>SUM(L242:L246)</f>
        <v/>
      </c>
      <c r="M247" s="1190" t="inlineStr">
        <is>
          <t xml:space="preserve">“Verdadero” indica que la cantidad por lote, coincide con el saldo que inicia al mes siguiente. "Falso" no coinicide. </t>
        </is>
      </c>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496">
        <f>JUNIO!K248</f>
        <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73"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73"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73"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73"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75" t="n"/>
      <c r="E253" s="998" t="n"/>
      <c r="F253" s="998" t="n"/>
      <c r="G253" s="975" t="n"/>
      <c r="H253" s="998" t="n"/>
      <c r="I253" s="998" t="n"/>
      <c r="J253" s="975" t="n"/>
      <c r="K253" s="1189">
        <f>K248=L253</f>
        <v/>
      </c>
      <c r="L253" s="491">
        <f>SUM(L248:L252)</f>
        <v/>
      </c>
      <c r="M253" s="1190" t="inlineStr">
        <is>
          <t xml:space="preserve">“Verdadero” indica que la cantidad por lote, coincide con el saldo que inicia al mes siguiente. "Falso" no coinicide. </t>
        </is>
      </c>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496">
        <f>JUNIO!K254</f>
        <v/>
      </c>
      <c r="E254" s="731" t="n"/>
      <c r="F254" s="731" t="n"/>
      <c r="G254" s="730">
        <f>E254+F254</f>
        <v/>
      </c>
      <c r="H254" s="731" t="n">
        <v>3966</v>
      </c>
      <c r="I254" s="731" t="n"/>
      <c r="J254" s="732">
        <f>AM254</f>
        <v/>
      </c>
      <c r="K254" s="738">
        <f>+(D254+G254)-(H254+I254+J254)</f>
        <v/>
      </c>
      <c r="L254" s="253" t="n">
        <v>4</v>
      </c>
      <c r="M254" s="254" t="inlineStr">
        <is>
          <t>0643S4002</t>
        </is>
      </c>
      <c r="N254" s="254" t="inlineStr">
        <is>
          <t>Serum</t>
        </is>
      </c>
      <c r="O254" s="1183" t="inlineStr">
        <is>
          <t>30/04/2028</t>
        </is>
      </c>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73" t="n"/>
      <c r="E255" s="994" t="n"/>
      <c r="F255" s="994" t="n"/>
      <c r="G255" s="973" t="n"/>
      <c r="H255" s="994" t="n"/>
      <c r="I255" s="994" t="n"/>
      <c r="J255" s="973" t="n"/>
      <c r="K255" s="973" t="n"/>
      <c r="L255" s="253" t="n">
        <v>423</v>
      </c>
      <c r="M255" s="254" t="inlineStr">
        <is>
          <t>0643S4003</t>
        </is>
      </c>
      <c r="N255" s="254" t="inlineStr">
        <is>
          <t>Serum</t>
        </is>
      </c>
      <c r="O255" s="1183" t="inlineStr">
        <is>
          <t>31/08/2028</t>
        </is>
      </c>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73" t="n"/>
      <c r="E256" s="994" t="n"/>
      <c r="F256" s="994" t="n"/>
      <c r="G256" s="973" t="n"/>
      <c r="H256" s="994" t="n"/>
      <c r="I256" s="994" t="n"/>
      <c r="J256" s="973" t="n"/>
      <c r="K256" s="973" t="n"/>
      <c r="L256" s="253" t="n">
        <v>124</v>
      </c>
      <c r="M256" s="254" t="inlineStr">
        <is>
          <t>0644S4022</t>
        </is>
      </c>
      <c r="N256" s="254" t="inlineStr">
        <is>
          <t>Serum</t>
        </is>
      </c>
      <c r="O256" s="1183" t="inlineStr">
        <is>
          <t>2029-09-30 00:00:00</t>
        </is>
      </c>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73" t="n"/>
      <c r="E257" s="994" t="n"/>
      <c r="F257" s="994" t="n"/>
      <c r="G257" s="973" t="n"/>
      <c r="H257" s="994" t="n"/>
      <c r="I257" s="994" t="n"/>
      <c r="J257" s="973" t="n"/>
      <c r="K257" s="973" t="n"/>
      <c r="L257" s="253" t="n"/>
      <c r="M257" s="254" t="n"/>
      <c r="N257" s="254" t="n"/>
      <c r="O257" s="1183" t="n"/>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73"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75" t="n"/>
      <c r="E259" s="998" t="n"/>
      <c r="F259" s="998" t="n"/>
      <c r="G259" s="975" t="n"/>
      <c r="H259" s="998" t="n"/>
      <c r="I259" s="998" t="n"/>
      <c r="J259" s="975" t="n"/>
      <c r="K259" s="1189">
        <f>K254=L259</f>
        <v/>
      </c>
      <c r="L259" s="491">
        <f>SUM(L254:L258)</f>
        <v/>
      </c>
      <c r="M259" s="1190" t="inlineStr">
        <is>
          <t xml:space="preserve">“Verdadero” indica que la cantidad por lote, coincide con el saldo que inicia al mes siguiente. "Falso" no coinicide. </t>
        </is>
      </c>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496">
        <f>JUNIO!K260</f>
        <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73"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73"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73"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73"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75" t="n"/>
      <c r="E265" s="998" t="n"/>
      <c r="F265" s="998" t="n"/>
      <c r="G265" s="975" t="n"/>
      <c r="H265" s="998" t="n"/>
      <c r="I265" s="998" t="n"/>
      <c r="J265" s="975" t="n"/>
      <c r="K265" s="1189">
        <f>K260=L265</f>
        <v/>
      </c>
      <c r="L265" s="491">
        <f>SUM(L260:L264)</f>
        <v/>
      </c>
      <c r="M265" s="1190" t="inlineStr">
        <is>
          <t xml:space="preserve">“Verdadero” indica que la cantidad por lote, coincide con el saldo que inicia al mes siguiente. "Falso" no coinicide. </t>
        </is>
      </c>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496">
        <f>JUNIO!K266</f>
        <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73"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73"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73"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73"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75" t="n"/>
      <c r="E271" s="998" t="n"/>
      <c r="F271" s="998" t="n"/>
      <c r="G271" s="975" t="n"/>
      <c r="H271" s="998" t="n"/>
      <c r="I271" s="998" t="n"/>
      <c r="J271" s="975" t="n"/>
      <c r="K271" s="1189">
        <f>K266=L271</f>
        <v/>
      </c>
      <c r="L271" s="491">
        <f>SUM(L266:L270)</f>
        <v/>
      </c>
      <c r="M271" s="1190" t="inlineStr">
        <is>
          <t xml:space="preserve">“Verdadero” indica que la cantidad por lote, coincide con el saldo que inicia al mes siguiente. "Falso" no coinicide. </t>
        </is>
      </c>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496">
        <f>JUNIO!K272</f>
        <v/>
      </c>
      <c r="E272" s="731" t="n"/>
      <c r="F272" s="731" t="n"/>
      <c r="G272" s="730">
        <f>E272+F272</f>
        <v/>
      </c>
      <c r="H272" s="731" t="n">
        <v>6450</v>
      </c>
      <c r="I272" s="731" t="n"/>
      <c r="J272" s="732">
        <f>AM272</f>
        <v/>
      </c>
      <c r="K272" s="738">
        <f>+(D272+G272)-(H272+I272+J272)</f>
        <v/>
      </c>
      <c r="L272" s="253" t="n">
        <v>40</v>
      </c>
      <c r="M272" s="254" t="inlineStr">
        <is>
          <t>Y4X16</t>
        </is>
      </c>
      <c r="N272" s="254" t="inlineStr">
        <is>
          <t>Sanofi Pasteur</t>
        </is>
      </c>
      <c r="O272" s="1183" t="inlineStr">
        <is>
          <t>30/06/2027</t>
        </is>
      </c>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73" t="n"/>
      <c r="E273" s="994" t="n"/>
      <c r="F273" s="994" t="n"/>
      <c r="G273" s="973" t="n"/>
      <c r="H273" s="994" t="n"/>
      <c r="I273" s="994" t="n"/>
      <c r="J273" s="973" t="n"/>
      <c r="K273" s="973" t="n"/>
      <c r="L273" s="253" t="n">
        <v>24300</v>
      </c>
      <c r="M273" s="254" t="inlineStr">
        <is>
          <t>Y4X19</t>
        </is>
      </c>
      <c r="N273" s="254" t="inlineStr">
        <is>
          <t>Sanofi Pasteur</t>
        </is>
      </c>
      <c r="O273" s="1183" t="inlineStr">
        <is>
          <t>31/08/2027</t>
        </is>
      </c>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73" t="n"/>
      <c r="E274" s="994" t="n"/>
      <c r="F274" s="994" t="n"/>
      <c r="G274" s="973" t="n"/>
      <c r="H274" s="994" t="n"/>
      <c r="I274" s="994" t="n"/>
      <c r="J274" s="973" t="n"/>
      <c r="K274" s="973" t="n"/>
      <c r="L274" s="253" t="n">
        <v>10000</v>
      </c>
      <c r="M274" s="254" t="inlineStr">
        <is>
          <t>262</t>
        </is>
      </c>
      <c r="N274" s="254" t="inlineStr">
        <is>
          <t>Sanofi Pasteur</t>
        </is>
      </c>
      <c r="O274" s="1183" t="inlineStr">
        <is>
          <t>30/04/2028</t>
        </is>
      </c>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73"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73"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75" t="n"/>
      <c r="E277" s="998" t="n"/>
      <c r="F277" s="998" t="n"/>
      <c r="G277" s="975" t="n"/>
      <c r="H277" s="998" t="n"/>
      <c r="I277" s="998" t="n"/>
      <c r="J277" s="975" t="n"/>
      <c r="K277" s="1189">
        <f>K272=L277</f>
        <v/>
      </c>
      <c r="L277" s="491">
        <f>SUM(L272:L276)</f>
        <v/>
      </c>
      <c r="M277" s="1190" t="inlineStr">
        <is>
          <t xml:space="preserve">“Verdadero” indica que la cantidad por lote, coincide con el saldo que inicia al mes siguiente. "Falso" no coinicide. </t>
        </is>
      </c>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496">
        <f>JUNIO!K278</f>
        <v/>
      </c>
      <c r="E278" s="731" t="n"/>
      <c r="F278" s="731" t="n"/>
      <c r="G278" s="730">
        <f>E278+F278</f>
        <v/>
      </c>
      <c r="H278" s="731" t="n">
        <v>1042</v>
      </c>
      <c r="I278" s="731" t="n"/>
      <c r="J278" s="732">
        <f>AM278</f>
        <v/>
      </c>
      <c r="K278" s="738">
        <f>+(D278+G278)-(H278+I278+J278)</f>
        <v/>
      </c>
      <c r="L278" s="253" t="n">
        <v>1096</v>
      </c>
      <c r="M278" s="254" t="inlineStr">
        <is>
          <t>90250603-1</t>
        </is>
      </c>
      <c r="N278" s="254" t="inlineStr">
        <is>
          <t>Sinovac</t>
        </is>
      </c>
      <c r="O278" s="1183" t="inlineStr">
        <is>
          <t>05/06/2029</t>
        </is>
      </c>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73" t="n"/>
      <c r="E279" s="994" t="n"/>
      <c r="F279" s="994" t="n"/>
      <c r="G279" s="973" t="n"/>
      <c r="H279" s="994" t="n"/>
      <c r="I279" s="994" t="n"/>
      <c r="J279" s="973" t="n"/>
      <c r="K279" s="973" t="n"/>
      <c r="L279" s="253" t="n"/>
      <c r="M279" s="254" t="n"/>
      <c r="N279" s="254" t="n"/>
      <c r="O279" s="1183" t="n"/>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73"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73"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73"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75" t="n"/>
      <c r="E283" s="998" t="n"/>
      <c r="F283" s="998" t="n"/>
      <c r="G283" s="975" t="n"/>
      <c r="H283" s="998" t="n"/>
      <c r="I283" s="998" t="n"/>
      <c r="J283" s="975" t="n"/>
      <c r="K283" s="1189">
        <f>K278=L283</f>
        <v/>
      </c>
      <c r="L283" s="491">
        <f>SUM(L278:L282)</f>
        <v/>
      </c>
      <c r="M283" s="1190" t="inlineStr">
        <is>
          <t xml:space="preserve">“Verdadero” indica que la cantidad por lote, coincide con el saldo que inicia al mes siguiente. "Falso" no coinicide. </t>
        </is>
      </c>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496">
        <f>JUNIO!K284</f>
        <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73"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73"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73"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73"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75" t="n"/>
      <c r="E289" s="998" t="n"/>
      <c r="F289" s="998" t="n"/>
      <c r="G289" s="975" t="n"/>
      <c r="H289" s="998" t="n"/>
      <c r="I289" s="998" t="n"/>
      <c r="J289" s="975" t="n"/>
      <c r="K289" s="1189">
        <f>K284=L289</f>
        <v/>
      </c>
      <c r="L289" s="491">
        <f>SUM(L284:L288)</f>
        <v/>
      </c>
      <c r="M289" s="1190" t="inlineStr">
        <is>
          <t xml:space="preserve">“Verdadero” indica que la cantidad por lote, coincide con el saldo que inicia al mes siguiente. "Falso" no coinicide. </t>
        </is>
      </c>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496">
        <f>JUNIO!K290</f>
        <v/>
      </c>
      <c r="E290" s="731" t="n"/>
      <c r="F290" s="731" t="n"/>
      <c r="G290" s="730">
        <f>E290+F290</f>
        <v/>
      </c>
      <c r="H290" s="731" t="n">
        <v>572</v>
      </c>
      <c r="I290" s="731" t="n"/>
      <c r="J290" s="732">
        <f>AM290</f>
        <v/>
      </c>
      <c r="K290" s="738">
        <f>+(D290+G290)-(H290+I290+J290)</f>
        <v/>
      </c>
      <c r="L290" s="253" t="n">
        <v>26</v>
      </c>
      <c r="M290" s="254" t="inlineStr">
        <is>
          <t>0654S4016</t>
        </is>
      </c>
      <c r="N290" s="254" t="inlineStr">
        <is>
          <t>Serum</t>
        </is>
      </c>
      <c r="O290" s="1183" t="inlineStr">
        <is>
          <t>31/07/2029</t>
        </is>
      </c>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73" t="n"/>
      <c r="E291" s="994" t="n"/>
      <c r="F291" s="994" t="n"/>
      <c r="G291" s="973" t="n"/>
      <c r="H291" s="994" t="n"/>
      <c r="I291" s="994" t="n"/>
      <c r="J291" s="973" t="n"/>
      <c r="K291" s="973" t="n"/>
      <c r="L291" s="253" t="n">
        <v>668</v>
      </c>
      <c r="M291" s="254" t="inlineStr">
        <is>
          <t>0654S4018</t>
        </is>
      </c>
      <c r="N291" s="254" t="inlineStr">
        <is>
          <t>Serum</t>
        </is>
      </c>
      <c r="O291" s="1183" t="inlineStr">
        <is>
          <t>31/08/2029</t>
        </is>
      </c>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73"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73"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73"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75" t="n"/>
      <c r="E295" s="998" t="n"/>
      <c r="F295" s="998" t="n"/>
      <c r="G295" s="975" t="n"/>
      <c r="H295" s="998" t="n"/>
      <c r="I295" s="998" t="n"/>
      <c r="J295" s="975" t="n"/>
      <c r="K295" s="1189">
        <f>K290=L295</f>
        <v/>
      </c>
      <c r="L295" s="491">
        <f>SUM(L290:L294)</f>
        <v/>
      </c>
      <c r="M295" s="1190" t="inlineStr">
        <is>
          <t xml:space="preserve">“Verdadero” indica que la cantidad por lote, coincide con el saldo que inicia al mes siguiente. "Falso" no coinicide. </t>
        </is>
      </c>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496">
        <f>JUNIO!K296</f>
        <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73"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73"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73"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73"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75" t="n"/>
      <c r="E301" s="998" t="n"/>
      <c r="F301" s="998" t="n"/>
      <c r="G301" s="975" t="n"/>
      <c r="H301" s="998" t="n"/>
      <c r="I301" s="998" t="n"/>
      <c r="J301" s="975" t="n"/>
      <c r="K301" s="1189">
        <f>K296=L301</f>
        <v/>
      </c>
      <c r="L301" s="491">
        <f>SUM(L296:L300)</f>
        <v/>
      </c>
      <c r="M301" s="1190" t="inlineStr">
        <is>
          <t xml:space="preserve">“Verdadero” indica que la cantidad por lote, coincide con el saldo que inicia al mes siguiente. "Falso" no coinicide. </t>
        </is>
      </c>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647" t="inlineStr">
        <is>
          <t>JERINGAS</t>
        </is>
      </c>
      <c r="C302" s="967" t="n"/>
      <c r="D302" s="1257"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496">
        <f>JUNIO!K303</f>
        <v/>
      </c>
      <c r="E303" s="731" t="n"/>
      <c r="F303" s="731" t="n"/>
      <c r="G303" s="730">
        <f>E303+F303</f>
        <v/>
      </c>
      <c r="H303" s="731" t="n"/>
      <c r="I303" s="731" t="n"/>
      <c r="J303" s="732">
        <f>+AM303</f>
        <v/>
      </c>
      <c r="K303" s="706">
        <f>+(D303+G303)-(H303+I303+J303)</f>
        <v/>
      </c>
      <c r="L303" s="253" t="n">
        <v>200</v>
      </c>
      <c r="M303" s="254" t="inlineStr">
        <is>
          <t>252216</t>
        </is>
      </c>
      <c r="N303" s="254" t="inlineStr">
        <is>
          <t>MEDICAL</t>
        </is>
      </c>
      <c r="O303" s="1183" t="inlineStr">
        <is>
          <t>30/08/2027</t>
        </is>
      </c>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73"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73" t="n"/>
      <c r="E305" s="994" t="n"/>
      <c r="F305" s="994" t="n"/>
      <c r="G305" s="973" t="n"/>
      <c r="H305" s="994" t="n"/>
      <c r="I305" s="994" t="n"/>
      <c r="J305" s="973" t="n"/>
      <c r="K305" s="973" t="n"/>
      <c r="L305" s="253" t="n"/>
      <c r="M305" s="254" t="n"/>
      <c r="N305" s="254" t="n"/>
      <c r="O305" s="1183" t="n"/>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73"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73"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73"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75" t="n"/>
      <c r="E309" s="998" t="n"/>
      <c r="F309" s="998" t="n"/>
      <c r="G309" s="975" t="n"/>
      <c r="H309" s="998" t="n"/>
      <c r="I309" s="998" t="n"/>
      <c r="J309" s="975" t="n"/>
      <c r="K309" s="1189">
        <f>K303=L309</f>
        <v/>
      </c>
      <c r="L309" s="491">
        <f>SUM(L303:L308)</f>
        <v/>
      </c>
      <c r="M309" s="1190" t="inlineStr">
        <is>
          <t xml:space="preserve">“Verdadero” indica que la cantidad por lote, coincide con el saldo que inicia al mes siguiente. "Falso" no coinicide. </t>
        </is>
      </c>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496">
        <f>JUNIO!K310</f>
        <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73"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73"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73"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73"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73"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75" t="n"/>
      <c r="E316" s="998" t="n"/>
      <c r="F316" s="998" t="n"/>
      <c r="G316" s="975" t="n"/>
      <c r="H316" s="998" t="n"/>
      <c r="I316" s="998" t="n"/>
      <c r="J316" s="975" t="n"/>
      <c r="K316" s="1189">
        <f>K310=L316</f>
        <v/>
      </c>
      <c r="L316" s="491">
        <f>SUM(L310:L315)</f>
        <v/>
      </c>
      <c r="M316" s="1190" t="inlineStr">
        <is>
          <t xml:space="preserve">“Verdadero” indica que la cantidad por lote, coincide con el saldo que inicia al mes siguiente. "Falso" no coinicide. </t>
        </is>
      </c>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496">
        <f>JUNIO!K317</f>
        <v/>
      </c>
      <c r="E317" s="731" t="n"/>
      <c r="F317" s="731" t="n"/>
      <c r="G317" s="730">
        <f>E317+F317</f>
        <v/>
      </c>
      <c r="H317" s="731" t="n">
        <v>5820</v>
      </c>
      <c r="I317" s="731" t="n"/>
      <c r="J317" s="732">
        <f>+AM317</f>
        <v/>
      </c>
      <c r="K317" s="706">
        <f>+(D317+G317)-(H317+I317+J317)</f>
        <v/>
      </c>
      <c r="L317" s="253" t="n">
        <v>14400</v>
      </c>
      <c r="M317" s="254" t="inlineStr">
        <is>
          <t>2407226</t>
        </is>
      </c>
      <c r="N317" s="254" t="inlineStr">
        <is>
          <t>SANAVITA</t>
        </is>
      </c>
      <c r="O317" s="1183" t="inlineStr">
        <is>
          <t>2029-07-29 00:00:00</t>
        </is>
      </c>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73" t="n"/>
      <c r="E318" s="994" t="n"/>
      <c r="F318" s="994" t="n"/>
      <c r="G318" s="973" t="n"/>
      <c r="H318" s="994" t="n"/>
      <c r="I318" s="994" t="n"/>
      <c r="J318" s="973" t="n"/>
      <c r="K318" s="973" t="n"/>
      <c r="L318" s="253" t="n">
        <v>6000</v>
      </c>
      <c r="M318" s="254" t="inlineStr">
        <is>
          <t>0244J11</t>
        </is>
      </c>
      <c r="N318" s="254" t="inlineStr">
        <is>
          <t>Fabricante</t>
        </is>
      </c>
      <c r="O318" s="1183" t="inlineStr">
        <is>
          <t>31/12/2028</t>
        </is>
      </c>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73" t="n"/>
      <c r="E319" s="994" t="n"/>
      <c r="F319" s="994" t="n"/>
      <c r="G319" s="973" t="n"/>
      <c r="H319" s="994" t="n"/>
      <c r="I319" s="994" t="n"/>
      <c r="J319" s="973" t="n"/>
      <c r="K319" s="973" t="n"/>
      <c r="L319" s="253" t="n"/>
      <c r="M319" s="254" t="n"/>
      <c r="N319" s="254" t="n"/>
      <c r="O319" s="1183" t="n"/>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73"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73"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73"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75" t="n"/>
      <c r="E323" s="998" t="n"/>
      <c r="F323" s="998" t="n"/>
      <c r="G323" s="975" t="n"/>
      <c r="H323" s="998" t="n"/>
      <c r="I323" s="998" t="n"/>
      <c r="J323" s="975" t="n"/>
      <c r="K323" s="1189">
        <f>K317=L323</f>
        <v/>
      </c>
      <c r="L323" s="491">
        <f>SUM(L317:L322)</f>
        <v/>
      </c>
      <c r="M323" s="1190" t="inlineStr">
        <is>
          <t xml:space="preserve">“Verdadero” indica que la cantidad por lote, coincide con el saldo que inicia al mes siguiente. "Falso" no coinicide. </t>
        </is>
      </c>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496">
        <f>JUNIO!K324</f>
        <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73"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73"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73"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73"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73"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75"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496">
        <f>JUNIO!K331</f>
        <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73"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73"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73"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73"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73"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75" t="n"/>
      <c r="E337" s="998" t="n"/>
      <c r="F337" s="998" t="n"/>
      <c r="G337" s="975" t="n"/>
      <c r="H337" s="998" t="n"/>
      <c r="I337" s="998" t="n"/>
      <c r="J337" s="975" t="n"/>
      <c r="K337" s="1189">
        <f>K331=L337</f>
        <v/>
      </c>
      <c r="L337" s="491">
        <f>SUM(L331:L336)</f>
        <v/>
      </c>
      <c r="M337" s="1190" t="inlineStr">
        <is>
          <t xml:space="preserve">“Verdadero” indica que la cantidad por lote, coincide con el saldo que inicia al mes siguiente. "Falso" no coinicide. </t>
        </is>
      </c>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496">
        <f>JUNIO!K338</f>
        <v/>
      </c>
      <c r="E338" s="731" t="n"/>
      <c r="F338" s="731" t="n"/>
      <c r="G338" s="730">
        <f>E338+F338</f>
        <v/>
      </c>
      <c r="H338" s="731" t="n">
        <v>11500</v>
      </c>
      <c r="I338" s="731" t="n"/>
      <c r="J338" s="732">
        <f>+AM338</f>
        <v/>
      </c>
      <c r="K338" s="706">
        <f>+(D338+G338)-(H338+I338+J338)</f>
        <v/>
      </c>
      <c r="L338" s="253" t="n">
        <v>2300</v>
      </c>
      <c r="M338" s="254" t="inlineStr">
        <is>
          <t>AR13133-8</t>
        </is>
      </c>
      <c r="N338" s="254" t="inlineStr">
        <is>
          <t>JIANGXI SANXIN MEDTEC</t>
        </is>
      </c>
      <c r="O338" s="1183" t="inlineStr">
        <is>
          <t>31/03/2027</t>
        </is>
      </c>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73" t="n"/>
      <c r="E339" s="994" t="n"/>
      <c r="F339" s="994" t="n"/>
      <c r="G339" s="973" t="n"/>
      <c r="H339" s="994" t="n"/>
      <c r="I339" s="994" t="n"/>
      <c r="J339" s="973" t="n"/>
      <c r="K339" s="973" t="n"/>
      <c r="L339" s="253" t="n">
        <v>21000</v>
      </c>
      <c r="M339" s="254" t="inlineStr">
        <is>
          <t>220270</t>
        </is>
      </c>
      <c r="N339" s="254" t="n"/>
      <c r="O339" s="1183" t="inlineStr">
        <is>
          <t>31/07/2027</t>
        </is>
      </c>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73" t="n"/>
      <c r="E340" s="994" t="n"/>
      <c r="F340" s="994" t="n"/>
      <c r="G340" s="973" t="n"/>
      <c r="H340" s="994" t="n"/>
      <c r="I340" s="994" t="n"/>
      <c r="J340" s="973" t="n"/>
      <c r="K340" s="973" t="n"/>
      <c r="L340" s="253" t="n"/>
      <c r="M340" s="254" t="n"/>
      <c r="N340" s="254" t="n"/>
      <c r="O340" s="1183" t="n"/>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73"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73"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73"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75" t="n"/>
      <c r="E344" s="998" t="n"/>
      <c r="F344" s="998" t="n"/>
      <c r="G344" s="975" t="n"/>
      <c r="H344" s="998" t="n"/>
      <c r="I344" s="998" t="n"/>
      <c r="J344" s="975" t="n"/>
      <c r="K344" s="1189">
        <f>K338=L344</f>
        <v/>
      </c>
      <c r="L344" s="491">
        <f>SUM(L338:L343)</f>
        <v/>
      </c>
      <c r="M344" s="1190" t="inlineStr">
        <is>
          <t xml:space="preserve">“Verdadero” indica que la cantidad por lote, coincide con el saldo que inicia al mes siguiente. "Falso" no coinicide. </t>
        </is>
      </c>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496">
        <f>JUNIO!K345</f>
        <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73"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73"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73"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73"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73"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75" t="n"/>
      <c r="E351" s="998" t="n"/>
      <c r="F351" s="998" t="n"/>
      <c r="G351" s="975" t="n"/>
      <c r="H351" s="998" t="n"/>
      <c r="I351" s="998" t="n"/>
      <c r="J351" s="975" t="n"/>
      <c r="K351" s="1189">
        <f>K345=L351</f>
        <v/>
      </c>
      <c r="L351" s="491">
        <f>SUM(L345:L350)</f>
        <v/>
      </c>
      <c r="M351" s="1190" t="inlineStr">
        <is>
          <t xml:space="preserve">“Verdadero” indica que la cantidad por lote, coincide con el saldo que inicia al mes siguiente. "Falso" no coinicide. </t>
        </is>
      </c>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496">
        <f>JUNIO!K352</f>
        <v/>
      </c>
      <c r="E352" s="731" t="n">
        <v>51000</v>
      </c>
      <c r="F352" s="731" t="n"/>
      <c r="G352" s="730">
        <f>E352+F352</f>
        <v/>
      </c>
      <c r="H352" s="731" t="n">
        <v>6900</v>
      </c>
      <c r="I352" s="731" t="n"/>
      <c r="J352" s="732">
        <f>AM352</f>
        <v/>
      </c>
      <c r="K352" s="706">
        <f>+(D352+G352)-(H352+I352+J352)</f>
        <v/>
      </c>
      <c r="L352" s="253" t="n">
        <v>2870</v>
      </c>
      <c r="M352" s="254" t="inlineStr">
        <is>
          <t>20250903</t>
        </is>
      </c>
      <c r="N352" s="254" t="inlineStr">
        <is>
          <t>YIXIN China</t>
        </is>
      </c>
      <c r="O352" s="1183" t="inlineStr">
        <is>
          <t>02/09/2030</t>
        </is>
      </c>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73" t="n"/>
      <c r="E353" s="994" t="n"/>
      <c r="F353" s="994" t="n"/>
      <c r="G353" s="973" t="n"/>
      <c r="H353" s="994" t="n"/>
      <c r="I353" s="994" t="n"/>
      <c r="J353" s="973" t="n"/>
      <c r="K353" s="973" t="n"/>
      <c r="L353" s="253" t="n">
        <v>48</v>
      </c>
      <c r="M353" s="254" t="inlineStr">
        <is>
          <t>23FA1</t>
        </is>
      </c>
      <c r="N353" s="254" t="inlineStr">
        <is>
          <t>HAIOU</t>
        </is>
      </c>
      <c r="O353" s="1183" t="inlineStr">
        <is>
          <t>31/05/2028</t>
        </is>
      </c>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73" t="n"/>
      <c r="E354" s="994" t="n"/>
      <c r="F354" s="994" t="n"/>
      <c r="G354" s="973" t="n"/>
      <c r="H354" s="994" t="n"/>
      <c r="I354" s="994" t="n"/>
      <c r="J354" s="973" t="n"/>
      <c r="K354" s="973" t="n"/>
      <c r="L354" s="253">
        <f>51000-5700</f>
        <v/>
      </c>
      <c r="M354" s="254" t="inlineStr">
        <is>
          <t>20260321</t>
        </is>
      </c>
      <c r="N354" s="254" t="inlineStr">
        <is>
          <t>JIANGXI SANXIN MEDTEC</t>
        </is>
      </c>
      <c r="O354" s="1183" t="n">
        <v>47927</v>
      </c>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73"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73"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73"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75" t="n"/>
      <c r="E358" s="998" t="n"/>
      <c r="F358" s="998" t="n"/>
      <c r="G358" s="975" t="n"/>
      <c r="H358" s="998" t="n"/>
      <c r="I358" s="998" t="n"/>
      <c r="J358" s="975" t="n"/>
      <c r="K358" s="1189">
        <f>K352=L358</f>
        <v/>
      </c>
      <c r="L358" s="491">
        <f>SUM(L352:L357)</f>
        <v/>
      </c>
      <c r="M358" s="1190" t="inlineStr">
        <is>
          <t xml:space="preserve">“Verdadero” indica que la cantidad por lote, coincide con el saldo que inicia al mes siguiente. "Falso" no coinicide. </t>
        </is>
      </c>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496">
        <f>JUNIO!K359</f>
        <v/>
      </c>
      <c r="E359" s="731" t="n"/>
      <c r="F359" s="731" t="n"/>
      <c r="G359" s="730">
        <f>E359+F359</f>
        <v/>
      </c>
      <c r="H359" s="731" t="n">
        <v>700</v>
      </c>
      <c r="I359" s="731" t="n"/>
      <c r="J359" s="732">
        <f>AM359</f>
        <v/>
      </c>
      <c r="K359" s="706">
        <f>+(D359+G359)-(H359+I359+J359)</f>
        <v/>
      </c>
      <c r="L359" s="253" t="n">
        <v>4090</v>
      </c>
      <c r="M359" s="254" t="inlineStr">
        <is>
          <t>622204</t>
        </is>
      </c>
      <c r="N359" s="254" t="inlineStr">
        <is>
          <t>MEDECO</t>
        </is>
      </c>
      <c r="O359" s="1183" t="inlineStr">
        <is>
          <t>28/02/2027</t>
        </is>
      </c>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73" t="n"/>
      <c r="E360" s="994" t="n"/>
      <c r="F360" s="994" t="n"/>
      <c r="G360" s="973" t="n"/>
      <c r="H360" s="994" t="n"/>
      <c r="I360" s="994" t="n"/>
      <c r="J360" s="973" t="n"/>
      <c r="K360" s="973" t="n"/>
      <c r="L360" s="253" t="n">
        <v>4800</v>
      </c>
      <c r="M360" s="254" t="inlineStr">
        <is>
          <t>662202</t>
        </is>
      </c>
      <c r="N360" s="254" t="inlineStr">
        <is>
          <t>MEDICAL</t>
        </is>
      </c>
      <c r="O360" s="1183" t="inlineStr">
        <is>
          <t>30/09/2027</t>
        </is>
      </c>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73" t="n"/>
      <c r="E361" s="994" t="n"/>
      <c r="F361" s="994" t="n"/>
      <c r="G361" s="973" t="n"/>
      <c r="H361" s="994" t="n"/>
      <c r="I361" s="994" t="n"/>
      <c r="J361" s="973" t="n"/>
      <c r="K361" s="973" t="n"/>
      <c r="L361" s="253" t="n">
        <v>70</v>
      </c>
      <c r="M361" s="254" t="inlineStr">
        <is>
          <t>662203</t>
        </is>
      </c>
      <c r="N361" s="254" t="inlineStr">
        <is>
          <t>MEDECO</t>
        </is>
      </c>
      <c r="O361" s="1183" t="inlineStr">
        <is>
          <t>30/09/2027</t>
        </is>
      </c>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73" t="n"/>
      <c r="E362" s="994" t="n"/>
      <c r="F362" s="994" t="n"/>
      <c r="G362" s="973" t="n"/>
      <c r="H362" s="994" t="n"/>
      <c r="I362" s="994" t="n"/>
      <c r="J362" s="973" t="n"/>
      <c r="K362" s="973" t="n"/>
      <c r="L362" s="253" t="n">
        <v>3000</v>
      </c>
      <c r="M362" s="254" t="inlineStr">
        <is>
          <t>712401</t>
        </is>
      </c>
      <c r="N362" s="254" t="inlineStr">
        <is>
          <t>MEDECO</t>
        </is>
      </c>
      <c r="O362" s="1183" t="inlineStr">
        <is>
          <t>30/03/2029</t>
        </is>
      </c>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73"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73"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75" t="n"/>
      <c r="E365" s="998" t="n"/>
      <c r="F365" s="998" t="n"/>
      <c r="G365" s="975" t="n"/>
      <c r="H365" s="998" t="n"/>
      <c r="I365" s="998" t="n"/>
      <c r="J365" s="975" t="n"/>
      <c r="K365" s="1189">
        <f>K359=L365</f>
        <v/>
      </c>
      <c r="L365" s="491">
        <f>SUM(L359:L364)</f>
        <v/>
      </c>
      <c r="M365" s="1190" t="inlineStr">
        <is>
          <t xml:space="preserve">“Verdadero” indica que la cantidad por lote, coincide con el saldo que inicia al mes siguiente. "Falso" no coinicide. </t>
        </is>
      </c>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496">
        <f>JUNIO!K366</f>
        <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73"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73"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73"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73"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73"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75"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496">
        <f>JUNIO!K373</f>
        <v/>
      </c>
      <c r="E373" s="731" t="n"/>
      <c r="F373" s="731" t="n"/>
      <c r="G373" s="730">
        <f>E373+F373</f>
        <v/>
      </c>
      <c r="H373" s="731" t="n">
        <v>610</v>
      </c>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496">
        <f>JUNIO!K374</f>
        <v/>
      </c>
      <c r="E374" s="731" t="n"/>
      <c r="F374" s="731" t="n"/>
      <c r="G374" s="730">
        <f>E374+F374</f>
        <v/>
      </c>
      <c r="H374" s="731" t="n">
        <v>5600</v>
      </c>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496">
        <f>JUNIO!K375</f>
        <v/>
      </c>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496">
        <f>JUNIO!K376</f>
        <v/>
      </c>
      <c r="E376" s="731" t="n"/>
      <c r="F376" s="731" t="n"/>
      <c r="G376" s="730">
        <f>E376+F376</f>
        <v/>
      </c>
      <c r="H376" s="731" t="n">
        <v>990</v>
      </c>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496">
        <f>JUNIO!K377</f>
        <v/>
      </c>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496">
        <f>JUNIO!K378</f>
        <v/>
      </c>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496">
        <f>JUNIO!K379</f>
        <v/>
      </c>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623" t="inlineStr">
        <is>
          <t>ÍTEM</t>
        </is>
      </c>
      <c r="B381" s="719" t="inlineStr">
        <is>
          <t>VACUNA COVID-19</t>
        </is>
      </c>
      <c r="C381" s="965" t="n"/>
      <c r="D381" s="716" t="inlineStr">
        <is>
          <t>SALDO MES ANTERIOR</t>
        </is>
      </c>
      <c r="E381" s="1179" t="inlineStr">
        <is>
          <t>ENTRADA</t>
        </is>
      </c>
      <c r="F381" s="1180" t="n"/>
      <c r="G381" s="965" t="n"/>
      <c r="H381" s="715" t="inlineStr">
        <is>
          <t>SALIDAS</t>
        </is>
      </c>
      <c r="I381" s="968" t="n"/>
      <c r="J381" s="967" t="n"/>
      <c r="K381" s="623" t="inlineStr">
        <is>
          <t>SALDO QUE INICIA EL MES SIGUIENTE</t>
        </is>
      </c>
      <c r="L381" s="623" t="inlineStr">
        <is>
          <t>DOSIS POR LOTES</t>
        </is>
      </c>
      <c r="M381" s="623" t="inlineStr">
        <is>
          <t xml:space="preserve">No. LOTE </t>
        </is>
      </c>
      <c r="N381" s="623" t="inlineStr">
        <is>
          <t>LABORATORIO</t>
        </is>
      </c>
      <c r="O381" s="623" t="inlineStr">
        <is>
          <t>FECHA DE VENCIMIENTO</t>
        </is>
      </c>
      <c r="P381" s="623" t="inlineStr">
        <is>
          <t>SEMAFORIZACION VIDA  ÚTIL DEL BIOLÓGICO</t>
        </is>
      </c>
      <c r="Q381" s="623" t="inlineStr">
        <is>
          <t>CONDICIÓN FINAL DEL BIOLÓGICO, DILUYENTE Y CARNET</t>
        </is>
      </c>
      <c r="R381" s="613" t="inlineStr">
        <is>
          <t>DOSIS EN CUARENTENA</t>
        </is>
      </c>
      <c r="S381" s="613" t="inlineStr">
        <is>
          <t>LABORATORIO</t>
        </is>
      </c>
      <c r="T381" s="613" t="inlineStr">
        <is>
          <t>No. LOTE</t>
        </is>
      </c>
      <c r="U381" s="613" t="inlineStr">
        <is>
          <t>FECHA DE VENCIMEINTO</t>
        </is>
      </c>
      <c r="V381" s="613" t="inlineStr">
        <is>
          <t>FECHA DE INICIO CUARENTENA</t>
        </is>
      </c>
      <c r="W381" s="613" t="inlineStr">
        <is>
          <t>OBSERVACIONES</t>
        </is>
      </c>
      <c r="X381" s="250" t="n"/>
      <c r="Z381" s="1221" t="inlineStr">
        <is>
          <t>MOTIVOS DE NO USO DE VACUNAS CONTRA LA COVID-19
RESOLUCIÓN 0118 DEL 27 DE ENERO DE 2026
DISPONIBLE EN EL SIGUIENTE LINK: https://www.minsalud.gov.co/Normatividad_Nuevo/Resolucion%20No%20118%20de%202026.pdf</t>
        </is>
      </c>
      <c r="AA381" s="968" t="n"/>
      <c r="AB381" s="968" t="n"/>
      <c r="AC381" s="968" t="n"/>
      <c r="AD381" s="968" t="n"/>
      <c r="AE381" s="968" t="n"/>
      <c r="AF381" s="968" t="n"/>
      <c r="AG381" s="968" t="n"/>
      <c r="AH381" s="968" t="n"/>
      <c r="AI381" s="968" t="n"/>
      <c r="AJ381" s="968" t="n"/>
      <c r="AK381" s="968" t="n"/>
      <c r="AL381" s="967" t="n"/>
      <c r="AM381" s="532" t="inlineStr">
        <is>
          <t xml:space="preserve">TOTAL DOSIS PERDIDAS        </t>
        </is>
      </c>
      <c r="AN381" s="478" t="n"/>
      <c r="AO381" s="368" t="n"/>
      <c r="AU381" s="251" t="n"/>
      <c r="AV381" s="251" t="n"/>
    </row>
    <row r="382" ht="28.5" customHeight="1">
      <c r="A382" s="973" t="n"/>
      <c r="B382" s="971" t="n"/>
      <c r="C382" s="972" t="n"/>
      <c r="D382" s="973" t="n"/>
      <c r="E382" s="623" t="inlineStr">
        <is>
          <t>DOSIS RECIBIDAS DEL ALMACÉN CENTRAL DEL MSPS</t>
        </is>
      </c>
      <c r="F382" s="623" t="inlineStr">
        <is>
          <t>DOSIS RECIBIDAS X TRASLADO DEL CA DEPARTAMENTAL O DISTRITAL</t>
        </is>
      </c>
      <c r="G382" s="623" t="inlineStr">
        <is>
          <t>TOTAL ENTRADAS</t>
        </is>
      </c>
      <c r="H382" s="711" t="inlineStr">
        <is>
          <t>DOSIS DESPACHADAS A LOS MUNICIPIOS / DISTRITOS A IPS</t>
        </is>
      </c>
      <c r="I382" s="711" t="inlineStr">
        <is>
          <t>DOSIS TRASLADADAS A OTROS DEPARTAMENTOS O DISTRITOS</t>
        </is>
      </c>
      <c r="J382" s="716" t="inlineStr">
        <is>
          <t>DOSIS PERDIDAS</t>
        </is>
      </c>
      <c r="K382" s="973" t="n"/>
      <c r="L382" s="973" t="n"/>
      <c r="M382" s="973" t="n"/>
      <c r="N382" s="973" t="n"/>
      <c r="O382" s="973" t="n"/>
      <c r="P382" s="973" t="n"/>
      <c r="Q382" s="973" t="n"/>
      <c r="R382" s="973" t="n"/>
      <c r="S382" s="973" t="n"/>
      <c r="T382" s="973" t="n"/>
      <c r="U382" s="973" t="n"/>
      <c r="V382" s="973" t="n"/>
      <c r="W382" s="973" t="n"/>
      <c r="X382" s="250" t="n"/>
      <c r="Y382" s="252" t="n"/>
      <c r="Z382" s="533" t="n">
        <v>1</v>
      </c>
      <c r="AA382" s="967" t="n"/>
      <c r="AB382" s="533" t="n">
        <v>2</v>
      </c>
      <c r="AC382" s="533" t="n">
        <v>3</v>
      </c>
      <c r="AD382" s="533" t="n">
        <v>4</v>
      </c>
      <c r="AE382" s="533" t="n">
        <v>5</v>
      </c>
      <c r="AF382" s="533" t="n">
        <v>6</v>
      </c>
      <c r="AG382" s="533" t="n">
        <v>7</v>
      </c>
      <c r="AH382" s="533" t="n">
        <v>8</v>
      </c>
      <c r="AI382" s="533" t="n">
        <v>9</v>
      </c>
      <c r="AJ382" s="533" t="n">
        <v>10</v>
      </c>
      <c r="AK382" s="533" t="n">
        <v>11</v>
      </c>
      <c r="AL382" s="533" t="n">
        <v>12</v>
      </c>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inlineStr">
        <is>
          <t>POLÍTICA DE FRASCOS ABIERTO</t>
        </is>
      </c>
      <c r="AA383" s="967" t="n"/>
      <c r="AB383" s="1222" t="inlineStr">
        <is>
          <t>INTERRUPCIÓN DE LA CADENA DE FRÍO</t>
        </is>
      </c>
      <c r="AC383" s="537" t="inlineStr">
        <is>
          <t>CONTAMINACIÓN DEL BIOLÓGICO</t>
        </is>
      </c>
      <c r="AD383" s="1222" t="inlineStr">
        <is>
          <t>ERROR EN LA MANIPULACIÓN</t>
        </is>
      </c>
      <c r="AE383" s="537" t="inlineStr">
        <is>
          <t>ERROR EN LA RECONSTITUCIÓN/DILUCIÓN</t>
        </is>
      </c>
      <c r="AF383" s="1222" t="inlineStr">
        <is>
          <t>ERROR EN LA DOSIFICACIÓN</t>
        </is>
      </c>
      <c r="AG383" s="537" t="inlineStr">
        <is>
          <t>VACUNA QUE EXCEDE EL TIEMPO DE ALMACENAMIENTO EN REFRIGERACIÓN</t>
        </is>
      </c>
      <c r="AH383" s="1222" t="inlineStr">
        <is>
          <t>VENCIMIENTO DEL BIOLÓGICO</t>
        </is>
      </c>
      <c r="AI383" s="537" t="inlineStr">
        <is>
          <t>FRASCO VIAL ROTO</t>
        </is>
      </c>
      <c r="AJ383" s="1222" t="inlineStr">
        <is>
          <t>FALLAS DE FABRICACIÓN/CALIDAD</t>
        </is>
      </c>
      <c r="AK383" s="537" t="inlineStr">
        <is>
          <t>SINIESTRO / ACCIDENTE</t>
        </is>
      </c>
      <c r="AL383" s="1222" t="inlineStr">
        <is>
          <t>ROBO/HURTO BIOLÓGICO</t>
        </is>
      </c>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496">
        <f>JUNIO!K385</f>
        <v/>
      </c>
      <c r="E385" s="731" t="n"/>
      <c r="F385" s="731" t="n"/>
      <c r="G385" s="730">
        <f>E385+F385</f>
        <v/>
      </c>
      <c r="H385" s="731" t="n">
        <v>120</v>
      </c>
      <c r="I385" s="731" t="n"/>
      <c r="J385" s="732">
        <f>AM385</f>
        <v/>
      </c>
      <c r="K385" s="706">
        <f>+(D385+G385)-(H385+I385+J385)</f>
        <v/>
      </c>
      <c r="L385" s="486" t="n"/>
      <c r="M385" s="487" t="n"/>
      <c r="N385" s="487" t="n"/>
      <c r="O385" s="1223" t="n"/>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73"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73"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73"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75" t="n"/>
      <c r="E389" s="998" t="n"/>
      <c r="F389" s="998" t="n"/>
      <c r="G389" s="975" t="n"/>
      <c r="H389" s="998" t="n"/>
      <c r="I389" s="998" t="n"/>
      <c r="J389" s="975" t="n"/>
      <c r="K389" s="1189">
        <f>K385=L389</f>
        <v/>
      </c>
      <c r="L389" s="491">
        <f>SUM(L385:L388)</f>
        <v/>
      </c>
      <c r="M389" s="1190" t="inlineStr">
        <is>
          <t xml:space="preserve">“Verdadero” indica que la cantidad por lote, coincide con el saldo que inicia al mes siguiente. "Falso" no coinicide. </t>
        </is>
      </c>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496">
        <f>JUNIO!K390</f>
        <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73"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73"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73"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75" t="n"/>
      <c r="E394" s="998" t="n"/>
      <c r="F394" s="998" t="n"/>
      <c r="G394" s="975" t="n"/>
      <c r="H394" s="998" t="n"/>
      <c r="I394" s="998" t="n"/>
      <c r="J394" s="975" t="n"/>
      <c r="K394" s="1189">
        <f>K390=L394</f>
        <v/>
      </c>
      <c r="L394" s="491">
        <f>SUM(L390:L393)</f>
        <v/>
      </c>
      <c r="M394" s="1190" t="inlineStr">
        <is>
          <t xml:space="preserve">“Verdadero” indica que la cantidad por lote, coincide con el saldo que inicia al mes siguiente. "Falso" no coinicide. </t>
        </is>
      </c>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496">
        <f>JUNIO!K395</f>
        <v/>
      </c>
      <c r="E395" s="731" t="n"/>
      <c r="F395" s="731" t="n"/>
      <c r="G395" s="730">
        <f>E395+F395</f>
        <v/>
      </c>
      <c r="H395" s="731" t="n">
        <v>66</v>
      </c>
      <c r="I395" s="731" t="n"/>
      <c r="J395" s="732">
        <f>AM395</f>
        <v/>
      </c>
      <c r="K395" s="706">
        <f>+(D395+G395)-(H395+I395+J395)</f>
        <v/>
      </c>
      <c r="L395" s="486" t="n"/>
      <c r="M395" s="487" t="n"/>
      <c r="N395" s="487" t="n"/>
      <c r="O395" s="1223" t="n"/>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73"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73"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73"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75" t="n"/>
      <c r="E399" s="998" t="n"/>
      <c r="F399" s="998" t="n"/>
      <c r="G399" s="975" t="n"/>
      <c r="H399" s="998" t="n"/>
      <c r="I399" s="998" t="n"/>
      <c r="J399" s="975" t="n"/>
      <c r="K399" s="1189">
        <f>K395=L399</f>
        <v/>
      </c>
      <c r="L399" s="491">
        <f>SUM(L395:L398)</f>
        <v/>
      </c>
      <c r="M399" s="1190" t="inlineStr">
        <is>
          <t xml:space="preserve">“Verdadero” indica que la cantidad por lote, coincide con el saldo que inicia al mes siguiente. "Falso" no coinicide. </t>
        </is>
      </c>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496">
        <f>JUNIO!K400</f>
        <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73"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73"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73"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75" t="n"/>
      <c r="E404" s="998" t="n"/>
      <c r="F404" s="998" t="n"/>
      <c r="G404" s="975" t="n"/>
      <c r="H404" s="998" t="n"/>
      <c r="I404" s="998" t="n"/>
      <c r="J404" s="975" t="n"/>
      <c r="K404" s="1189">
        <f>K400=L404</f>
        <v/>
      </c>
      <c r="L404" s="491">
        <f>SUM(L400:L403)</f>
        <v/>
      </c>
      <c r="M404" s="1190" t="inlineStr">
        <is>
          <t xml:space="preserve">“Verdadero” indica que la cantidad por lote, coincide con el saldo que inicia al mes siguiente. "Falso" no coinicide. </t>
        </is>
      </c>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496">
        <f>JUNIO!K405</f>
        <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73"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73"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73"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75" t="n"/>
      <c r="E409" s="998" t="n"/>
      <c r="F409" s="998" t="n"/>
      <c r="G409" s="975" t="n"/>
      <c r="H409" s="998" t="n"/>
      <c r="I409" s="998" t="n"/>
      <c r="J409" s="975" t="n"/>
      <c r="K409" s="1189">
        <f>K405=L409</f>
        <v/>
      </c>
      <c r="L409" s="491">
        <f>SUM(L405:L408)</f>
        <v/>
      </c>
      <c r="M409" s="1190" t="inlineStr">
        <is>
          <t xml:space="preserve">“Verdadero” indica que la cantidad por lote, coincide con el saldo que inicia al mes siguiente. "Falso" no coinicide. </t>
        </is>
      </c>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1268" t="inlineStr">
        <is>
          <t>ÍTEM</t>
        </is>
      </c>
      <c r="B413" s="1268" t="inlineStr">
        <is>
          <t>INSUMOS</t>
        </is>
      </c>
      <c r="C413" s="965" t="n"/>
      <c r="D413" s="1231" t="inlineStr">
        <is>
          <t>SALDO MES ANTERIOR</t>
        </is>
      </c>
      <c r="E413" s="961" t="inlineStr">
        <is>
          <t>BIOLÓGICO RECIBIDO DEL CENTRO DE ACOPIO DEPARTAMENTAL / DISTRITAL</t>
        </is>
      </c>
      <c r="F413" s="1231" t="inlineStr">
        <is>
          <t>DOSIS APLICADAS</t>
        </is>
      </c>
      <c r="G413" s="967" t="n"/>
      <c r="H413" s="1232" t="inlineStr">
        <is>
          <t>TOTAL DOSIS APLICADAS</t>
        </is>
      </c>
      <c r="I413" s="961" t="inlineStr">
        <is>
          <t>DOSIS PERDIDAS</t>
        </is>
      </c>
      <c r="J413" s="1231" t="inlineStr">
        <is>
          <t>TOTAL DOSIS ÚTILIZADAS EN EL MES</t>
        </is>
      </c>
      <c r="K413" s="623" t="inlineStr">
        <is>
          <t>SALDO QUE INICIA EL MES SIGUIENTE (SOLO MUNICIPIOS)</t>
        </is>
      </c>
      <c r="L413" s="623" t="inlineStr">
        <is>
          <t>DOSIS POR LOTES</t>
        </is>
      </c>
      <c r="M413" s="623" t="inlineStr">
        <is>
          <t xml:space="preserve">No. LOTE </t>
        </is>
      </c>
      <c r="N413" s="1233" t="inlineStr">
        <is>
          <t>LABORATORIO</t>
        </is>
      </c>
      <c r="O413" s="623" t="inlineStr">
        <is>
          <t>FECHA DE VENCIMIENTO</t>
        </is>
      </c>
      <c r="P413" s="623" t="inlineStr">
        <is>
          <t>SEMAFORIZACION VIDA  ÚTIL DEL BIOLÓGICO</t>
        </is>
      </c>
      <c r="Q413" s="623" t="inlineStr">
        <is>
          <t>CONDICIÓN FINAL DEL BIOLÓGICO, DILUYENTE Y CARNET</t>
        </is>
      </c>
      <c r="R413" s="613" t="inlineStr">
        <is>
          <t>DOSIS EN CUARENTENA</t>
        </is>
      </c>
      <c r="S413" s="613" t="inlineStr">
        <is>
          <t>LABORATORIO</t>
        </is>
      </c>
      <c r="T413" s="613" t="inlineStr">
        <is>
          <t>No. LOTE</t>
        </is>
      </c>
      <c r="U413" s="613" t="inlineStr">
        <is>
          <t>FECHA DE VENCIMEINTO</t>
        </is>
      </c>
      <c r="V413" s="613" t="inlineStr">
        <is>
          <t>FECHA DE INICIO CUARENTENA</t>
        </is>
      </c>
      <c r="W413" s="961" t="inlineStr">
        <is>
          <t>PORCENTAJE DE PERDIDA DEL MES</t>
        </is>
      </c>
      <c r="X413" s="961" t="inlineStr">
        <is>
          <t>OBSERVACIONES</t>
        </is>
      </c>
      <c r="Y413" s="232" t="n"/>
      <c r="Z413" s="400" t="inlineStr">
        <is>
          <t>CAUSAS PERDIDA DE BIOLÓGICOS (Remítase a la primera hoja donde se especifica la clasificación de las perdidas)</t>
        </is>
      </c>
      <c r="AA413" s="400" t="n"/>
      <c r="AB413" s="400" t="n"/>
      <c r="AC413" s="400" t="n"/>
      <c r="AD413" s="400" t="n"/>
      <c r="AE413" s="400" t="n"/>
      <c r="AF413" s="400" t="n"/>
      <c r="AG413" s="400" t="n"/>
      <c r="AH413" s="400" t="n"/>
      <c r="AI413" s="400" t="n"/>
      <c r="AJ413" s="400" t="n"/>
      <c r="AK413" s="400" t="n"/>
      <c r="AL413" s="400" t="n"/>
      <c r="AM413" s="1181" t="inlineStr">
        <is>
          <t xml:space="preserve">TOTAL DOSIS PERDIDAS        </t>
        </is>
      </c>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inlineStr">
        <is>
          <t>POLÍTICA DE FRASCOS ABIERTO</t>
        </is>
      </c>
      <c r="AA415" s="968" t="n"/>
      <c r="AB415" s="967" t="n"/>
      <c r="AC415" s="330" t="inlineStr">
        <is>
          <t>INTERRUPCIÓN DE CADENA DE FRÍO</t>
        </is>
      </c>
      <c r="AD415" s="566" t="inlineStr">
        <is>
          <t>CONTAMINACION DEL BIOLÓGICO/DISPOSITIVO MÉDICO</t>
        </is>
      </c>
      <c r="AE415" s="533" t="inlineStr">
        <is>
          <t>VIAL ROTO</t>
        </is>
      </c>
      <c r="AF415" s="566" t="inlineStr">
        <is>
          <t>ERRORES EN LA MANIPULACIÓN</t>
        </is>
      </c>
      <c r="AG415" s="533" t="inlineStr">
        <is>
          <t>VENCIMIENTO DEL BIOLÓGICO O JERINGA</t>
        </is>
      </c>
      <c r="AH415" s="566" t="inlineStr">
        <is>
          <t>FARMACOVIGILANCIA / TECNOVIGILANCIA</t>
        </is>
      </c>
      <c r="AI415" s="533" t="inlineStr">
        <is>
          <t>VOMITO FRANCO</t>
        </is>
      </c>
      <c r="AJ415" s="533" t="inlineStr">
        <is>
          <t>APLICACIÓN FUERA DE LA EDAD</t>
        </is>
      </c>
      <c r="AK415" s="533" t="inlineStr">
        <is>
          <t>POR DECISIÓN FINAL DEL PACIENTE DE NO VACUNACIÓN</t>
        </is>
      </c>
      <c r="AL415" s="566" t="inlineStr">
        <is>
          <t>SINIESTRO O ROBO</t>
        </is>
      </c>
      <c r="AM415" s="973" t="n"/>
      <c r="AN415" s="333" t="n"/>
      <c r="AQ415" s="332" t="n"/>
      <c r="AR415" s="332" t="n"/>
      <c r="AS415" s="332" t="n"/>
      <c r="AT415" s="332" t="n"/>
      <c r="AU415" s="332" t="n"/>
      <c r="AV415" s="566" t="inlineStr">
        <is>
          <t>Dosis reportadas Plantilla Cero</t>
        </is>
      </c>
      <c r="AW415" s="566" t="inlineStr">
        <is>
          <t>Diferencia dosis aplicadas vs dosis reportadas plantilla cero</t>
        </is>
      </c>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inlineStr">
        <is>
          <t>INSTITUCIONAL</t>
        </is>
      </c>
      <c r="AA416" s="533" t="inlineStr">
        <is>
          <t>EXTRAMURAL</t>
        </is>
      </c>
      <c r="AB416" s="533" t="inlineStr">
        <is>
          <t>TOTAL</t>
        </is>
      </c>
      <c r="AC416" s="975" t="n"/>
      <c r="AD416" s="975" t="n"/>
      <c r="AE416" s="975" t="n"/>
      <c r="AF416" s="975" t="n"/>
      <c r="AG416" s="975" t="n"/>
      <c r="AH416" s="975" t="n"/>
      <c r="AI416" s="975" t="n"/>
      <c r="AJ416" s="975" t="n"/>
      <c r="AK416" s="975" t="n"/>
      <c r="AL416" s="975" t="n"/>
      <c r="AM416" s="975" t="n"/>
      <c r="AN416" s="333" t="n"/>
      <c r="AQ416" s="546" t="inlineStr">
        <is>
          <t>PORCENTAJE DE PERDIDA DEL MES
%</t>
        </is>
      </c>
      <c r="AR416" s="546" t="inlineStr">
        <is>
          <t>FACTOR DE PERDIDA DEL MES</t>
        </is>
      </c>
      <c r="AS416" s="420" t="inlineStr">
        <is>
          <t>% DE PERDIDA DEL MSPS</t>
        </is>
      </c>
      <c r="AT416" s="420" t="inlineStr">
        <is>
          <t>DOSIS POR VIAL</t>
        </is>
      </c>
      <c r="AU416" s="332" t="n"/>
      <c r="AV416" s="975" t="n"/>
      <c r="AW416" s="975" t="n"/>
    </row>
    <row r="417" ht="17.25" customHeight="1">
      <c r="A417" s="585" t="n">
        <v>1</v>
      </c>
      <c r="B417" s="640" t="inlineStr">
        <is>
          <t>Vacuna de BCG (Bacilo de Calmette y Guérin) Liofilizada</t>
        </is>
      </c>
      <c r="C417" s="965" t="n"/>
      <c r="D417" s="413">
        <f>JUNIO!K417</f>
        <v/>
      </c>
      <c r="E417" s="339">
        <f>H13</f>
        <v/>
      </c>
      <c r="F417" s="338" t="n">
        <v>677</v>
      </c>
      <c r="G417" s="338" t="n">
        <v>40</v>
      </c>
      <c r="H417" s="1235">
        <f>+F417+G417</f>
        <v/>
      </c>
      <c r="I417" s="340">
        <f>+AM417</f>
        <v/>
      </c>
      <c r="J417" s="341">
        <f>+H417+I417</f>
        <v/>
      </c>
      <c r="K417" s="583">
        <f>+(D417+E417)-(J417)</f>
        <v/>
      </c>
      <c r="L417" s="253" t="n">
        <v>1340</v>
      </c>
      <c r="M417" s="254" t="inlineStr">
        <is>
          <t>0374MA082</t>
        </is>
      </c>
      <c r="N417" s="254" t="inlineStr">
        <is>
          <t>Serum</t>
        </is>
      </c>
      <c r="O417" s="1183" t="inlineStr">
        <is>
          <t>31/01/2027</t>
        </is>
      </c>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v>887</v>
      </c>
      <c r="AA417" s="648" t="n">
        <v>276</v>
      </c>
      <c r="AB417" s="649">
        <f>+Z417+AA417</f>
        <v/>
      </c>
      <c r="AC417" s="648" t="n">
        <v>0</v>
      </c>
      <c r="AD417" s="648" t="n">
        <v>0</v>
      </c>
      <c r="AE417" s="648" t="n">
        <v>0</v>
      </c>
      <c r="AF417" s="648" t="n">
        <v>0</v>
      </c>
      <c r="AG417" s="648" t="n">
        <v>0</v>
      </c>
      <c r="AH417" s="648" t="n">
        <v>0</v>
      </c>
      <c r="AI417" s="648" t="n">
        <v>0</v>
      </c>
      <c r="AJ417" s="648" t="n">
        <v>0</v>
      </c>
      <c r="AK417" s="648" t="n">
        <v>0</v>
      </c>
      <c r="AL417" s="648" t="n">
        <v>0</v>
      </c>
      <c r="AM417" s="421">
        <f>SUM(AB417:AL421)</f>
        <v/>
      </c>
      <c r="AN417" s="726" t="n"/>
      <c r="AQ417" s="1238">
        <f>IFERROR(I417/J417*100,"0")</f>
        <v/>
      </c>
      <c r="AR417" s="343">
        <f>IFERROR(1/(1-(AQ417/100)),"0")</f>
        <v/>
      </c>
      <c r="AS417" s="1239" t="n">
        <v>75</v>
      </c>
      <c r="AT417" s="345" t="n">
        <v>20</v>
      </c>
      <c r="AU417" s="1240" t="n"/>
      <c r="AV417" s="1241" t="n"/>
      <c r="AW417" s="1242">
        <f>+H417-AV417</f>
        <v/>
      </c>
    </row>
    <row r="418" ht="17.25" customHeight="1">
      <c r="A418" s="973" t="n"/>
      <c r="B418" s="971" t="n"/>
      <c r="C418" s="972" t="n"/>
      <c r="D418" s="973" t="n"/>
      <c r="E418" s="973" t="n"/>
      <c r="F418" s="994" t="n"/>
      <c r="G418" s="994" t="n"/>
      <c r="H418" s="973" t="n"/>
      <c r="I418" s="973" t="n"/>
      <c r="J418" s="973" t="n"/>
      <c r="K418" s="973" t="n"/>
      <c r="L418" s="253" t="n">
        <v>530</v>
      </c>
      <c r="M418" s="254" t="inlineStr">
        <is>
          <t>0374MA071</t>
        </is>
      </c>
      <c r="N418" s="254" t="inlineStr">
        <is>
          <t>Serum</t>
        </is>
      </c>
      <c r="O418" s="1183" t="inlineStr">
        <is>
          <t>31/12/2026</t>
        </is>
      </c>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73" t="n"/>
      <c r="E419" s="973" t="n"/>
      <c r="F419" s="994" t="n"/>
      <c r="G419" s="994" t="n"/>
      <c r="H419" s="973" t="n"/>
      <c r="I419" s="973" t="n"/>
      <c r="J419" s="973" t="n"/>
      <c r="K419" s="973" t="n"/>
      <c r="L419" s="253" t="n">
        <v>160</v>
      </c>
      <c r="M419" s="254" t="inlineStr">
        <is>
          <t>0374MA072</t>
        </is>
      </c>
      <c r="N419" s="254" t="inlineStr">
        <is>
          <t>Serum</t>
        </is>
      </c>
      <c r="O419" s="1183" t="inlineStr">
        <is>
          <t>31/12/2026</t>
        </is>
      </c>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73" t="n"/>
      <c r="E420" s="973" t="n"/>
      <c r="F420" s="994" t="n"/>
      <c r="G420" s="994" t="n"/>
      <c r="H420" s="973" t="n"/>
      <c r="I420" s="973" t="n"/>
      <c r="J420" s="973" t="n"/>
      <c r="K420" s="973" t="n"/>
      <c r="L420" s="253" t="n"/>
      <c r="M420" s="254" t="n"/>
      <c r="N420" s="254" t="n"/>
      <c r="O420" s="1183" t="n"/>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73"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75" t="n"/>
      <c r="E422" s="975" t="n"/>
      <c r="F422" s="998" t="n"/>
      <c r="G422" s="998" t="n"/>
      <c r="H422" s="975" t="n"/>
      <c r="I422" s="975" t="n"/>
      <c r="J422" s="975" t="n"/>
      <c r="K422" s="1189">
        <f>K417=L422</f>
        <v/>
      </c>
      <c r="L422" s="491">
        <f>SUM(L417:L421)</f>
        <v/>
      </c>
      <c r="M422" s="1190" t="inlineStr">
        <is>
          <t xml:space="preserve">“Verdadero” indica que la cantidad por lote, coincide con el saldo que inicia al mes siguiente. "Falso" no coinicide. </t>
        </is>
      </c>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413">
        <f>JUNIO!K423</f>
        <v/>
      </c>
      <c r="E423" s="339">
        <f>H19</f>
        <v/>
      </c>
      <c r="F423" s="338" t="n">
        <v>673</v>
      </c>
      <c r="G423" s="338" t="n">
        <v>40</v>
      </c>
      <c r="H423" s="1235">
        <f>+F423+G423</f>
        <v/>
      </c>
      <c r="I423" s="340">
        <f>+AM423</f>
        <v/>
      </c>
      <c r="J423" s="341">
        <f>+H423+I423</f>
        <v/>
      </c>
      <c r="K423" s="583">
        <f>+(D423+E423)-(J423)</f>
        <v/>
      </c>
      <c r="L423" s="253" t="n">
        <v>387</v>
      </c>
      <c r="M423" s="254" t="inlineStr">
        <is>
          <t>0325Q010C</t>
        </is>
      </c>
      <c r="N423" s="254" t="inlineStr">
        <is>
          <t>Serum</t>
        </is>
      </c>
      <c r="O423" s="1183" t="inlineStr">
        <is>
          <t>31/03/2028</t>
        </is>
      </c>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v>0</v>
      </c>
      <c r="AA423" s="648" t="n">
        <v>0</v>
      </c>
      <c r="AB423" s="649">
        <f>+Z423+AA423</f>
        <v/>
      </c>
      <c r="AC423" s="648" t="n">
        <v>0</v>
      </c>
      <c r="AD423" s="648" t="n">
        <v>0</v>
      </c>
      <c r="AE423" s="648" t="n">
        <v>0</v>
      </c>
      <c r="AF423" s="648" t="n">
        <v>0</v>
      </c>
      <c r="AG423" s="648" t="n">
        <v>0</v>
      </c>
      <c r="AH423" s="648" t="n">
        <v>0</v>
      </c>
      <c r="AI423" s="648" t="n">
        <v>0</v>
      </c>
      <c r="AJ423" s="648" t="n">
        <v>0</v>
      </c>
      <c r="AK423" s="648" t="n">
        <v>0</v>
      </c>
      <c r="AL423" s="648" t="n">
        <v>0</v>
      </c>
      <c r="AM423" s="421">
        <f>SUM(AB423:AL427)</f>
        <v/>
      </c>
      <c r="AN423" s="726" t="n"/>
      <c r="AQ423" s="1238">
        <f>IFERROR(I423/J423*100,"0")</f>
        <v/>
      </c>
      <c r="AR423" s="343">
        <f>IFERROR(1/(1-(AQ423/100)),"0")</f>
        <v/>
      </c>
      <c r="AS423" s="1239" t="n">
        <v>0</v>
      </c>
      <c r="AT423" s="345" t="n">
        <v>1</v>
      </c>
      <c r="AU423" s="1240" t="n"/>
      <c r="AV423" s="1241" t="n"/>
      <c r="AW423" s="1242">
        <f>+H423-AV423</f>
        <v/>
      </c>
    </row>
    <row r="424" ht="17.25" customHeight="1">
      <c r="A424" s="973" t="n"/>
      <c r="B424" s="971" t="n"/>
      <c r="C424" s="972" t="n"/>
      <c r="D424" s="973" t="n"/>
      <c r="E424" s="973" t="n"/>
      <c r="F424" s="994" t="n"/>
      <c r="G424" s="994" t="n"/>
      <c r="H424" s="973" t="n"/>
      <c r="I424" s="973" t="n"/>
      <c r="J424" s="973" t="n"/>
      <c r="K424" s="973" t="n"/>
      <c r="L424" s="253" t="n">
        <v>191</v>
      </c>
      <c r="M424" s="254" t="inlineStr">
        <is>
          <t>0324L013B</t>
        </is>
      </c>
      <c r="N424" s="254" t="inlineStr">
        <is>
          <t>Serum</t>
        </is>
      </c>
      <c r="O424" s="1183" t="inlineStr">
        <is>
          <t>30/11/2027</t>
        </is>
      </c>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73" t="n"/>
      <c r="E425" s="973" t="n"/>
      <c r="F425" s="994" t="n"/>
      <c r="G425" s="994" t="n"/>
      <c r="H425" s="973" t="n"/>
      <c r="I425" s="973" t="n"/>
      <c r="J425" s="973" t="n"/>
      <c r="K425" s="973" t="n"/>
      <c r="L425" s="253" t="n">
        <v>54</v>
      </c>
      <c r="M425" s="254" t="inlineStr">
        <is>
          <t>0324L013A</t>
        </is>
      </c>
      <c r="N425" s="254" t="inlineStr">
        <is>
          <t>Serum</t>
        </is>
      </c>
      <c r="O425" s="1183" t="inlineStr">
        <is>
          <t>30/11/2027</t>
        </is>
      </c>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73" t="n"/>
      <c r="E426" s="973" t="n"/>
      <c r="F426" s="994" t="n"/>
      <c r="G426" s="994" t="n"/>
      <c r="H426" s="973" t="n"/>
      <c r="I426" s="973" t="n"/>
      <c r="J426" s="973" t="n"/>
      <c r="K426" s="973" t="n"/>
      <c r="L426" s="253" t="n">
        <v>38</v>
      </c>
      <c r="M426" s="254" t="inlineStr">
        <is>
          <t>0325Q010B</t>
        </is>
      </c>
      <c r="N426" s="254" t="inlineStr">
        <is>
          <t>Serum</t>
        </is>
      </c>
      <c r="O426" s="1183" t="inlineStr">
        <is>
          <t>31/03/2028</t>
        </is>
      </c>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73" t="n"/>
      <c r="E427" s="973" t="n"/>
      <c r="F427" s="994" t="n"/>
      <c r="G427" s="994" t="n"/>
      <c r="H427" s="973" t="n"/>
      <c r="I427" s="973" t="n"/>
      <c r="J427" s="973" t="n"/>
      <c r="K427" s="975" t="n"/>
      <c r="L427" s="253" t="n">
        <v>2</v>
      </c>
      <c r="M427" s="254" t="inlineStr">
        <is>
          <t>0324Q002D</t>
        </is>
      </c>
      <c r="N427" s="254" t="inlineStr">
        <is>
          <t>Serum</t>
        </is>
      </c>
      <c r="O427" s="1183" t="inlineStr">
        <is>
          <t>31/05/2027</t>
        </is>
      </c>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75" t="n"/>
      <c r="E428" s="975" t="n"/>
      <c r="F428" s="998" t="n"/>
      <c r="G428" s="998" t="n"/>
      <c r="H428" s="975" t="n"/>
      <c r="I428" s="975" t="n"/>
      <c r="J428" s="975" t="n"/>
      <c r="K428" s="1189">
        <f>K423=L428</f>
        <v/>
      </c>
      <c r="L428" s="491">
        <f>SUM(L423:L427)</f>
        <v/>
      </c>
      <c r="M428" s="1190" t="inlineStr">
        <is>
          <t xml:space="preserve">“Verdadero” indica que la cantidad por lote, coincide con el saldo que inicia al mes siguiente. "Falso" no coinicide. </t>
        </is>
      </c>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413">
        <f>JUNIO!K429</f>
        <v/>
      </c>
      <c r="E429" s="339">
        <f>H25</f>
        <v/>
      </c>
      <c r="F429" s="338" t="n">
        <v>113</v>
      </c>
      <c r="G429" s="338" t="n">
        <v>0</v>
      </c>
      <c r="H429" s="1235">
        <f>+F429+G429</f>
        <v/>
      </c>
      <c r="I429" s="340">
        <f>+AM429</f>
        <v/>
      </c>
      <c r="J429" s="341">
        <f>+H429+I429</f>
        <v/>
      </c>
      <c r="K429" s="583">
        <f>+(D429+E429)-(J429)</f>
        <v/>
      </c>
      <c r="L429" s="253" t="n">
        <v>189</v>
      </c>
      <c r="M429" s="254" t="inlineStr">
        <is>
          <t>0344X002C</t>
        </is>
      </c>
      <c r="N429" s="254" t="inlineStr">
        <is>
          <t>Serum</t>
        </is>
      </c>
      <c r="O429" s="1183" t="inlineStr">
        <is>
          <t>30/06/2027</t>
        </is>
      </c>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v>0</v>
      </c>
      <c r="AA429" s="648" t="n">
        <v>0</v>
      </c>
      <c r="AB429" s="649">
        <f>+Z429+AA429</f>
        <v/>
      </c>
      <c r="AC429" s="648" t="n">
        <v>0</v>
      </c>
      <c r="AD429" s="648" t="n">
        <v>0</v>
      </c>
      <c r="AE429" s="648" t="n">
        <v>0</v>
      </c>
      <c r="AF429" s="648" t="n">
        <v>0</v>
      </c>
      <c r="AG429" s="648" t="n">
        <v>0</v>
      </c>
      <c r="AH429" s="648" t="n">
        <v>0</v>
      </c>
      <c r="AI429" s="648" t="n">
        <v>0</v>
      </c>
      <c r="AJ429" s="648" t="n">
        <v>0</v>
      </c>
      <c r="AK429" s="648" t="n">
        <v>0</v>
      </c>
      <c r="AL429" s="648" t="n">
        <v>0</v>
      </c>
      <c r="AM429" s="421">
        <f>SUM(AB429:AL433)</f>
        <v/>
      </c>
      <c r="AN429" s="726" t="n"/>
      <c r="AQ429" s="1238">
        <f>IFERROR(I429/J429*100,"0")</f>
        <v/>
      </c>
      <c r="AR429" s="343">
        <f>IFERROR(1/(1-(AQ429/100)),"0")</f>
        <v/>
      </c>
      <c r="AS429" s="1239" t="n">
        <v>0</v>
      </c>
      <c r="AT429" s="345" t="n">
        <v>1</v>
      </c>
      <c r="AU429" s="1240" t="n"/>
      <c r="AV429" s="1241" t="n"/>
      <c r="AW429" s="1242">
        <f>+H429-AV429</f>
        <v/>
      </c>
    </row>
    <row r="430" ht="17.25" customHeight="1">
      <c r="A430" s="973" t="n"/>
      <c r="B430" s="971" t="n"/>
      <c r="C430" s="972" t="n"/>
      <c r="D430" s="973" t="n"/>
      <c r="E430" s="973" t="n"/>
      <c r="F430" s="994" t="n"/>
      <c r="G430" s="994" t="n"/>
      <c r="H430" s="973" t="n"/>
      <c r="I430" s="973" t="n"/>
      <c r="J430" s="973" t="n"/>
      <c r="K430" s="973" t="n"/>
      <c r="L430" s="253" t="n">
        <v>165</v>
      </c>
      <c r="M430" s="254" t="inlineStr">
        <is>
          <t>0345L003B</t>
        </is>
      </c>
      <c r="N430" s="254" t="inlineStr">
        <is>
          <t>Serum</t>
        </is>
      </c>
      <c r="O430" s="1183" t="inlineStr">
        <is>
          <t>31/12/2027</t>
        </is>
      </c>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73" t="n"/>
      <c r="E431" s="973" t="n"/>
      <c r="F431" s="994" t="n"/>
      <c r="G431" s="994" t="n"/>
      <c r="H431" s="973" t="n"/>
      <c r="I431" s="973" t="n"/>
      <c r="J431" s="973" t="n"/>
      <c r="K431" s="973" t="n"/>
      <c r="L431" s="253" t="n"/>
      <c r="M431" s="254" t="n"/>
      <c r="N431" s="254" t="n"/>
      <c r="O431" s="1183" t="n"/>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73" t="n"/>
      <c r="E432" s="973" t="n"/>
      <c r="F432" s="994" t="n"/>
      <c r="G432" s="994" t="n"/>
      <c r="H432" s="973" t="n"/>
      <c r="I432" s="973" t="n"/>
      <c r="J432" s="973" t="n"/>
      <c r="K432" s="973" t="n"/>
      <c r="L432" s="253" t="n"/>
      <c r="M432" s="254" t="n"/>
      <c r="N432" s="254" t="n"/>
      <c r="O432" s="1183" t="n"/>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73"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75" t="n"/>
      <c r="E434" s="975" t="n"/>
      <c r="F434" s="998" t="n"/>
      <c r="G434" s="998" t="n"/>
      <c r="H434" s="975" t="n"/>
      <c r="I434" s="975" t="n"/>
      <c r="J434" s="975" t="n"/>
      <c r="K434" s="1189">
        <f>K429=L434</f>
        <v/>
      </c>
      <c r="L434" s="491">
        <f>SUM(L429:L433)</f>
        <v/>
      </c>
      <c r="M434" s="1190" t="inlineStr">
        <is>
          <t xml:space="preserve">“Verdadero” indica que la cantidad por lote, coincide con el saldo que inicia al mes siguiente. "Falso" no coinicide. </t>
        </is>
      </c>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413">
        <f>JUNIO!K435</f>
        <v/>
      </c>
      <c r="E435" s="339">
        <f>H31</f>
        <v/>
      </c>
      <c r="F435" s="338" t="n">
        <v>3055</v>
      </c>
      <c r="G435" s="338" t="n">
        <v>37</v>
      </c>
      <c r="H435" s="1235">
        <f>+F435+G435</f>
        <v/>
      </c>
      <c r="I435" s="340">
        <f>+AM435</f>
        <v/>
      </c>
      <c r="J435" s="341">
        <f>+H435+I435</f>
        <v/>
      </c>
      <c r="K435" s="583">
        <f>+(D435+E435)-(J435)</f>
        <v/>
      </c>
      <c r="L435" s="253" t="n">
        <v>1236</v>
      </c>
      <c r="M435" s="254" t="inlineStr">
        <is>
          <t>2522006A</t>
        </is>
      </c>
      <c r="N435" s="254" t="inlineStr">
        <is>
          <t>Bilthoven Biologicals BV</t>
        </is>
      </c>
      <c r="O435" s="1183" t="inlineStr">
        <is>
          <t>25/02/2028</t>
        </is>
      </c>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v>11</v>
      </c>
      <c r="AA435" s="648" t="n">
        <v>18</v>
      </c>
      <c r="AB435" s="649">
        <f>+Z435+AA435</f>
        <v/>
      </c>
      <c r="AC435" s="648" t="n">
        <v>0</v>
      </c>
      <c r="AD435" s="648" t="n">
        <v>0</v>
      </c>
      <c r="AE435" s="648" t="n">
        <v>5</v>
      </c>
      <c r="AF435" s="648" t="n">
        <v>0</v>
      </c>
      <c r="AG435" s="648" t="n">
        <v>0</v>
      </c>
      <c r="AH435" s="648" t="n">
        <v>0</v>
      </c>
      <c r="AI435" s="648" t="n">
        <v>0</v>
      </c>
      <c r="AJ435" s="648" t="n">
        <v>0</v>
      </c>
      <c r="AK435" s="648" t="n">
        <v>0</v>
      </c>
      <c r="AL435" s="648" t="n">
        <v>0</v>
      </c>
      <c r="AM435" s="421">
        <f>SUM(AB435:AL439)</f>
        <v/>
      </c>
      <c r="AN435" s="726" t="n"/>
      <c r="AQ435" s="1238">
        <f>IFERROR(I435/J435*100,"0")</f>
        <v/>
      </c>
      <c r="AR435" s="343">
        <f>IFERROR(1/(1-(AQ435/100)),"0")</f>
        <v/>
      </c>
      <c r="AS435" s="1239" t="n">
        <v>15</v>
      </c>
      <c r="AT435" s="345" t="n">
        <v>5</v>
      </c>
      <c r="AU435" s="1240" t="n"/>
      <c r="AV435" s="1241" t="n"/>
      <c r="AW435" s="1242">
        <f>+H435-AV435</f>
        <v/>
      </c>
    </row>
    <row r="436" ht="17.25" customHeight="1">
      <c r="A436" s="973" t="n"/>
      <c r="B436" s="971" t="n"/>
      <c r="C436" s="972" t="n"/>
      <c r="D436" s="973" t="n"/>
      <c r="E436" s="973" t="n"/>
      <c r="F436" s="994" t="n"/>
      <c r="G436" s="994" t="n"/>
      <c r="H436" s="973" t="n"/>
      <c r="I436" s="973" t="n"/>
      <c r="J436" s="973" t="n"/>
      <c r="K436" s="973" t="n"/>
      <c r="L436" s="253" t="n">
        <v>579</v>
      </c>
      <c r="M436" s="254" t="inlineStr">
        <is>
          <t>2526003A</t>
        </is>
      </c>
      <c r="N436" s="254" t="inlineStr">
        <is>
          <t>Bilthoven Biologicals BV</t>
        </is>
      </c>
      <c r="O436" s="1183" t="inlineStr">
        <is>
          <t>12/06/2028</t>
        </is>
      </c>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73" t="n"/>
      <c r="E437" s="973" t="n"/>
      <c r="F437" s="994" t="n"/>
      <c r="G437" s="994" t="n"/>
      <c r="H437" s="973" t="n"/>
      <c r="I437" s="973" t="n"/>
      <c r="J437" s="973" t="n"/>
      <c r="K437" s="973" t="n"/>
      <c r="L437" s="253" t="n"/>
      <c r="M437" s="254" t="n"/>
      <c r="N437" s="254" t="n"/>
      <c r="O437" s="1183" t="n"/>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73" t="n"/>
      <c r="E438" s="973" t="n"/>
      <c r="F438" s="994" t="n"/>
      <c r="G438" s="994" t="n"/>
      <c r="H438" s="973" t="n"/>
      <c r="I438" s="973" t="n"/>
      <c r="J438" s="973" t="n"/>
      <c r="K438" s="973" t="n"/>
      <c r="L438" s="253" t="n"/>
      <c r="M438" s="254" t="n"/>
      <c r="N438" s="254" t="n"/>
      <c r="O438" s="1183" t="n"/>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73" t="n"/>
      <c r="E439" s="973" t="n"/>
      <c r="F439" s="994" t="n"/>
      <c r="G439" s="994" t="n"/>
      <c r="H439" s="973" t="n"/>
      <c r="I439" s="973" t="n"/>
      <c r="J439" s="973" t="n"/>
      <c r="K439" s="975" t="n"/>
      <c r="L439" s="253" t="n"/>
      <c r="M439" s="254" t="n"/>
      <c r="N439" s="254" t="n"/>
      <c r="O439" s="1183" t="n"/>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75" t="n"/>
      <c r="E440" s="975" t="n"/>
      <c r="F440" s="998" t="n"/>
      <c r="G440" s="998" t="n"/>
      <c r="H440" s="975" t="n"/>
      <c r="I440" s="975" t="n"/>
      <c r="J440" s="975" t="n"/>
      <c r="K440" s="1189">
        <f>K435=L440</f>
        <v/>
      </c>
      <c r="L440" s="491">
        <f>SUM(L435:L439)</f>
        <v/>
      </c>
      <c r="M440" s="1190" t="inlineStr">
        <is>
          <t xml:space="preserve">“Verdadero” indica que la cantidad por lote, coincide con el saldo que inicia al mes siguiente. "Falso" no coinicide. </t>
        </is>
      </c>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413">
        <f>JUNIO!K441</f>
        <v/>
      </c>
      <c r="E441" s="339">
        <f>H37</f>
        <v/>
      </c>
      <c r="F441" s="338" t="n">
        <v>2203</v>
      </c>
      <c r="G441" s="338" t="n">
        <v>15</v>
      </c>
      <c r="H441" s="1235">
        <f>+F441+G441</f>
        <v/>
      </c>
      <c r="I441" s="340">
        <f>+AM441</f>
        <v/>
      </c>
      <c r="J441" s="341">
        <f>+H441+I441</f>
        <v/>
      </c>
      <c r="K441" s="583">
        <f>+(D441+E441)-(J441)</f>
        <v/>
      </c>
      <c r="L441" s="253" t="n">
        <v>974</v>
      </c>
      <c r="M441" s="254" t="inlineStr">
        <is>
          <t>2855X001A</t>
        </is>
      </c>
      <c r="N441" s="254" t="inlineStr">
        <is>
          <t>Serum</t>
        </is>
      </c>
      <c r="O441" s="1183" t="inlineStr">
        <is>
          <t>30/06/2027</t>
        </is>
      </c>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v>0</v>
      </c>
      <c r="AA441" s="648" t="n">
        <v>0</v>
      </c>
      <c r="AB441" s="649">
        <f>+Z441+AA441</f>
        <v/>
      </c>
      <c r="AC441" s="648" t="n">
        <v>0</v>
      </c>
      <c r="AD441" s="648" t="n">
        <v>0</v>
      </c>
      <c r="AE441" s="648" t="n">
        <v>0</v>
      </c>
      <c r="AF441" s="648" t="n">
        <v>0</v>
      </c>
      <c r="AG441" s="648" t="n">
        <v>0</v>
      </c>
      <c r="AH441" s="648" t="n">
        <v>0</v>
      </c>
      <c r="AI441" s="648" t="n">
        <v>0</v>
      </c>
      <c r="AJ441" s="648" t="n">
        <v>0</v>
      </c>
      <c r="AK441" s="648" t="n">
        <v>0</v>
      </c>
      <c r="AL441" s="648" t="n">
        <v>0</v>
      </c>
      <c r="AM441" s="421">
        <f>SUM(AB441:AL445)</f>
        <v/>
      </c>
      <c r="AN441" s="726" t="n"/>
      <c r="AQ441" s="1238">
        <f>IFERROR(I441/J441*100,"0")</f>
        <v/>
      </c>
      <c r="AR441" s="343">
        <f>IFERROR(1/(1-(AQ441/100)),"0")</f>
        <v/>
      </c>
      <c r="AS441" s="1239" t="n">
        <v>0</v>
      </c>
      <c r="AT441" s="345" t="n">
        <v>1</v>
      </c>
      <c r="AU441" s="1240" t="n"/>
      <c r="AV441" s="1241" t="n"/>
      <c r="AW441" s="1242">
        <f>+H441-AV441</f>
        <v/>
      </c>
    </row>
    <row r="442" ht="17.25" customHeight="1">
      <c r="A442" s="973" t="n"/>
      <c r="B442" s="971" t="n"/>
      <c r="C442" s="972" t="n"/>
      <c r="D442" s="973" t="n"/>
      <c r="E442" s="973" t="n"/>
      <c r="F442" s="994" t="n"/>
      <c r="G442" s="994" t="n"/>
      <c r="H442" s="973" t="n"/>
      <c r="I442" s="973" t="n"/>
      <c r="J442" s="973" t="n"/>
      <c r="K442" s="973" t="n"/>
      <c r="L442" s="253" t="n">
        <v>559</v>
      </c>
      <c r="M442" s="254" t="inlineStr">
        <is>
          <t>2855X002C</t>
        </is>
      </c>
      <c r="N442" s="254" t="inlineStr">
        <is>
          <t>Serum</t>
        </is>
      </c>
      <c r="O442" s="1183" t="inlineStr">
        <is>
          <t>30/06/2027</t>
        </is>
      </c>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73" t="n"/>
      <c r="E443" s="973" t="n"/>
      <c r="F443" s="994" t="n"/>
      <c r="G443" s="994" t="n"/>
      <c r="H443" s="973" t="n"/>
      <c r="I443" s="973" t="n"/>
      <c r="J443" s="973" t="n"/>
      <c r="K443" s="973" t="n"/>
      <c r="L443" s="253" t="n"/>
      <c r="M443" s="254" t="n"/>
      <c r="N443" s="254" t="inlineStr">
        <is>
          <t>Serum</t>
        </is>
      </c>
      <c r="O443" s="1183" t="inlineStr">
        <is>
          <t>30/04/2027</t>
        </is>
      </c>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73" t="n"/>
      <c r="E444" s="973" t="n"/>
      <c r="F444" s="994" t="n"/>
      <c r="G444" s="994" t="n"/>
      <c r="H444" s="973" t="n"/>
      <c r="I444" s="973" t="n"/>
      <c r="J444" s="973" t="n"/>
      <c r="K444" s="973" t="n"/>
      <c r="L444" s="253" t="n"/>
      <c r="M444" s="254" t="n"/>
      <c r="N444" s="254" t="n"/>
      <c r="O444" s="1183" t="n"/>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73"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75" t="n"/>
      <c r="E446" s="975" t="n"/>
      <c r="F446" s="998" t="n"/>
      <c r="G446" s="998" t="n"/>
      <c r="H446" s="975" t="n"/>
      <c r="I446" s="975" t="n"/>
      <c r="J446" s="975" t="n"/>
      <c r="K446" s="1189">
        <f>K441=L446</f>
        <v/>
      </c>
      <c r="L446" s="491">
        <f>SUM(L441:L445)</f>
        <v/>
      </c>
      <c r="M446" s="1190" t="inlineStr">
        <is>
          <t xml:space="preserve">“Verdadero” indica que la cantidad por lote, coincide con el saldo que inicia al mes siguiente. "Falso" no coinicide. </t>
        </is>
      </c>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413">
        <f>JUNIO!K447</f>
        <v/>
      </c>
      <c r="E447" s="339">
        <f>H43</f>
        <v/>
      </c>
      <c r="F447" s="338" t="n">
        <v>27</v>
      </c>
      <c r="G447" s="338" t="n">
        <v>1</v>
      </c>
      <c r="H447" s="1235">
        <f>+F447+G447</f>
        <v/>
      </c>
      <c r="I447" s="340">
        <f>+AM447</f>
        <v/>
      </c>
      <c r="J447" s="341">
        <f>+H447+I447</f>
        <v/>
      </c>
      <c r="K447" s="583">
        <f>+(D447+E447)-(J447)</f>
        <v/>
      </c>
      <c r="L447" s="253" t="n">
        <v>54</v>
      </c>
      <c r="M447" s="254" t="inlineStr">
        <is>
          <t>Y3C49</t>
        </is>
      </c>
      <c r="N447" s="254" t="inlineStr">
        <is>
          <t>Sanofi Pasteur</t>
        </is>
      </c>
      <c r="O447" s="1183" t="inlineStr">
        <is>
          <t>29/02/2028</t>
        </is>
      </c>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v>0</v>
      </c>
      <c r="AA447" s="648" t="n">
        <v>0</v>
      </c>
      <c r="AB447" s="649">
        <f>+Z447+AA447</f>
        <v/>
      </c>
      <c r="AC447" s="648" t="n">
        <v>0</v>
      </c>
      <c r="AD447" s="648" t="n">
        <v>0</v>
      </c>
      <c r="AE447" s="648" t="n">
        <v>0</v>
      </c>
      <c r="AF447" s="648" t="n">
        <v>0</v>
      </c>
      <c r="AG447" s="648" t="n">
        <v>0</v>
      </c>
      <c r="AH447" s="648" t="n">
        <v>0</v>
      </c>
      <c r="AI447" s="648" t="n">
        <v>0</v>
      </c>
      <c r="AJ447" s="648" t="n">
        <v>0</v>
      </c>
      <c r="AK447" s="648" t="n">
        <v>0</v>
      </c>
      <c r="AL447" s="648" t="n">
        <v>0</v>
      </c>
      <c r="AM447" s="421">
        <f>SUM(AB447:AL451)</f>
        <v/>
      </c>
      <c r="AN447" s="726" t="n"/>
      <c r="AQ447" s="1238">
        <f>IFERROR(I447/J447*100,"0")</f>
        <v/>
      </c>
      <c r="AR447" s="343">
        <f>IFERROR(1/(1-(AQ447/100)),"0")</f>
        <v/>
      </c>
      <c r="AS447" s="1239" t="n">
        <v>0</v>
      </c>
      <c r="AT447" s="345" t="n">
        <v>1</v>
      </c>
      <c r="AU447" s="1240" t="n"/>
      <c r="AV447" s="1241" t="n"/>
      <c r="AW447" s="1242">
        <f>+H447-AV447</f>
        <v/>
      </c>
    </row>
    <row r="448" ht="17.25" customHeight="1">
      <c r="A448" s="973" t="n"/>
      <c r="B448" s="971" t="n"/>
      <c r="C448" s="972" t="n"/>
      <c r="D448" s="973" t="n"/>
      <c r="E448" s="973" t="n"/>
      <c r="F448" s="994" t="n"/>
      <c r="G448" s="994" t="n"/>
      <c r="H448" s="973" t="n"/>
      <c r="I448" s="973" t="n"/>
      <c r="J448" s="973" t="n"/>
      <c r="K448" s="973" t="n"/>
      <c r="L448" s="253" t="n"/>
      <c r="M448" s="254" t="n"/>
      <c r="N448" s="254" t="inlineStr"/>
      <c r="O448" s="1183" t="inlineStr"/>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73" t="n"/>
      <c r="E449" s="973" t="n"/>
      <c r="F449" s="994" t="n"/>
      <c r="G449" s="994" t="n"/>
      <c r="H449" s="973" t="n"/>
      <c r="I449" s="973" t="n"/>
      <c r="J449" s="973" t="n"/>
      <c r="K449" s="973" t="n"/>
      <c r="L449" s="253" t="n"/>
      <c r="M449" s="254" t="n"/>
      <c r="N449" s="254" t="inlineStr"/>
      <c r="O449" s="1183" t="inlineStr"/>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73" t="n"/>
      <c r="E450" s="973" t="n"/>
      <c r="F450" s="994" t="n"/>
      <c r="G450" s="994" t="n"/>
      <c r="H450" s="973" t="n"/>
      <c r="I450" s="973" t="n"/>
      <c r="J450" s="973" t="n"/>
      <c r="K450" s="973" t="n"/>
      <c r="L450" s="253" t="n"/>
      <c r="M450" s="254" t="n"/>
      <c r="N450" s="254" t="inlineStr"/>
      <c r="O450" s="1183" t="inlineStr"/>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73" t="n"/>
      <c r="E451" s="973" t="n"/>
      <c r="F451" s="994" t="n"/>
      <c r="G451" s="994" t="n"/>
      <c r="H451" s="973" t="n"/>
      <c r="I451" s="973" t="n"/>
      <c r="J451" s="973" t="n"/>
      <c r="K451" s="975" t="n"/>
      <c r="L451" s="253" t="n"/>
      <c r="M451" s="254" t="n"/>
      <c r="N451" s="254" t="inlineStr"/>
      <c r="O451" s="1183" t="inlineStr"/>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75" t="n"/>
      <c r="E452" s="975" t="n"/>
      <c r="F452" s="998" t="n"/>
      <c r="G452" s="998" t="n"/>
      <c r="H452" s="975" t="n"/>
      <c r="I452" s="975" t="n"/>
      <c r="J452" s="975" t="n"/>
      <c r="K452" s="1189">
        <f>K447=L452</f>
        <v/>
      </c>
      <c r="L452" s="491">
        <f>SUM(L447:L451)</f>
        <v/>
      </c>
      <c r="M452" s="1190" t="inlineStr">
        <is>
          <t xml:space="preserve">“Verdadero” indica que la cantidad por lote, coincide con el saldo que inicia al mes siguiente. "Falso" no coinicide. </t>
        </is>
      </c>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413">
        <f>JUNIO!K453</f>
        <v/>
      </c>
      <c r="E453" s="339">
        <f>H49</f>
        <v/>
      </c>
      <c r="F453" s="338" t="n">
        <v>0</v>
      </c>
      <c r="G453" s="338" t="n">
        <v>0</v>
      </c>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v>0</v>
      </c>
      <c r="AA453" s="648" t="n">
        <v>0</v>
      </c>
      <c r="AB453" s="649">
        <f>+Z453+AA453</f>
        <v/>
      </c>
      <c r="AC453" s="648" t="n">
        <v>0</v>
      </c>
      <c r="AD453" s="648" t="n">
        <v>0</v>
      </c>
      <c r="AE453" s="648" t="n">
        <v>0</v>
      </c>
      <c r="AF453" s="648" t="n">
        <v>0</v>
      </c>
      <c r="AG453" s="648" t="n">
        <v>0</v>
      </c>
      <c r="AH453" s="648" t="n">
        <v>0</v>
      </c>
      <c r="AI453" s="648" t="n">
        <v>0</v>
      </c>
      <c r="AJ453" s="648" t="n">
        <v>0</v>
      </c>
      <c r="AK453" s="648" t="n">
        <v>0</v>
      </c>
      <c r="AL453" s="648" t="n">
        <v>0</v>
      </c>
      <c r="AM453" s="421">
        <f>SUM(AB453:AL457)</f>
        <v/>
      </c>
      <c r="AN453" s="726" t="n"/>
      <c r="AQ453" s="1238">
        <f>IFERROR(I453/J453*100,"0")</f>
        <v/>
      </c>
      <c r="AR453" s="343">
        <f>IFERROR(1/(1-(AQ453/100)),"0")</f>
        <v/>
      </c>
      <c r="AS453" s="1239" t="n">
        <v>0</v>
      </c>
      <c r="AT453" s="345" t="n">
        <v>1</v>
      </c>
      <c r="AU453" s="1240" t="n"/>
      <c r="AV453" s="1241" t="n"/>
      <c r="AW453" s="1242">
        <f>+H453-AV453</f>
        <v/>
      </c>
    </row>
    <row r="454" ht="17.25" customHeight="1">
      <c r="A454" s="973" t="n"/>
      <c r="B454" s="971" t="n"/>
      <c r="C454" s="972" t="n"/>
      <c r="D454" s="973"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73"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73"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73"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75" t="n"/>
      <c r="E458" s="975" t="n"/>
      <c r="F458" s="998" t="n"/>
      <c r="G458" s="998" t="n"/>
      <c r="H458" s="975" t="n"/>
      <c r="I458" s="975" t="n"/>
      <c r="J458" s="975" t="n"/>
      <c r="K458" s="1189">
        <f>K453=L458</f>
        <v/>
      </c>
      <c r="L458" s="491">
        <f>SUM(L453:L457)</f>
        <v/>
      </c>
      <c r="M458" s="1190" t="inlineStr">
        <is>
          <t xml:space="preserve">“Verdadero” indica que la cantidad por lote, coincide con el saldo que inicia al mes siguiente. "Falso" no coinicide. </t>
        </is>
      </c>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413">
        <f>JUNIO!K459</f>
        <v/>
      </c>
      <c r="E459" s="339">
        <f>H55</f>
        <v/>
      </c>
      <c r="F459" s="338" t="n">
        <v>791</v>
      </c>
      <c r="G459" s="338" t="n">
        <v>21</v>
      </c>
      <c r="H459" s="1235">
        <f>+F459+G459</f>
        <v/>
      </c>
      <c r="I459" s="340">
        <f>+AM459</f>
        <v/>
      </c>
      <c r="J459" s="341">
        <f>+H459+I459</f>
        <v/>
      </c>
      <c r="K459" s="583">
        <f>+(D459+E459)-(J459)</f>
        <v/>
      </c>
      <c r="L459" s="253" t="n">
        <v>955</v>
      </c>
      <c r="M459" s="254" t="inlineStr">
        <is>
          <t>2825Q005A</t>
        </is>
      </c>
      <c r="N459" s="254" t="inlineStr">
        <is>
          <t>Serum</t>
        </is>
      </c>
      <c r="O459" s="1183" t="inlineStr">
        <is>
          <t>28/02/2027</t>
        </is>
      </c>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v>53</v>
      </c>
      <c r="AA459" s="648" t="n">
        <v>128</v>
      </c>
      <c r="AB459" s="649">
        <f>+Z459+AA459</f>
        <v/>
      </c>
      <c r="AC459" s="648" t="n">
        <v>0</v>
      </c>
      <c r="AD459" s="648" t="n">
        <v>0</v>
      </c>
      <c r="AE459" s="648" t="n">
        <v>0</v>
      </c>
      <c r="AF459" s="648" t="n">
        <v>0</v>
      </c>
      <c r="AG459" s="648" t="n">
        <v>0</v>
      </c>
      <c r="AH459" s="648" t="n">
        <v>0</v>
      </c>
      <c r="AI459" s="648" t="n">
        <v>0</v>
      </c>
      <c r="AJ459" s="648" t="n">
        <v>0</v>
      </c>
      <c r="AK459" s="648" t="n">
        <v>0</v>
      </c>
      <c r="AL459" s="648" t="n">
        <v>0</v>
      </c>
      <c r="AM459" s="421">
        <f>SUM(AB459:AL463)</f>
        <v/>
      </c>
      <c r="AN459" s="726" t="n"/>
      <c r="AQ459" s="1238">
        <f>IFERROR(I459/J459*100,"0")</f>
        <v/>
      </c>
      <c r="AR459" s="343">
        <f>IFERROR(1/(1-(AQ459/100)),"0")</f>
        <v/>
      </c>
      <c r="AS459" s="1239" t="n">
        <v>30</v>
      </c>
      <c r="AT459" s="345" t="n">
        <v>10</v>
      </c>
      <c r="AU459" s="1240" t="n"/>
      <c r="AV459" s="1241" t="n"/>
      <c r="AW459" s="1242">
        <f>+H459-AV459</f>
        <v/>
      </c>
    </row>
    <row r="460" ht="17.25" customHeight="1">
      <c r="A460" s="973" t="n"/>
      <c r="B460" s="971" t="n"/>
      <c r="C460" s="972" t="n"/>
      <c r="D460" s="973" t="n"/>
      <c r="E460" s="973" t="n"/>
      <c r="F460" s="994" t="n"/>
      <c r="G460" s="994" t="n"/>
      <c r="H460" s="973" t="n"/>
      <c r="I460" s="973" t="n"/>
      <c r="J460" s="973" t="n"/>
      <c r="K460" s="973" t="n"/>
      <c r="L460" s="253" t="n">
        <v>590</v>
      </c>
      <c r="M460" s="254" t="inlineStr">
        <is>
          <t>221100624A</t>
        </is>
      </c>
      <c r="N460" s="254" t="inlineStr">
        <is>
          <t>BIOLÓGICAL E. LÍMITED</t>
        </is>
      </c>
      <c r="O460" s="1183" t="inlineStr">
        <is>
          <t>30/11/2026</t>
        </is>
      </c>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73"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73"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73"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75" t="n"/>
      <c r="E464" s="975" t="n"/>
      <c r="F464" s="998" t="n"/>
      <c r="G464" s="998" t="n"/>
      <c r="H464" s="975" t="n"/>
      <c r="I464" s="975" t="n"/>
      <c r="J464" s="975" t="n"/>
      <c r="K464" s="1189">
        <f>K459=L464</f>
        <v/>
      </c>
      <c r="L464" s="491">
        <f>SUM(L459:L463)</f>
        <v/>
      </c>
      <c r="M464" s="1190" t="inlineStr">
        <is>
          <t xml:space="preserve">“Verdadero” indica que la cantidad por lote, coincide con el saldo que inicia al mes siguiente. "Falso" no coinicide. </t>
        </is>
      </c>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413">
        <f>JUNIO!K465</f>
        <v/>
      </c>
      <c r="E465" s="339">
        <f>H61</f>
        <v/>
      </c>
      <c r="F465" s="338" t="n">
        <v>4</v>
      </c>
      <c r="G465" s="338" t="n">
        <v>0</v>
      </c>
      <c r="H465" s="1235">
        <f>+F465+G465</f>
        <v/>
      </c>
      <c r="I465" s="340">
        <f>+AM465</f>
        <v/>
      </c>
      <c r="J465" s="341">
        <f>+H465+I465</f>
        <v/>
      </c>
      <c r="K465" s="583">
        <f>+(D465+E465)-(J465)</f>
        <v/>
      </c>
      <c r="L465" s="253" t="n">
        <v>48</v>
      </c>
      <c r="M465" s="254" t="inlineStr">
        <is>
          <t>4CA03C1</t>
        </is>
      </c>
      <c r="N465" s="254" t="inlineStr">
        <is>
          <t>Sanofi Pasteur</t>
        </is>
      </c>
      <c r="O465" s="1183" t="inlineStr">
        <is>
          <t>31/10/2026</t>
        </is>
      </c>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v>0</v>
      </c>
      <c r="AA465" s="648" t="n">
        <v>0</v>
      </c>
      <c r="AB465" s="649">
        <f>+Z465+AA465</f>
        <v/>
      </c>
      <c r="AC465" s="648" t="n">
        <v>0</v>
      </c>
      <c r="AD465" s="648" t="n">
        <v>0</v>
      </c>
      <c r="AE465" s="648" t="n">
        <v>0</v>
      </c>
      <c r="AF465" s="648" t="n">
        <v>0</v>
      </c>
      <c r="AG465" s="648" t="n">
        <v>0</v>
      </c>
      <c r="AH465" s="648" t="n">
        <v>0</v>
      </c>
      <c r="AI465" s="648" t="n">
        <v>0</v>
      </c>
      <c r="AJ465" s="648" t="n">
        <v>0</v>
      </c>
      <c r="AK465" s="648" t="n">
        <v>0</v>
      </c>
      <c r="AL465" s="648" t="n">
        <v>0</v>
      </c>
      <c r="AM465" s="421">
        <f>SUM(AB465:AL469)</f>
        <v/>
      </c>
      <c r="AN465" s="726" t="n"/>
      <c r="AQ465" s="1238">
        <f>IFERROR(I465/J465*100,"0")</f>
        <v/>
      </c>
      <c r="AR465" s="343">
        <f>IFERROR(1/(1-(AQ465/100)),"0")</f>
        <v/>
      </c>
      <c r="AS465" s="1239" t="n">
        <v>0</v>
      </c>
      <c r="AT465" s="345" t="n">
        <v>1</v>
      </c>
      <c r="AU465" s="1240" t="n"/>
      <c r="AV465" s="1241" t="n"/>
      <c r="AW465" s="1242">
        <f>+H465-AV465</f>
        <v/>
      </c>
    </row>
    <row r="466" ht="17.25" customHeight="1">
      <c r="A466" s="973" t="n"/>
      <c r="B466" s="971" t="n"/>
      <c r="C466" s="972" t="n"/>
      <c r="D466" s="973" t="n"/>
      <c r="E466" s="973" t="n"/>
      <c r="F466" s="994" t="n"/>
      <c r="G466" s="994" t="n"/>
      <c r="H466" s="973" t="n"/>
      <c r="I466" s="973" t="n"/>
      <c r="J466" s="973" t="n"/>
      <c r="K466" s="973" t="n"/>
      <c r="L466" s="253" t="n"/>
      <c r="M466" s="254" t="n"/>
      <c r="N466" s="254" t="inlineStr"/>
      <c r="O466" s="1183" t="inlineStr"/>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73" t="n"/>
      <c r="E467" s="973" t="n"/>
      <c r="F467" s="994" t="n"/>
      <c r="G467" s="994" t="n"/>
      <c r="H467" s="973" t="n"/>
      <c r="I467" s="973" t="n"/>
      <c r="J467" s="973" t="n"/>
      <c r="K467" s="973" t="n"/>
      <c r="L467" s="253" t="n">
        <v>8</v>
      </c>
      <c r="M467" s="254" t="inlineStr">
        <is>
          <t>4CA34C1</t>
        </is>
      </c>
      <c r="N467" s="254" t="inlineStr">
        <is>
          <t>Sanofi Pasteur</t>
        </is>
      </c>
      <c r="O467" s="1183" t="inlineStr">
        <is>
          <t>31/05/2027</t>
        </is>
      </c>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73" t="n"/>
      <c r="E468" s="973" t="n"/>
      <c r="F468" s="994" t="n"/>
      <c r="G468" s="994" t="n"/>
      <c r="H468" s="973" t="n"/>
      <c r="I468" s="973" t="n"/>
      <c r="J468" s="973" t="n"/>
      <c r="K468" s="973" t="n"/>
      <c r="L468" s="253" t="n"/>
      <c r="M468" s="254" t="n"/>
      <c r="N468" s="254" t="n"/>
      <c r="O468" s="1183" t="n"/>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73"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75" t="n"/>
      <c r="E470" s="975" t="n"/>
      <c r="F470" s="998" t="n"/>
      <c r="G470" s="998" t="n"/>
      <c r="H470" s="975" t="n"/>
      <c r="I470" s="975" t="n"/>
      <c r="J470" s="975" t="n"/>
      <c r="K470" s="1189">
        <f>K465=L470</f>
        <v/>
      </c>
      <c r="L470" s="491">
        <f>SUM(L465:L469)</f>
        <v/>
      </c>
      <c r="M470" s="1190" t="inlineStr">
        <is>
          <t xml:space="preserve">“Verdadero” indica que la cantidad por lote, coincide con el saldo que inicia al mes siguiente. "Falso" no coinicide. </t>
        </is>
      </c>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413">
        <f>JUNIO!K471</f>
        <v/>
      </c>
      <c r="E471" s="339">
        <f>H67</f>
        <v/>
      </c>
      <c r="F471" s="338" t="n">
        <v>1249</v>
      </c>
      <c r="G471" s="338" t="n">
        <v>7</v>
      </c>
      <c r="H471" s="1235">
        <f>+F471+G471</f>
        <v/>
      </c>
      <c r="I471" s="340">
        <f>+AM471</f>
        <v/>
      </c>
      <c r="J471" s="341">
        <f>+H471+I471</f>
        <v/>
      </c>
      <c r="K471" s="583">
        <f>+(D471+E471)-(J471)</f>
        <v/>
      </c>
      <c r="L471" s="253" t="n">
        <v>806</v>
      </c>
      <c r="M471" s="254" t="inlineStr">
        <is>
          <t>AROLE419AA</t>
        </is>
      </c>
      <c r="N471" s="254" t="inlineStr">
        <is>
          <t>Glaxo SmithKline</t>
        </is>
      </c>
      <c r="O471" s="1183" t="inlineStr">
        <is>
          <t>30/09/2027</t>
        </is>
      </c>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v>0</v>
      </c>
      <c r="AA471" s="648" t="n">
        <v>0</v>
      </c>
      <c r="AB471" s="649">
        <f>+Z471+AA471</f>
        <v/>
      </c>
      <c r="AC471" s="648" t="n">
        <v>0</v>
      </c>
      <c r="AD471" s="648" t="n">
        <v>0</v>
      </c>
      <c r="AE471" s="648" t="n">
        <v>0</v>
      </c>
      <c r="AF471" s="648" t="n">
        <v>0</v>
      </c>
      <c r="AG471" s="648" t="n">
        <v>0</v>
      </c>
      <c r="AH471" s="648" t="n">
        <v>0</v>
      </c>
      <c r="AI471" s="648" t="n">
        <v>0</v>
      </c>
      <c r="AJ471" s="648" t="n">
        <v>0</v>
      </c>
      <c r="AK471" s="648" t="n">
        <v>0</v>
      </c>
      <c r="AL471" s="648" t="n">
        <v>0</v>
      </c>
      <c r="AM471" s="421">
        <f>SUM(AB471:AL475)</f>
        <v/>
      </c>
      <c r="AN471" s="726" t="n"/>
      <c r="AQ471" s="1238">
        <f>IFERROR(I471/J471*100,"0")</f>
        <v/>
      </c>
      <c r="AR471" s="343">
        <f>IFERROR(1/(1-(AQ471/100)),"0")</f>
        <v/>
      </c>
      <c r="AS471" s="1239" t="n">
        <v>0</v>
      </c>
      <c r="AT471" s="345" t="n">
        <v>1</v>
      </c>
      <c r="AU471" s="1240" t="n"/>
      <c r="AV471" s="1241" t="n"/>
      <c r="AW471" s="1242">
        <f>+H471-AV471</f>
        <v/>
      </c>
    </row>
    <row r="472" ht="17.25" customHeight="1">
      <c r="A472" s="973" t="n"/>
      <c r="B472" s="971" t="n"/>
      <c r="C472" s="972" t="n"/>
      <c r="D472" s="973" t="n"/>
      <c r="E472" s="973" t="n"/>
      <c r="F472" s="994" t="n"/>
      <c r="G472" s="994" t="n"/>
      <c r="H472" s="973" t="n"/>
      <c r="I472" s="973" t="n"/>
      <c r="J472" s="973" t="n"/>
      <c r="K472" s="973" t="n"/>
      <c r="L472" s="253" t="n">
        <v>380</v>
      </c>
      <c r="M472" s="254" t="inlineStr">
        <is>
          <t>AROLE487AA</t>
        </is>
      </c>
      <c r="N472" s="254" t="inlineStr">
        <is>
          <t>Glaxo SmithKline</t>
        </is>
      </c>
      <c r="O472" s="1183" t="inlineStr">
        <is>
          <t>31/01/2028</t>
        </is>
      </c>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73" t="n"/>
      <c r="E473" s="973" t="n"/>
      <c r="F473" s="994" t="n"/>
      <c r="G473" s="994" t="n"/>
      <c r="H473" s="973" t="n"/>
      <c r="I473" s="973" t="n"/>
      <c r="J473" s="973" t="n"/>
      <c r="K473" s="973" t="n"/>
      <c r="L473" s="253" t="n"/>
      <c r="M473" s="254" t="n"/>
      <c r="N473" s="254" t="n"/>
      <c r="O473" s="1183" t="inlineStr">
        <is>
          <t>31/03/2027</t>
        </is>
      </c>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73" t="n"/>
      <c r="E474" s="973" t="n"/>
      <c r="F474" s="994" t="n"/>
      <c r="G474" s="994" t="n"/>
      <c r="H474" s="973" t="n"/>
      <c r="I474" s="973" t="n"/>
      <c r="J474" s="973" t="n"/>
      <c r="K474" s="973" t="n"/>
      <c r="L474" s="253" t="n"/>
      <c r="M474" s="254" t="n"/>
      <c r="N474" s="254" t="n"/>
      <c r="O474" s="1183" t="inlineStr">
        <is>
          <t>31/10/2026</t>
        </is>
      </c>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73" t="n"/>
      <c r="E475" s="973" t="n"/>
      <c r="F475" s="994" t="n"/>
      <c r="G475" s="994" t="n"/>
      <c r="H475" s="973" t="n"/>
      <c r="I475" s="973" t="n"/>
      <c r="J475" s="973" t="n"/>
      <c r="K475" s="975" t="n"/>
      <c r="L475" s="253" t="n"/>
      <c r="M475" s="254" t="n"/>
      <c r="N475" s="254" t="n"/>
      <c r="O475" s="1183" t="inlineStr">
        <is>
          <t>31/10/2026</t>
        </is>
      </c>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75" t="n"/>
      <c r="E476" s="975" t="n"/>
      <c r="F476" s="998" t="n"/>
      <c r="G476" s="998" t="n"/>
      <c r="H476" s="975" t="n"/>
      <c r="I476" s="975" t="n"/>
      <c r="J476" s="975" t="n"/>
      <c r="K476" s="1189">
        <f>K471=L476</f>
        <v/>
      </c>
      <c r="L476" s="491">
        <f>SUM(L471:L475)</f>
        <v/>
      </c>
      <c r="M476" s="1190" t="inlineStr">
        <is>
          <t xml:space="preserve">“Verdadero” indica que la cantidad por lote, coincide con el saldo que inicia al mes siguiente. "Falso" no coinicide. </t>
        </is>
      </c>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413">
        <f>JUNIO!K477</f>
        <v/>
      </c>
      <c r="E477" s="339">
        <f>H73</f>
        <v/>
      </c>
      <c r="F477" s="338" t="n">
        <v>1844</v>
      </c>
      <c r="G477" s="338" t="n">
        <v>20</v>
      </c>
      <c r="H477" s="1235">
        <f>+F477+G477</f>
        <v/>
      </c>
      <c r="I477" s="340">
        <f>+AM477</f>
        <v/>
      </c>
      <c r="J477" s="341">
        <f>+H477+I477</f>
        <v/>
      </c>
      <c r="K477" s="583">
        <f>+(D477+E477)-(J477)</f>
        <v/>
      </c>
      <c r="L477" s="253" t="n">
        <v>1295</v>
      </c>
      <c r="M477" s="254" t="inlineStr">
        <is>
          <t>LR6371</t>
        </is>
      </c>
      <c r="N477" s="254" t="inlineStr">
        <is>
          <t>PFIZER</t>
        </is>
      </c>
      <c r="O477" s="1183" t="inlineStr">
        <is>
          <t>30/09/2027</t>
        </is>
      </c>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v>0</v>
      </c>
      <c r="AA477" s="648" t="n">
        <v>0</v>
      </c>
      <c r="AB477" s="649">
        <f>+Z477+AA477</f>
        <v/>
      </c>
      <c r="AC477" s="648" t="n">
        <v>0</v>
      </c>
      <c r="AD477" s="648" t="n">
        <v>0</v>
      </c>
      <c r="AE477" s="648" t="n">
        <v>0</v>
      </c>
      <c r="AF477" s="648" t="n">
        <v>0</v>
      </c>
      <c r="AG477" s="648" t="n">
        <v>0</v>
      </c>
      <c r="AH477" s="648" t="n">
        <v>0</v>
      </c>
      <c r="AI477" s="648" t="n">
        <v>0</v>
      </c>
      <c r="AJ477" s="648" t="n">
        <v>0</v>
      </c>
      <c r="AK477" s="648" t="n">
        <v>0</v>
      </c>
      <c r="AL477" s="648" t="n">
        <v>0</v>
      </c>
      <c r="AM477" s="421">
        <f>SUM(AB477:AL481)</f>
        <v/>
      </c>
      <c r="AN477" s="726" t="n"/>
      <c r="AQ477" s="1238">
        <f>IFERROR(I477/J477*100,"0")</f>
        <v/>
      </c>
      <c r="AR477" s="343">
        <f>IFERROR(1/(1-(AQ477/100)),"0")</f>
        <v/>
      </c>
      <c r="AS477" s="1239" t="n">
        <v>0</v>
      </c>
      <c r="AT477" s="345" t="n">
        <v>1</v>
      </c>
      <c r="AU477" s="1240" t="n"/>
      <c r="AV477" s="1241" t="n"/>
      <c r="AW477" s="1242">
        <f>+H477-AV477</f>
        <v/>
      </c>
    </row>
    <row r="478" ht="17.25" customHeight="1">
      <c r="A478" s="973" t="n"/>
      <c r="B478" s="971" t="n"/>
      <c r="C478" s="972" t="n"/>
      <c r="D478" s="973" t="n"/>
      <c r="E478" s="973" t="n"/>
      <c r="F478" s="994" t="n"/>
      <c r="G478" s="994" t="n"/>
      <c r="H478" s="973" t="n"/>
      <c r="I478" s="973" t="n"/>
      <c r="J478" s="973" t="n"/>
      <c r="K478" s="973" t="n"/>
      <c r="L478" s="253" t="n">
        <v>406</v>
      </c>
      <c r="M478" s="254" t="inlineStr">
        <is>
          <t>LK3156</t>
        </is>
      </c>
      <c r="N478" s="254" t="inlineStr">
        <is>
          <t>PFIZER</t>
        </is>
      </c>
      <c r="O478" s="1183" t="inlineStr">
        <is>
          <t>31/05/2027</t>
        </is>
      </c>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73" t="n"/>
      <c r="E479" s="973" t="n"/>
      <c r="F479" s="994" t="n"/>
      <c r="G479" s="994" t="n"/>
      <c r="H479" s="973" t="n"/>
      <c r="I479" s="973" t="n"/>
      <c r="J479" s="973" t="n"/>
      <c r="K479" s="973" t="n"/>
      <c r="L479" s="253" t="n"/>
      <c r="M479" s="254" t="n"/>
      <c r="N479" s="254" t="inlineStr"/>
      <c r="O479" s="1183" t="inlineStr"/>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73" t="n"/>
      <c r="E480" s="973" t="n"/>
      <c r="F480" s="994" t="n"/>
      <c r="G480" s="994" t="n"/>
      <c r="H480" s="973" t="n"/>
      <c r="I480" s="973" t="n"/>
      <c r="J480" s="973" t="n"/>
      <c r="K480" s="973" t="n"/>
      <c r="L480" s="253" t="n"/>
      <c r="M480" s="254" t="n"/>
      <c r="N480" s="254" t="inlineStr"/>
      <c r="O480" s="1183" t="inlineStr"/>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73"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75" t="n"/>
      <c r="E482" s="975" t="n"/>
      <c r="F482" s="998" t="n"/>
      <c r="G482" s="998" t="n"/>
      <c r="H482" s="975" t="n"/>
      <c r="I482" s="975" t="n"/>
      <c r="J482" s="975" t="n"/>
      <c r="K482" s="1189">
        <f>K477=L482</f>
        <v/>
      </c>
      <c r="L482" s="491">
        <f>SUM(L477:L481)</f>
        <v/>
      </c>
      <c r="M482" s="1190" t="inlineStr">
        <is>
          <t xml:space="preserve">“Verdadero” indica que la cantidad por lote, coincide con el saldo que inicia al mes siguiente. "Falso" no coinicide. </t>
        </is>
      </c>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413">
        <f>JUNIO!K483</f>
        <v/>
      </c>
      <c r="E483" s="339">
        <f>H79</f>
        <v/>
      </c>
      <c r="F483" s="338" t="n">
        <v>0</v>
      </c>
      <c r="G483" s="338" t="n">
        <v>0</v>
      </c>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v>0</v>
      </c>
      <c r="AA483" s="648" t="n">
        <v>0</v>
      </c>
      <c r="AB483" s="649">
        <f>+Z483+AA483</f>
        <v/>
      </c>
      <c r="AC483" s="648" t="n">
        <v>0</v>
      </c>
      <c r="AD483" s="648" t="n">
        <v>0</v>
      </c>
      <c r="AE483" s="648" t="n">
        <v>0</v>
      </c>
      <c r="AF483" s="648" t="n">
        <v>0</v>
      </c>
      <c r="AG483" s="648" t="n">
        <v>0</v>
      </c>
      <c r="AH483" s="648" t="n">
        <v>0</v>
      </c>
      <c r="AI483" s="648" t="n">
        <v>0</v>
      </c>
      <c r="AJ483" s="648" t="n">
        <v>0</v>
      </c>
      <c r="AK483" s="648" t="n">
        <v>0</v>
      </c>
      <c r="AL483" s="648" t="n">
        <v>0</v>
      </c>
      <c r="AM483" s="421">
        <f>SUM(AB483:AL487)</f>
        <v/>
      </c>
      <c r="AN483" s="726" t="n"/>
      <c r="AQ483" s="1238">
        <f>IFERROR(I483/J483*100,"0")</f>
        <v/>
      </c>
      <c r="AR483" s="343">
        <f>IFERROR(1/(1-(AQ483/100)),"0")</f>
        <v/>
      </c>
      <c r="AS483" s="1239" t="n">
        <v>0</v>
      </c>
      <c r="AT483" s="345" t="n">
        <v>1</v>
      </c>
      <c r="AU483" s="1240" t="n"/>
      <c r="AV483" s="1241" t="n"/>
      <c r="AW483" s="1242">
        <f>+H483-AV483</f>
        <v/>
      </c>
    </row>
    <row r="484" ht="17.25" customHeight="1">
      <c r="A484" s="973" t="n"/>
      <c r="B484" s="971" t="n"/>
      <c r="C484" s="972" t="n"/>
      <c r="D484" s="973"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73"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73"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73"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75" t="n"/>
      <c r="E488" s="975" t="n"/>
      <c r="F488" s="998" t="n"/>
      <c r="G488" s="998" t="n"/>
      <c r="H488" s="975" t="n"/>
      <c r="I488" s="975" t="n"/>
      <c r="J488" s="975" t="n"/>
      <c r="K488" s="1189">
        <f>K483=L488</f>
        <v/>
      </c>
      <c r="L488" s="491">
        <f>SUM(L483:L487)</f>
        <v/>
      </c>
      <c r="M488" s="1190" t="inlineStr">
        <is>
          <t xml:space="preserve">“Verdadero” indica que la cantidad por lote, coincide con el saldo que inicia al mes siguiente. "Falso" no coinicide. </t>
        </is>
      </c>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413">
        <f>JUNIO!K489</f>
        <v/>
      </c>
      <c r="E489" s="339">
        <f>H85</f>
        <v/>
      </c>
      <c r="F489" s="338" t="n">
        <v>1620</v>
      </c>
      <c r="G489" s="338" t="n">
        <v>39</v>
      </c>
      <c r="H489" s="1235">
        <f>+F489+G489</f>
        <v/>
      </c>
      <c r="I489" s="340">
        <f>+AM489</f>
        <v/>
      </c>
      <c r="J489" s="341">
        <f>+H489+I489</f>
        <v/>
      </c>
      <c r="K489" s="583">
        <f>+(D489+E489)-(J489)</f>
        <v/>
      </c>
      <c r="L489" s="253" t="n">
        <v>800</v>
      </c>
      <c r="M489" s="254" t="inlineStr">
        <is>
          <t>0134N093A</t>
        </is>
      </c>
      <c r="N489" s="254" t="inlineStr">
        <is>
          <t>Serum</t>
        </is>
      </c>
      <c r="O489" s="1183" t="inlineStr">
        <is>
          <t>30/04/2027</t>
        </is>
      </c>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v>0</v>
      </c>
      <c r="AA489" s="648" t="n">
        <v>0</v>
      </c>
      <c r="AB489" s="649">
        <f>+Z489+AA489</f>
        <v/>
      </c>
      <c r="AC489" s="648" t="n">
        <v>0</v>
      </c>
      <c r="AD489" s="648" t="n">
        <v>0</v>
      </c>
      <c r="AE489" s="648" t="n">
        <v>0</v>
      </c>
      <c r="AF489" s="648" t="n">
        <v>0</v>
      </c>
      <c r="AG489" s="648" t="n">
        <v>0</v>
      </c>
      <c r="AH489" s="648" t="n">
        <v>0</v>
      </c>
      <c r="AI489" s="648" t="n">
        <v>0</v>
      </c>
      <c r="AJ489" s="648" t="n">
        <v>0</v>
      </c>
      <c r="AK489" s="648" t="n">
        <v>0</v>
      </c>
      <c r="AL489" s="648" t="n">
        <v>0</v>
      </c>
      <c r="AM489" s="421">
        <f>SUM(AB489:AL493)</f>
        <v/>
      </c>
      <c r="AN489" s="726" t="n"/>
      <c r="AQ489" s="1238">
        <f>IFERROR(I489/J489*100,"0")</f>
        <v/>
      </c>
      <c r="AR489" s="343">
        <f>IFERROR(1/(1-(AQ489/100)),"0")</f>
        <v/>
      </c>
      <c r="AS489" s="1239" t="n">
        <v>0</v>
      </c>
      <c r="AT489" s="345" t="n">
        <v>1</v>
      </c>
      <c r="AU489" s="1240" t="n"/>
      <c r="AV489" s="1241" t="n"/>
      <c r="AW489" s="1242">
        <f>+H489-AV489</f>
        <v/>
      </c>
    </row>
    <row r="490" ht="17.25" customHeight="1">
      <c r="A490" s="973" t="n"/>
      <c r="B490" s="971" t="n"/>
      <c r="C490" s="972" t="n"/>
      <c r="D490" s="973" t="n"/>
      <c r="E490" s="973" t="n"/>
      <c r="F490" s="994" t="n"/>
      <c r="G490" s="994" t="n"/>
      <c r="H490" s="973" t="n"/>
      <c r="I490" s="973" t="n"/>
      <c r="J490" s="973" t="n"/>
      <c r="K490" s="973" t="n"/>
      <c r="L490" s="253" t="n">
        <v>499</v>
      </c>
      <c r="M490" s="254" t="inlineStr">
        <is>
          <t>0135AB117</t>
        </is>
      </c>
      <c r="N490" s="254" t="inlineStr">
        <is>
          <t>Serum</t>
        </is>
      </c>
      <c r="O490" s="1183" t="inlineStr">
        <is>
          <t>31/12/2027</t>
        </is>
      </c>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73" t="n"/>
      <c r="E491" s="973" t="n"/>
      <c r="F491" s="994" t="n"/>
      <c r="G491" s="994" t="n"/>
      <c r="H491" s="973" t="n"/>
      <c r="I491" s="973" t="n"/>
      <c r="J491" s="973" t="n"/>
      <c r="K491" s="973" t="n"/>
      <c r="L491" s="253" t="n">
        <v>419</v>
      </c>
      <c r="M491" s="254" t="inlineStr">
        <is>
          <t>0134N096A</t>
        </is>
      </c>
      <c r="N491" s="254" t="inlineStr">
        <is>
          <t>Serum</t>
        </is>
      </c>
      <c r="O491" s="1183" t="inlineStr">
        <is>
          <t>30/04/2027</t>
        </is>
      </c>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73" t="n"/>
      <c r="E492" s="973" t="n"/>
      <c r="F492" s="994" t="n"/>
      <c r="G492" s="994" t="n"/>
      <c r="H492" s="973" t="n"/>
      <c r="I492" s="973" t="n"/>
      <c r="J492" s="973" t="n"/>
      <c r="K492" s="973" t="n"/>
      <c r="L492" s="253" t="n">
        <v>78</v>
      </c>
      <c r="M492" s="254" t="inlineStr">
        <is>
          <t>0133N146B</t>
        </is>
      </c>
      <c r="N492" s="254" t="inlineStr">
        <is>
          <t>Serum</t>
        </is>
      </c>
      <c r="O492" s="1183" t="inlineStr">
        <is>
          <t>30/09/2026</t>
        </is>
      </c>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73" t="n"/>
      <c r="E493" s="973" t="n"/>
      <c r="F493" s="994" t="n"/>
      <c r="G493" s="994" t="n"/>
      <c r="H493" s="973" t="n"/>
      <c r="I493" s="973" t="n"/>
      <c r="J493" s="973" t="n"/>
      <c r="K493" s="975" t="n"/>
      <c r="L493" s="253" t="n"/>
      <c r="M493" s="254" t="n"/>
      <c r="N493" s="254" t="inlineStr"/>
      <c r="O493" s="1183" t="inlineStr"/>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75" t="n"/>
      <c r="E494" s="975" t="n"/>
      <c r="F494" s="998" t="n"/>
      <c r="G494" s="998" t="n"/>
      <c r="H494" s="975" t="n"/>
      <c r="I494" s="975" t="n"/>
      <c r="J494" s="975" t="n"/>
      <c r="K494" s="1189">
        <f>K489=L494</f>
        <v/>
      </c>
      <c r="L494" s="491">
        <f>SUM(L489:L493)</f>
        <v/>
      </c>
      <c r="M494" s="1190" t="inlineStr">
        <is>
          <t xml:space="preserve">“Verdadero” indica que la cantidad por lote, coincide con el saldo que inicia al mes siguiente. "Falso" no coinicide. </t>
        </is>
      </c>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413">
        <f>JUNIO!K495</f>
        <v/>
      </c>
      <c r="E495" s="339">
        <f>H91</f>
        <v/>
      </c>
      <c r="F495" s="338" t="n">
        <v>0</v>
      </c>
      <c r="G495" s="338" t="n">
        <v>0</v>
      </c>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v>0</v>
      </c>
      <c r="AA495" s="648" t="n">
        <v>0</v>
      </c>
      <c r="AB495" s="649">
        <f>+Z495+AA495</f>
        <v/>
      </c>
      <c r="AC495" s="648" t="n">
        <v>0</v>
      </c>
      <c r="AD495" s="648" t="n">
        <v>0</v>
      </c>
      <c r="AE495" s="648" t="n">
        <v>0</v>
      </c>
      <c r="AF495" s="648" t="n">
        <v>0</v>
      </c>
      <c r="AG495" s="648" t="n">
        <v>0</v>
      </c>
      <c r="AH495" s="648" t="n">
        <v>0</v>
      </c>
      <c r="AI495" s="648" t="n">
        <v>0</v>
      </c>
      <c r="AJ495" s="648" t="n">
        <v>0</v>
      </c>
      <c r="AK495" s="648" t="n">
        <v>0</v>
      </c>
      <c r="AL495" s="648" t="n">
        <v>0</v>
      </c>
      <c r="AM495" s="421">
        <f>SUM(AB495:AL499)</f>
        <v/>
      </c>
      <c r="AN495" s="726" t="n"/>
      <c r="AQ495" s="1238">
        <f>IFERROR(I495/J495*100,"0")</f>
        <v/>
      </c>
      <c r="AR495" s="343">
        <f>IFERROR(1/(1-(AQ495/100)),"0")</f>
        <v/>
      </c>
      <c r="AS495" s="1239" t="n">
        <v>25</v>
      </c>
      <c r="AT495" s="345" t="n">
        <v>5</v>
      </c>
      <c r="AU495" s="1240" t="n"/>
      <c r="AV495" s="1241" t="n"/>
      <c r="AW495" s="1242">
        <f>+H495-AV495</f>
        <v/>
      </c>
    </row>
    <row r="496" ht="17.25" customHeight="1">
      <c r="A496" s="973" t="n"/>
      <c r="B496" s="971" t="n"/>
      <c r="C496" s="972" t="n"/>
      <c r="D496" s="973"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73"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73"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73"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75" t="n"/>
      <c r="E500" s="975" t="n"/>
      <c r="F500" s="998" t="n"/>
      <c r="G500" s="998" t="n"/>
      <c r="H500" s="975" t="n"/>
      <c r="I500" s="975" t="n"/>
      <c r="J500" s="975" t="n"/>
      <c r="K500" s="1189">
        <f>K495=L500</f>
        <v/>
      </c>
      <c r="L500" s="491">
        <f>SUM(L495:L499)</f>
        <v/>
      </c>
      <c r="M500" s="1190" t="inlineStr">
        <is>
          <t xml:space="preserve">“Verdadero” indica que la cantidad por lote, coincide con el saldo que inicia al mes siguiente. "Falso" no coinicide. </t>
        </is>
      </c>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413">
        <f>JUNIO!K501</f>
        <v/>
      </c>
      <c r="E501" s="339">
        <f>H97</f>
        <v/>
      </c>
      <c r="F501" s="338" t="n">
        <v>0</v>
      </c>
      <c r="G501" s="338" t="n">
        <v>0</v>
      </c>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v>0</v>
      </c>
      <c r="AA501" s="648" t="n">
        <v>0</v>
      </c>
      <c r="AB501" s="649">
        <f>+Z501+AA501</f>
        <v/>
      </c>
      <c r="AC501" s="648" t="n">
        <v>0</v>
      </c>
      <c r="AD501" s="648" t="n">
        <v>0</v>
      </c>
      <c r="AE501" s="648" t="n">
        <v>0</v>
      </c>
      <c r="AF501" s="648" t="n">
        <v>0</v>
      </c>
      <c r="AG501" s="648" t="n">
        <v>0</v>
      </c>
      <c r="AH501" s="648" t="n">
        <v>0</v>
      </c>
      <c r="AI501" s="648" t="n">
        <v>0</v>
      </c>
      <c r="AJ501" s="648" t="n">
        <v>0</v>
      </c>
      <c r="AK501" s="648" t="n">
        <v>0</v>
      </c>
      <c r="AL501" s="648" t="n">
        <v>0</v>
      </c>
      <c r="AM501" s="421">
        <f>SUM(AB501:AL505)</f>
        <v/>
      </c>
      <c r="AN501" s="726" t="n"/>
      <c r="AQ501" s="1238">
        <f>IFERROR(I501/J501*100,"0")</f>
        <v/>
      </c>
      <c r="AR501" s="343">
        <f>IFERROR(1/(1-(AQ501/100)),"0")</f>
        <v/>
      </c>
      <c r="AS501" s="1239" t="n">
        <v>30</v>
      </c>
      <c r="AT501" s="345" t="n">
        <v>10</v>
      </c>
      <c r="AU501" s="1240" t="n"/>
      <c r="AV501" s="1241" t="n"/>
      <c r="AW501" s="1242">
        <f>+H501-AV501</f>
        <v/>
      </c>
    </row>
    <row r="502" ht="17.25" customHeight="1">
      <c r="A502" s="973" t="n"/>
      <c r="B502" s="971" t="n"/>
      <c r="C502" s="972" t="n"/>
      <c r="D502" s="973"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73"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73"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73"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75" t="n"/>
      <c r="E506" s="975" t="n"/>
      <c r="F506" s="998" t="n"/>
      <c r="G506" s="998" t="n"/>
      <c r="H506" s="975" t="n"/>
      <c r="I506" s="975" t="n"/>
      <c r="J506" s="975" t="n"/>
      <c r="K506" s="1189">
        <f>K501=L506</f>
        <v/>
      </c>
      <c r="L506" s="491">
        <f>SUM(L501:L505)</f>
        <v/>
      </c>
      <c r="M506" s="1190" t="inlineStr">
        <is>
          <t xml:space="preserve">“Verdadero” indica que la cantidad por lote, coincide con el saldo que inicia al mes siguiente. "Falso" no coinicide. </t>
        </is>
      </c>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413">
        <f>JUNIO!K507</f>
        <v/>
      </c>
      <c r="E507" s="339">
        <f>H103</f>
        <v/>
      </c>
      <c r="F507" s="338" t="n">
        <v>2884</v>
      </c>
      <c r="G507" s="338" t="n">
        <v>35</v>
      </c>
      <c r="H507" s="1235">
        <f>+F507+G507</f>
        <v/>
      </c>
      <c r="I507" s="340">
        <f>+AM507</f>
        <v/>
      </c>
      <c r="J507" s="341">
        <f>+H507+I507</f>
        <v/>
      </c>
      <c r="K507" s="583">
        <f>+(D507+E507)-(J507)</f>
        <v/>
      </c>
      <c r="L507" s="253" t="n">
        <v>1630</v>
      </c>
      <c r="M507" s="254" t="inlineStr">
        <is>
          <t>0126N030</t>
        </is>
      </c>
      <c r="N507" s="254" t="inlineStr">
        <is>
          <t>Serum</t>
        </is>
      </c>
      <c r="O507" s="1183" t="inlineStr">
        <is>
          <t>31/07/2028</t>
        </is>
      </c>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v>1250</v>
      </c>
      <c r="AA507" s="648" t="n">
        <v>200</v>
      </c>
      <c r="AB507" s="649">
        <f>+Z507+AA507</f>
        <v/>
      </c>
      <c r="AC507" s="648" t="n">
        <v>0</v>
      </c>
      <c r="AD507" s="648" t="n">
        <v>0</v>
      </c>
      <c r="AE507" s="648" t="n">
        <v>0</v>
      </c>
      <c r="AF507" s="648" t="n">
        <v>0</v>
      </c>
      <c r="AG507" s="648" t="n">
        <v>0</v>
      </c>
      <c r="AH507" s="648" t="n">
        <v>0</v>
      </c>
      <c r="AI507" s="648" t="n">
        <v>0</v>
      </c>
      <c r="AJ507" s="648" t="n">
        <v>0</v>
      </c>
      <c r="AK507" s="648" t="n">
        <v>0</v>
      </c>
      <c r="AL507" s="648" t="n">
        <v>0</v>
      </c>
      <c r="AM507" s="421">
        <f>SUM(AB507:AL511)</f>
        <v/>
      </c>
      <c r="AN507" s="726" t="n"/>
      <c r="AQ507" s="1238">
        <f>IFERROR(I507/J507*100,"0")</f>
        <v/>
      </c>
      <c r="AR507" s="343">
        <f>IFERROR(1/(1-(AQ507/100)),"0")</f>
        <v/>
      </c>
      <c r="AS507" s="1239" t="n">
        <v>0</v>
      </c>
      <c r="AT507" s="345" t="n">
        <v>1</v>
      </c>
      <c r="AU507" s="1240" t="n"/>
      <c r="AV507" s="1241" t="n"/>
      <c r="AW507" s="1242">
        <f>+H507-AV507</f>
        <v/>
      </c>
    </row>
    <row r="508" ht="17.25" customHeight="1">
      <c r="A508" s="973" t="n"/>
      <c r="B508" s="971" t="n"/>
      <c r="C508" s="972" t="n"/>
      <c r="D508" s="973" t="n"/>
      <c r="E508" s="973" t="n"/>
      <c r="F508" s="994" t="n"/>
      <c r="G508" s="994" t="n"/>
      <c r="H508" s="973" t="n"/>
      <c r="I508" s="973" t="n"/>
      <c r="J508" s="973" t="n"/>
      <c r="K508" s="973" t="n"/>
      <c r="L508" s="253" t="n">
        <v>215</v>
      </c>
      <c r="M508" s="254" t="inlineStr">
        <is>
          <t>0096M003</t>
        </is>
      </c>
      <c r="N508" s="254" t="inlineStr">
        <is>
          <t>Serum</t>
        </is>
      </c>
      <c r="O508" s="1183" t="inlineStr">
        <is>
          <t>31/07/2028</t>
        </is>
      </c>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73" t="n"/>
      <c r="E509" s="973" t="n"/>
      <c r="F509" s="994" t="n"/>
      <c r="G509" s="994" t="n"/>
      <c r="H509" s="973" t="n"/>
      <c r="I509" s="973" t="n"/>
      <c r="J509" s="973" t="n"/>
      <c r="K509" s="973" t="n"/>
      <c r="L509" s="253" t="n">
        <v>158</v>
      </c>
      <c r="M509" s="254" t="inlineStr">
        <is>
          <t>0095M002</t>
        </is>
      </c>
      <c r="N509" s="254" t="inlineStr">
        <is>
          <t>Serum</t>
        </is>
      </c>
      <c r="O509" s="1183" t="inlineStr">
        <is>
          <t>30/11/2027</t>
        </is>
      </c>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73" t="n"/>
      <c r="E510" s="973" t="n"/>
      <c r="F510" s="994" t="n"/>
      <c r="G510" s="994" t="n"/>
      <c r="H510" s="973" t="n"/>
      <c r="I510" s="973" t="n"/>
      <c r="J510" s="973" t="n"/>
      <c r="K510" s="973" t="n"/>
      <c r="L510" s="253" t="n">
        <v>16</v>
      </c>
      <c r="M510" s="254" t="inlineStr">
        <is>
          <t>0094W003</t>
        </is>
      </c>
      <c r="N510" s="254" t="inlineStr">
        <is>
          <t>Serum</t>
        </is>
      </c>
      <c r="O510" s="1183" t="inlineStr">
        <is>
          <t>31/01/2027</t>
        </is>
      </c>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73" t="n"/>
      <c r="E511" s="973" t="n"/>
      <c r="F511" s="994" t="n"/>
      <c r="G511" s="994" t="n"/>
      <c r="H511" s="973" t="n"/>
      <c r="I511" s="973" t="n"/>
      <c r="J511" s="973" t="n"/>
      <c r="K511" s="975" t="n"/>
      <c r="L511" s="253" t="n">
        <v>10</v>
      </c>
      <c r="M511" s="254" t="inlineStr">
        <is>
          <t>0094W002</t>
        </is>
      </c>
      <c r="N511" s="254" t="inlineStr">
        <is>
          <t>Serum</t>
        </is>
      </c>
      <c r="O511" s="1183" t="inlineStr">
        <is>
          <t>30/11/2026</t>
        </is>
      </c>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75" t="n"/>
      <c r="E512" s="975" t="n"/>
      <c r="F512" s="998" t="n"/>
      <c r="G512" s="998" t="n"/>
      <c r="H512" s="975" t="n"/>
      <c r="I512" s="975" t="n"/>
      <c r="J512" s="975" t="n"/>
      <c r="K512" s="1189">
        <f>K507=L512</f>
        <v/>
      </c>
      <c r="L512" s="491">
        <f>SUM(L507:L511)</f>
        <v/>
      </c>
      <c r="M512" s="1190" t="inlineStr">
        <is>
          <t xml:space="preserve">“Verdadero” indica que la cantidad por lote, coincide con el saldo que inicia al mes siguiente. "Falso" no coinicide. </t>
        </is>
      </c>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413">
        <f>JUNIO!K513</f>
        <v/>
      </c>
      <c r="E513" s="339">
        <f>H109</f>
        <v/>
      </c>
      <c r="F513" s="338" t="n"/>
      <c r="G513" s="338" t="n"/>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v>0</v>
      </c>
      <c r="AA513" s="648" t="n">
        <v>0</v>
      </c>
      <c r="AB513" s="649">
        <f>+Z513+AA513</f>
        <v/>
      </c>
      <c r="AC513" s="648" t="n">
        <v>0</v>
      </c>
      <c r="AD513" s="648" t="n">
        <v>0</v>
      </c>
      <c r="AE513" s="648" t="n">
        <v>0</v>
      </c>
      <c r="AF513" s="648" t="n">
        <v>0</v>
      </c>
      <c r="AG513" s="648" t="n">
        <v>0</v>
      </c>
      <c r="AH513" s="648" t="n">
        <v>0</v>
      </c>
      <c r="AI513" s="648" t="n">
        <v>0</v>
      </c>
      <c r="AJ513" s="648" t="n">
        <v>0</v>
      </c>
      <c r="AK513" s="648" t="n">
        <v>0</v>
      </c>
      <c r="AL513" s="648" t="n">
        <v>0</v>
      </c>
      <c r="AM513" s="421">
        <f>SUM(AB513:AL517)</f>
        <v/>
      </c>
      <c r="AN513" s="726" t="n"/>
      <c r="AQ513" s="1238">
        <f>IFERROR(I513/J513*100,"0")</f>
        <v/>
      </c>
      <c r="AR513" s="343">
        <f>IFERROR(1/(1-(AQ513/100)),"0")</f>
        <v/>
      </c>
      <c r="AS513" s="1239" t="n">
        <v>30</v>
      </c>
      <c r="AT513" s="345" t="n">
        <v>10</v>
      </c>
      <c r="AU513" s="1240" t="n"/>
      <c r="AV513" s="1241" t="n"/>
      <c r="AW513" s="1242">
        <f>+H513-AV513</f>
        <v/>
      </c>
    </row>
    <row r="514" ht="17.25" customHeight="1">
      <c r="A514" s="973" t="n"/>
      <c r="B514" s="971" t="n"/>
      <c r="C514" s="972" t="n"/>
      <c r="D514" s="973"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73"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73"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73"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75" t="n"/>
      <c r="E518" s="975" t="n"/>
      <c r="F518" s="998" t="n"/>
      <c r="G518" s="998" t="n"/>
      <c r="H518" s="975" t="n"/>
      <c r="I518" s="975" t="n"/>
      <c r="J518" s="975" t="n"/>
      <c r="K518" s="1189">
        <f>K513=L518</f>
        <v/>
      </c>
      <c r="L518" s="491">
        <f>SUM(L513:L517)</f>
        <v/>
      </c>
      <c r="M518" s="1190" t="inlineStr">
        <is>
          <t xml:space="preserve">“Verdadero” indica que la cantidad por lote, coincide con el saldo que inicia al mes siguiente. "Falso" no coinicide. </t>
        </is>
      </c>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413">
        <f>JUNIO!K519</f>
        <v/>
      </c>
      <c r="E519" s="339">
        <f>H115</f>
        <v/>
      </c>
      <c r="F519" s="338" t="n">
        <v>0</v>
      </c>
      <c r="G519" s="338" t="n">
        <v>0</v>
      </c>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v>0</v>
      </c>
      <c r="AA519" s="648" t="n">
        <v>0</v>
      </c>
      <c r="AB519" s="649">
        <f>+Z519+AA519</f>
        <v/>
      </c>
      <c r="AC519" s="648" t="n">
        <v>0</v>
      </c>
      <c r="AD519" s="648" t="n">
        <v>0</v>
      </c>
      <c r="AE519" s="648" t="n">
        <v>0</v>
      </c>
      <c r="AF519" s="648" t="n">
        <v>0</v>
      </c>
      <c r="AG519" s="648" t="n">
        <v>0</v>
      </c>
      <c r="AH519" s="648" t="n">
        <v>0</v>
      </c>
      <c r="AI519" s="648" t="n">
        <v>0</v>
      </c>
      <c r="AJ519" s="648" t="n">
        <v>0</v>
      </c>
      <c r="AK519" s="648" t="n">
        <v>0</v>
      </c>
      <c r="AL519" s="648" t="n">
        <v>0</v>
      </c>
      <c r="AM519" s="421">
        <f>SUM(AB519:AL523)</f>
        <v/>
      </c>
      <c r="AN519" s="726" t="n"/>
      <c r="AQ519" s="1238">
        <f>IFERROR(I519/J519*100,"0")</f>
        <v/>
      </c>
      <c r="AR519" s="343">
        <f>IFERROR(1/(1-(AQ519/100)),"0")</f>
        <v/>
      </c>
      <c r="AS519" s="1239" t="n">
        <v>0</v>
      </c>
      <c r="AT519" s="345" t="n">
        <v>1</v>
      </c>
      <c r="AU519" s="1240" t="n"/>
      <c r="AV519" s="1241" t="n"/>
      <c r="AW519" s="1242">
        <f>+H519-AV519</f>
        <v/>
      </c>
    </row>
    <row r="520" ht="17.25" customHeight="1">
      <c r="A520" s="973" t="n"/>
      <c r="B520" s="971" t="n"/>
      <c r="C520" s="972" t="n"/>
      <c r="D520" s="973"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73"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73"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73"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75" t="n"/>
      <c r="E524" s="975" t="n"/>
      <c r="F524" s="998" t="n"/>
      <c r="G524" s="998" t="n"/>
      <c r="H524" s="975" t="n"/>
      <c r="I524" s="975" t="n"/>
      <c r="J524" s="975" t="n"/>
      <c r="K524" s="1189">
        <f>K519=L524</f>
        <v/>
      </c>
      <c r="L524" s="491">
        <f>SUM(L519:L523)</f>
        <v/>
      </c>
      <c r="M524" s="1190" t="inlineStr">
        <is>
          <t xml:space="preserve">“Verdadero” indica que la cantidad por lote, coincide con el saldo que inicia al mes siguiente. "Falso" no coinicide. </t>
        </is>
      </c>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413">
        <f>JUNIO!K525</f>
        <v/>
      </c>
      <c r="E525" s="339">
        <f>H121</f>
        <v/>
      </c>
      <c r="F525" s="338" t="n">
        <v>2468</v>
      </c>
      <c r="G525" s="338" t="n">
        <v>44</v>
      </c>
      <c r="H525" s="1235">
        <f>+F525+G525</f>
        <v/>
      </c>
      <c r="I525" s="340">
        <f>+AM525</f>
        <v/>
      </c>
      <c r="J525" s="341">
        <f>+H525+I525</f>
        <v/>
      </c>
      <c r="K525" s="583">
        <f>+(D525+E525)-(J525)</f>
        <v/>
      </c>
      <c r="L525" s="253" t="n">
        <v>5500</v>
      </c>
      <c r="M525" s="254" t="inlineStr">
        <is>
          <t>Y3D32</t>
        </is>
      </c>
      <c r="N525" s="254" t="inlineStr">
        <is>
          <t>Sanofi Pasteur</t>
        </is>
      </c>
      <c r="O525" s="1183" t="inlineStr">
        <is>
          <t>30/04/2027</t>
        </is>
      </c>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v>2912</v>
      </c>
      <c r="AA525" s="648" t="n">
        <v>747</v>
      </c>
      <c r="AB525" s="649">
        <f>+Z525+AA525</f>
        <v/>
      </c>
      <c r="AC525" s="648" t="n">
        <v>0</v>
      </c>
      <c r="AD525" s="648" t="n">
        <v>0</v>
      </c>
      <c r="AE525" s="648" t="n">
        <v>0</v>
      </c>
      <c r="AF525" s="648" t="n">
        <v>0</v>
      </c>
      <c r="AG525" s="648" t="n">
        <v>0</v>
      </c>
      <c r="AH525" s="648" t="n">
        <v>0</v>
      </c>
      <c r="AI525" s="648" t="n">
        <v>0</v>
      </c>
      <c r="AJ525" s="648" t="n">
        <v>0</v>
      </c>
      <c r="AK525" s="648" t="n">
        <v>0</v>
      </c>
      <c r="AL525" s="648" t="n">
        <v>0</v>
      </c>
      <c r="AM525" s="421">
        <f>SUM(AB525:AL529)</f>
        <v/>
      </c>
      <c r="AN525" s="726" t="n"/>
      <c r="AQ525" s="1238">
        <f>IFERROR(I525/J525*100,"0")</f>
        <v/>
      </c>
      <c r="AR525" s="343">
        <f>IFERROR(1/(1-(AQ525/100)),"0")</f>
        <v/>
      </c>
      <c r="AS525" s="1239" t="n">
        <v>70</v>
      </c>
      <c r="AT525" s="345" t="n">
        <v>10</v>
      </c>
      <c r="AU525" s="1240" t="n"/>
      <c r="AV525" s="1241" t="n"/>
      <c r="AW525" s="1242">
        <f>+H525-AV525</f>
        <v/>
      </c>
    </row>
    <row r="526" ht="17.25" customHeight="1">
      <c r="A526" s="973" t="n"/>
      <c r="B526" s="971" t="n"/>
      <c r="C526" s="972" t="n"/>
      <c r="D526" s="973" t="n"/>
      <c r="E526" s="973" t="n"/>
      <c r="F526" s="994" t="n"/>
      <c r="G526" s="994" t="n"/>
      <c r="H526" s="973" t="n"/>
      <c r="I526" s="973" t="n"/>
      <c r="J526" s="973" t="n"/>
      <c r="K526" s="973" t="n"/>
      <c r="L526" s="253" t="n"/>
      <c r="M526" s="254" t="n"/>
      <c r="N526" s="254" t="inlineStr"/>
      <c r="O526" s="1183" t="inlineStr"/>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73" t="n"/>
      <c r="E527" s="973" t="n"/>
      <c r="F527" s="994" t="n"/>
      <c r="G527" s="994" t="n"/>
      <c r="H527" s="973" t="n"/>
      <c r="I527" s="973" t="n"/>
      <c r="J527" s="973" t="n"/>
      <c r="K527" s="973" t="n"/>
      <c r="L527" s="253" t="n">
        <v>1318</v>
      </c>
      <c r="M527" s="254" t="inlineStr">
        <is>
          <t>318</t>
        </is>
      </c>
      <c r="N527" s="254" t="inlineStr">
        <is>
          <t>CHUMAKOV</t>
        </is>
      </c>
      <c r="O527" s="1183" t="inlineStr">
        <is>
          <t>31/05/2027</t>
        </is>
      </c>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73" t="n"/>
      <c r="E528" s="973" t="n"/>
      <c r="F528" s="994" t="n"/>
      <c r="G528" s="994" t="n"/>
      <c r="H528" s="973" t="n"/>
      <c r="I528" s="973" t="n"/>
      <c r="J528" s="973" t="n"/>
      <c r="K528" s="973" t="n"/>
      <c r="L528" s="253" t="n"/>
      <c r="M528" s="254" t="n"/>
      <c r="N528" s="254" t="inlineStr"/>
      <c r="O528" s="1183" t="inlineStr"/>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73" t="n"/>
      <c r="E529" s="973" t="n"/>
      <c r="F529" s="994" t="n"/>
      <c r="G529" s="994" t="n"/>
      <c r="H529" s="973" t="n"/>
      <c r="I529" s="973" t="n"/>
      <c r="J529" s="973" t="n"/>
      <c r="K529" s="975" t="n"/>
      <c r="L529" s="253" t="n"/>
      <c r="M529" s="254" t="n"/>
      <c r="N529" s="254" t="inlineStr"/>
      <c r="O529" s="1183" t="inlineStr"/>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75" t="n"/>
      <c r="E530" s="975" t="n"/>
      <c r="F530" s="998" t="n"/>
      <c r="G530" s="998" t="n"/>
      <c r="H530" s="975" t="n"/>
      <c r="I530" s="975" t="n"/>
      <c r="J530" s="975" t="n"/>
      <c r="K530" s="1189">
        <f>K525=L530</f>
        <v/>
      </c>
      <c r="L530" s="491">
        <f>SUM(L525:L529)</f>
        <v/>
      </c>
      <c r="M530" s="1190" t="inlineStr">
        <is>
          <t xml:space="preserve">“Verdadero” indica que la cantidad por lote, coincide con el saldo que inicia al mes siguiente. "Falso" no coinicide. </t>
        </is>
      </c>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413">
        <f>JUNIO!K531</f>
        <v/>
      </c>
      <c r="E531" s="339">
        <f>H127</f>
        <v/>
      </c>
      <c r="F531" s="338" t="n">
        <v>612</v>
      </c>
      <c r="G531" s="338" t="n">
        <v>24</v>
      </c>
      <c r="H531" s="1235">
        <f>+F531+G531</f>
        <v/>
      </c>
      <c r="I531" s="340">
        <f>+AM531</f>
        <v/>
      </c>
      <c r="J531" s="341">
        <f>+H531+I531</f>
        <v/>
      </c>
      <c r="K531" s="583">
        <f>+(D531+E531)-(J531)</f>
        <v/>
      </c>
      <c r="L531" s="253" t="n">
        <v>900</v>
      </c>
      <c r="M531" s="254" t="inlineStr">
        <is>
          <t>AB202404013</t>
        </is>
      </c>
      <c r="N531" s="254" t="inlineStr">
        <is>
          <t>Sinovac</t>
        </is>
      </c>
      <c r="O531" s="1183" t="inlineStr">
        <is>
          <t>21/10/2027</t>
        </is>
      </c>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v>0</v>
      </c>
      <c r="AA531" s="648" t="n">
        <v>0</v>
      </c>
      <c r="AB531" s="649">
        <f>+Z531+AA531</f>
        <v/>
      </c>
      <c r="AC531" s="648" t="n">
        <v>0</v>
      </c>
      <c r="AD531" s="648" t="n">
        <v>0</v>
      </c>
      <c r="AE531" s="648" t="n">
        <v>0</v>
      </c>
      <c r="AF531" s="648" t="n">
        <v>0</v>
      </c>
      <c r="AG531" s="648" t="n">
        <v>0</v>
      </c>
      <c r="AH531" s="648" t="n">
        <v>0</v>
      </c>
      <c r="AI531" s="648" t="n">
        <v>0</v>
      </c>
      <c r="AJ531" s="648" t="n">
        <v>0</v>
      </c>
      <c r="AK531" s="648" t="n">
        <v>0</v>
      </c>
      <c r="AL531" s="648" t="n">
        <v>0</v>
      </c>
      <c r="AM531" s="421">
        <f>SUM(AB531:AL535)</f>
        <v/>
      </c>
      <c r="AN531" s="726" t="n"/>
      <c r="AQ531" s="1238">
        <f>IFERROR(I531/J531*100,"0")</f>
        <v/>
      </c>
      <c r="AR531" s="343">
        <f>IFERROR(1/(1-(AQ531/100)),"0")</f>
        <v/>
      </c>
      <c r="AS531" s="1239" t="n">
        <v>0</v>
      </c>
      <c r="AT531" s="345" t="n">
        <v>1</v>
      </c>
      <c r="AU531" s="1240" t="n"/>
      <c r="AV531" s="1241" t="n"/>
      <c r="AW531" s="1242">
        <f>+H531-AV531</f>
        <v/>
      </c>
    </row>
    <row r="532" ht="17.25" customHeight="1">
      <c r="A532" s="973" t="n"/>
      <c r="B532" s="971" t="n"/>
      <c r="C532" s="972" t="n"/>
      <c r="D532" s="973" t="n"/>
      <c r="E532" s="973" t="n"/>
      <c r="F532" s="994" t="n"/>
      <c r="G532" s="994" t="n"/>
      <c r="H532" s="973" t="n"/>
      <c r="I532" s="973" t="n"/>
      <c r="J532" s="973" t="n"/>
      <c r="K532" s="973" t="n"/>
      <c r="L532" s="253" t="n">
        <v>460</v>
      </c>
      <c r="M532" s="254" t="inlineStr">
        <is>
          <t>AB202403009</t>
        </is>
      </c>
      <c r="N532" s="254" t="inlineStr">
        <is>
          <t>Sinovac</t>
        </is>
      </c>
      <c r="O532" s="1183" t="inlineStr">
        <is>
          <t>04/09/2027</t>
        </is>
      </c>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73" t="n"/>
      <c r="E533" s="973" t="n"/>
      <c r="F533" s="994" t="n"/>
      <c r="G533" s="994" t="n"/>
      <c r="H533" s="973" t="n"/>
      <c r="I533" s="973" t="n"/>
      <c r="J533" s="973" t="n"/>
      <c r="K533" s="973" t="n"/>
      <c r="L533" s="253" t="n">
        <v>105</v>
      </c>
      <c r="M533" s="254" t="inlineStr">
        <is>
          <t>AB202410043</t>
        </is>
      </c>
      <c r="N533" s="254" t="inlineStr">
        <is>
          <t>Sinovac</t>
        </is>
      </c>
      <c r="O533" s="1183" t="inlineStr">
        <is>
          <t>25/04/2028</t>
        </is>
      </c>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73" t="n"/>
      <c r="E534" s="973" t="n"/>
      <c r="F534" s="994" t="n"/>
      <c r="G534" s="994" t="n"/>
      <c r="H534" s="973" t="n"/>
      <c r="I534" s="973" t="n"/>
      <c r="J534" s="973" t="n"/>
      <c r="K534" s="973" t="n"/>
      <c r="L534" s="253" t="n">
        <v>97</v>
      </c>
      <c r="M534" s="254" t="inlineStr">
        <is>
          <t>AB202403008</t>
        </is>
      </c>
      <c r="N534" s="254" t="inlineStr">
        <is>
          <t>Sinovac</t>
        </is>
      </c>
      <c r="O534" s="1183" t="inlineStr">
        <is>
          <t>04/09/2027</t>
        </is>
      </c>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73" t="n"/>
      <c r="E535" s="973" t="n"/>
      <c r="F535" s="994" t="n"/>
      <c r="G535" s="994" t="n"/>
      <c r="H535" s="973" t="n"/>
      <c r="I535" s="973" t="n"/>
      <c r="J535" s="973" t="n"/>
      <c r="K535" s="975" t="n"/>
      <c r="L535" s="253" t="n">
        <v>29</v>
      </c>
      <c r="M535" s="254" t="inlineStr">
        <is>
          <t>AB202411048</t>
        </is>
      </c>
      <c r="N535" s="254" t="inlineStr">
        <is>
          <t>Sinovac</t>
        </is>
      </c>
      <c r="O535" s="1183" t="inlineStr">
        <is>
          <t>03/05/2028</t>
        </is>
      </c>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75" t="n"/>
      <c r="E536" s="975" t="n"/>
      <c r="F536" s="998" t="n"/>
      <c r="G536" s="998" t="n"/>
      <c r="H536" s="975" t="n"/>
      <c r="I536" s="975" t="n"/>
      <c r="J536" s="975" t="n"/>
      <c r="K536" s="1189">
        <f>K531=L536</f>
        <v/>
      </c>
      <c r="L536" s="491">
        <f>SUM(L531:L535)</f>
        <v/>
      </c>
      <c r="M536" s="1190" t="inlineStr">
        <is>
          <t xml:space="preserve">“Verdadero” indica que la cantidad por lote, coincide con el saldo que inicia al mes siguiente. "Falso" no coinicide. </t>
        </is>
      </c>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413">
        <f>JUNIO!K537</f>
        <v/>
      </c>
      <c r="E537" s="339">
        <f>H133</f>
        <v/>
      </c>
      <c r="F537" s="338" t="n">
        <v>1415</v>
      </c>
      <c r="G537" s="338" t="n">
        <v>42</v>
      </c>
      <c r="H537" s="1235">
        <f>+F537+G537</f>
        <v/>
      </c>
      <c r="I537" s="340">
        <f>+AM537</f>
        <v/>
      </c>
      <c r="J537" s="341">
        <f>+H537+I537</f>
        <v/>
      </c>
      <c r="K537" s="583">
        <f>+(D537+E537)-(J537)</f>
        <v/>
      </c>
      <c r="L537" s="253" t="n">
        <v>994</v>
      </c>
      <c r="M537" s="254" t="inlineStr">
        <is>
          <t>BB202506051</t>
        </is>
      </c>
      <c r="N537" s="254" t="inlineStr">
        <is>
          <t>Sinovac</t>
        </is>
      </c>
      <c r="O537" s="1183" t="inlineStr">
        <is>
          <t>12/06/2027</t>
        </is>
      </c>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v>0</v>
      </c>
      <c r="AA537" s="648" t="n">
        <v>0</v>
      </c>
      <c r="AB537" s="649">
        <f>+Z537+AA537</f>
        <v/>
      </c>
      <c r="AC537" s="648" t="n">
        <v>0</v>
      </c>
      <c r="AD537" s="648" t="n">
        <v>0</v>
      </c>
      <c r="AE537" s="648" t="n">
        <v>0</v>
      </c>
      <c r="AF537" s="648" t="n">
        <v>1</v>
      </c>
      <c r="AG537" s="648" t="n">
        <v>0</v>
      </c>
      <c r="AH537" s="648" t="n">
        <v>0</v>
      </c>
      <c r="AI537" s="648" t="n">
        <v>0</v>
      </c>
      <c r="AJ537" s="648" t="n">
        <v>0</v>
      </c>
      <c r="AK537" s="648" t="n">
        <v>0</v>
      </c>
      <c r="AL537" s="648" t="n">
        <v>0</v>
      </c>
      <c r="AM537" s="421">
        <f>SUM(AB537:AL541)</f>
        <v/>
      </c>
      <c r="AN537" s="726" t="n"/>
      <c r="AQ537" s="1238">
        <f>IFERROR(I537/J537*100,"0")</f>
        <v/>
      </c>
      <c r="AR537" s="343">
        <f>IFERROR(1/(1-(AQ537/100)),"0")</f>
        <v/>
      </c>
      <c r="AS537" s="1239" t="n">
        <v>0</v>
      </c>
      <c r="AT537" s="345" t="n">
        <v>1</v>
      </c>
      <c r="AU537" s="1240" t="n"/>
      <c r="AV537" s="1241" t="n"/>
      <c r="AW537" s="1242">
        <f>+H537-AV537</f>
        <v/>
      </c>
    </row>
    <row r="538" ht="17.25" customHeight="1">
      <c r="A538" s="973" t="n"/>
      <c r="B538" s="971" t="n"/>
      <c r="C538" s="972" t="n"/>
      <c r="D538" s="973" t="n"/>
      <c r="E538" s="973" t="n"/>
      <c r="F538" s="994" t="n"/>
      <c r="G538" s="994" t="n"/>
      <c r="H538" s="973" t="n"/>
      <c r="I538" s="973" t="n"/>
      <c r="J538" s="973" t="n"/>
      <c r="K538" s="973" t="n"/>
      <c r="L538" s="253" t="n">
        <v>370</v>
      </c>
      <c r="M538" s="254" t="inlineStr">
        <is>
          <t>BB202506052</t>
        </is>
      </c>
      <c r="N538" s="254" t="inlineStr">
        <is>
          <t>Sinovac</t>
        </is>
      </c>
      <c r="O538" s="1183" t="inlineStr">
        <is>
          <t>16/06/2027</t>
        </is>
      </c>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73" t="n"/>
      <c r="E539" s="973" t="n"/>
      <c r="F539" s="994" t="n"/>
      <c r="G539" s="994" t="n"/>
      <c r="H539" s="973" t="n"/>
      <c r="I539" s="973" t="n"/>
      <c r="J539" s="973" t="n"/>
      <c r="K539" s="973" t="n"/>
      <c r="L539" s="253" t="n">
        <v>44</v>
      </c>
      <c r="M539" s="254" t="inlineStr">
        <is>
          <t>Z002992</t>
        </is>
      </c>
      <c r="N539" s="254" t="inlineStr">
        <is>
          <t>MSD</t>
        </is>
      </c>
      <c r="O539" s="1183" t="inlineStr">
        <is>
          <t>15/01/2027</t>
        </is>
      </c>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73" t="n"/>
      <c r="E540" s="973" t="n"/>
      <c r="F540" s="994" t="n"/>
      <c r="G540" s="994" t="n"/>
      <c r="H540" s="973" t="n"/>
      <c r="I540" s="973" t="n"/>
      <c r="J540" s="973" t="n"/>
      <c r="K540" s="973" t="n"/>
      <c r="L540" s="253" t="n">
        <v>27</v>
      </c>
      <c r="M540" s="254" t="inlineStr">
        <is>
          <t>Z002927</t>
        </is>
      </c>
      <c r="N540" s="254" t="inlineStr">
        <is>
          <t>MSD</t>
        </is>
      </c>
      <c r="O540" s="1183" t="inlineStr">
        <is>
          <t>14/01/2027</t>
        </is>
      </c>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73" t="n"/>
      <c r="E541" s="973" t="n"/>
      <c r="F541" s="994" t="n"/>
      <c r="G541" s="994" t="n"/>
      <c r="H541" s="973" t="n"/>
      <c r="I541" s="973" t="n"/>
      <c r="J541" s="973" t="n"/>
      <c r="K541" s="975" t="n"/>
      <c r="L541" s="253" t="n">
        <v>14</v>
      </c>
      <c r="M541" s="254" t="inlineStr">
        <is>
          <t>Y018866</t>
        </is>
      </c>
      <c r="N541" s="254" t="inlineStr">
        <is>
          <t>MSD</t>
        </is>
      </c>
      <c r="O541" s="1183" t="inlineStr">
        <is>
          <t>13/11/2026</t>
        </is>
      </c>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75" t="n"/>
      <c r="E542" s="975" t="n"/>
      <c r="F542" s="998" t="n"/>
      <c r="G542" s="998" t="n"/>
      <c r="H542" s="975" t="n"/>
      <c r="I542" s="975" t="n"/>
      <c r="J542" s="975" t="n"/>
      <c r="K542" s="1189">
        <f>K537=L542</f>
        <v/>
      </c>
      <c r="L542" s="491">
        <f>SUM(L537:L541)</f>
        <v/>
      </c>
      <c r="M542" s="1190" t="inlineStr">
        <is>
          <t xml:space="preserve">“Verdadero” indica que la cantidad por lote, coincide con el saldo que inicia al mes siguiente. "Falso" no coinicide. </t>
        </is>
      </c>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413">
        <f>JUNIO!K543</f>
        <v/>
      </c>
      <c r="E543" s="339">
        <f>H139</f>
        <v/>
      </c>
      <c r="F543" s="338" t="n">
        <v>0</v>
      </c>
      <c r="G543" s="338" t="n">
        <v>0</v>
      </c>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v>0</v>
      </c>
      <c r="AA543" s="648" t="n">
        <v>0</v>
      </c>
      <c r="AB543" s="649">
        <f>+Z543+AA543</f>
        <v/>
      </c>
      <c r="AC543" s="648" t="n">
        <v>0</v>
      </c>
      <c r="AD543" s="648" t="n">
        <v>0</v>
      </c>
      <c r="AE543" s="648" t="n">
        <v>0</v>
      </c>
      <c r="AF543" s="648" t="n">
        <v>0</v>
      </c>
      <c r="AG543" s="648" t="n">
        <v>0</v>
      </c>
      <c r="AH543" s="648" t="n">
        <v>0</v>
      </c>
      <c r="AI543" s="648" t="n">
        <v>0</v>
      </c>
      <c r="AJ543" s="648" t="n">
        <v>0</v>
      </c>
      <c r="AK543" s="648" t="n">
        <v>0</v>
      </c>
      <c r="AL543" s="648" t="n">
        <v>0</v>
      </c>
      <c r="AM543" s="421">
        <f>SUM(AB543:AL547)</f>
        <v/>
      </c>
      <c r="AN543" s="726" t="n"/>
      <c r="AQ543" s="1238">
        <f>IFERROR(I543/J543*100,"0")</f>
        <v/>
      </c>
      <c r="AR543" s="343">
        <f>IFERROR(1/(1-(AQ543/100)),"0")</f>
        <v/>
      </c>
      <c r="AS543" s="1239" t="n">
        <v>0</v>
      </c>
      <c r="AT543" s="345" t="n">
        <v>1</v>
      </c>
      <c r="AU543" s="1240" t="n"/>
      <c r="AV543" s="1241" t="n"/>
      <c r="AW543" s="1242">
        <f>+H543-AV543</f>
        <v/>
      </c>
    </row>
    <row r="544" ht="17.25" customHeight="1">
      <c r="A544" s="973" t="n"/>
      <c r="B544" s="971" t="n"/>
      <c r="C544" s="972" t="n"/>
      <c r="D544" s="973"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73"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73"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73"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75" t="n"/>
      <c r="E548" s="975" t="n"/>
      <c r="F548" s="998" t="n"/>
      <c r="G548" s="998" t="n"/>
      <c r="H548" s="975" t="n"/>
      <c r="I548" s="975" t="n"/>
      <c r="J548" s="975" t="n"/>
      <c r="K548" s="1189">
        <f>K543=L548</f>
        <v/>
      </c>
      <c r="L548" s="491">
        <f>SUM(L543:L547)</f>
        <v/>
      </c>
      <c r="M548" s="1190" t="inlineStr">
        <is>
          <t xml:space="preserve">“Verdadero” indica que la cantidad por lote, coincide con el saldo que inicia al mes siguiente. "Falso" no coinicide. </t>
        </is>
      </c>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413">
        <f>JUNIO!K549</f>
        <v/>
      </c>
      <c r="E549" s="339">
        <f>H145</f>
        <v/>
      </c>
      <c r="F549" s="338" t="n">
        <v>1053</v>
      </c>
      <c r="G549" s="338" t="n">
        <v>22</v>
      </c>
      <c r="H549" s="1235">
        <f>+F549+G549</f>
        <v/>
      </c>
      <c r="I549" s="340">
        <f>+AM549</f>
        <v/>
      </c>
      <c r="J549" s="341">
        <f>+H549+I549</f>
        <v/>
      </c>
      <c r="K549" s="583">
        <f>+(D549+E549)-(J549)</f>
        <v/>
      </c>
      <c r="L549" s="253" t="n">
        <v>1440</v>
      </c>
      <c r="M549" s="254" t="inlineStr">
        <is>
          <t>2335L013D</t>
        </is>
      </c>
      <c r="N549" s="254" t="inlineStr">
        <is>
          <t>Serum</t>
        </is>
      </c>
      <c r="O549" s="1183" t="inlineStr">
        <is>
          <t>30/04/2028</t>
        </is>
      </c>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v>29</v>
      </c>
      <c r="AA549" s="648" t="n">
        <v>140</v>
      </c>
      <c r="AB549" s="649">
        <f>+Z549+AA549</f>
        <v/>
      </c>
      <c r="AC549" s="648" t="n">
        <v>0</v>
      </c>
      <c r="AD549" s="648" t="n">
        <v>0</v>
      </c>
      <c r="AE549" s="648" t="n">
        <v>0</v>
      </c>
      <c r="AF549" s="648" t="n">
        <v>0</v>
      </c>
      <c r="AG549" s="648" t="n">
        <v>0</v>
      </c>
      <c r="AH549" s="648" t="n">
        <v>0</v>
      </c>
      <c r="AI549" s="648" t="n">
        <v>0</v>
      </c>
      <c r="AJ549" s="648" t="n">
        <v>0</v>
      </c>
      <c r="AK549" s="648" t="n">
        <v>0</v>
      </c>
      <c r="AL549" s="648" t="n">
        <v>0</v>
      </c>
      <c r="AM549" s="421">
        <f>SUM(AB549:AL553)</f>
        <v/>
      </c>
      <c r="AN549" s="726" t="n"/>
      <c r="AQ549" s="1238">
        <f>IFERROR(I549/J549*100,"0")</f>
        <v/>
      </c>
      <c r="AR549" s="343">
        <f>IFERROR(1/(1-(AQ549/100)),"0")</f>
        <v/>
      </c>
      <c r="AS549" s="1239" t="n">
        <v>15</v>
      </c>
      <c r="AT549" s="345" t="n">
        <v>10</v>
      </c>
      <c r="AU549" s="1240" t="n"/>
      <c r="AV549" s="1241" t="n"/>
      <c r="AW549" s="1242">
        <f>+H549-AV549</f>
        <v/>
      </c>
    </row>
    <row r="550" ht="17.25" customHeight="1">
      <c r="A550" s="973" t="n"/>
      <c r="B550" s="971" t="n"/>
      <c r="C550" s="972" t="n"/>
      <c r="D550" s="973" t="n"/>
      <c r="E550" s="973" t="n"/>
      <c r="F550" s="994" t="n"/>
      <c r="G550" s="994" t="n"/>
      <c r="H550" s="973" t="n"/>
      <c r="I550" s="973" t="n"/>
      <c r="J550" s="973" t="n"/>
      <c r="K550" s="973" t="n"/>
      <c r="L550" s="253" t="n">
        <v>542</v>
      </c>
      <c r="M550" s="254" t="inlineStr">
        <is>
          <t>2334L016E</t>
        </is>
      </c>
      <c r="N550" s="254" t="inlineStr">
        <is>
          <t>Serum</t>
        </is>
      </c>
      <c r="O550" s="1183" t="inlineStr">
        <is>
          <t>31/03/2027</t>
        </is>
      </c>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73" t="n"/>
      <c r="E551" s="973" t="n"/>
      <c r="F551" s="994" t="n"/>
      <c r="G551" s="994" t="n"/>
      <c r="H551" s="973" t="n"/>
      <c r="I551" s="973" t="n"/>
      <c r="J551" s="973" t="n"/>
      <c r="K551" s="973" t="n"/>
      <c r="L551" s="253" t="n">
        <v>61</v>
      </c>
      <c r="M551" s="254" t="inlineStr">
        <is>
          <t>2334L010B</t>
        </is>
      </c>
      <c r="N551" s="254" t="inlineStr">
        <is>
          <t>Serum</t>
        </is>
      </c>
      <c r="O551" s="1183" t="inlineStr">
        <is>
          <t>31/01/2027</t>
        </is>
      </c>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73" t="n"/>
      <c r="E552" s="973" t="n"/>
      <c r="F552" s="994" t="n"/>
      <c r="G552" s="994" t="n"/>
      <c r="H552" s="973" t="n"/>
      <c r="I552" s="973" t="n"/>
      <c r="J552" s="973" t="n"/>
      <c r="K552" s="973" t="n"/>
      <c r="L552" s="253" t="n">
        <v>58</v>
      </c>
      <c r="M552" s="254" t="inlineStr">
        <is>
          <t>2333X043B</t>
        </is>
      </c>
      <c r="N552" s="254" t="inlineStr">
        <is>
          <t>Serum</t>
        </is>
      </c>
      <c r="O552" s="1183" t="inlineStr">
        <is>
          <t>31/10/2026</t>
        </is>
      </c>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73" t="n"/>
      <c r="E553" s="973" t="n"/>
      <c r="F553" s="994" t="n"/>
      <c r="G553" s="994" t="n"/>
      <c r="H553" s="973" t="n"/>
      <c r="I553" s="973" t="n"/>
      <c r="J553" s="973" t="n"/>
      <c r="K553" s="975" t="n"/>
      <c r="L553" s="253" t="n"/>
      <c r="M553" s="254" t="n"/>
      <c r="N553" s="254" t="n"/>
      <c r="O553" s="1183" t="n"/>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75" t="n"/>
      <c r="E554" s="975" t="n"/>
      <c r="F554" s="998" t="n"/>
      <c r="G554" s="998" t="n"/>
      <c r="H554" s="975" t="n"/>
      <c r="I554" s="975" t="n"/>
      <c r="J554" s="975" t="n"/>
      <c r="K554" s="1189">
        <f>K549=L554</f>
        <v/>
      </c>
      <c r="L554" s="491">
        <f>SUM(L549:L553)</f>
        <v/>
      </c>
      <c r="M554" s="1190" t="inlineStr">
        <is>
          <t xml:space="preserve">“Verdadero” indica que la cantidad por lote, coincide con el saldo que inicia al mes siguiente. "Falso" no coinicide. </t>
        </is>
      </c>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413">
        <f>JUNIO!K555</f>
        <v/>
      </c>
      <c r="E555" s="339">
        <f>H151</f>
        <v/>
      </c>
      <c r="F555" s="338" t="n">
        <v>657</v>
      </c>
      <c r="G555" s="338" t="n">
        <v>32</v>
      </c>
      <c r="H555" s="1235">
        <f>+F555+G555</f>
        <v/>
      </c>
      <c r="I555" s="340">
        <f>+AM555</f>
        <v/>
      </c>
      <c r="J555" s="341">
        <f>+H555+I555</f>
        <v/>
      </c>
      <c r="K555" s="583">
        <f>+(D555+E555)-(J555)</f>
        <v/>
      </c>
      <c r="L555" s="253" t="n">
        <v>584</v>
      </c>
      <c r="M555" s="254" t="inlineStr">
        <is>
          <t>3CA50C1</t>
        </is>
      </c>
      <c r="N555" s="254" t="inlineStr">
        <is>
          <t>Sanofi Pasteur</t>
        </is>
      </c>
      <c r="O555" s="1183" t="inlineStr">
        <is>
          <t>30/09/2027</t>
        </is>
      </c>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v>0</v>
      </c>
      <c r="AA555" s="648" t="n">
        <v>0</v>
      </c>
      <c r="AB555" s="649">
        <f>+Z555+AA555</f>
        <v/>
      </c>
      <c r="AC555" s="648" t="n">
        <v>0</v>
      </c>
      <c r="AD555" s="648" t="n">
        <v>0</v>
      </c>
      <c r="AE555" s="648" t="n">
        <v>0</v>
      </c>
      <c r="AF555" s="648" t="n">
        <v>0</v>
      </c>
      <c r="AG555" s="648" t="n">
        <v>0</v>
      </c>
      <c r="AH555" s="648" t="n">
        <v>0</v>
      </c>
      <c r="AI555" s="648" t="n">
        <v>0</v>
      </c>
      <c r="AJ555" s="648" t="n">
        <v>0</v>
      </c>
      <c r="AK555" s="648" t="n">
        <v>0</v>
      </c>
      <c r="AL555" s="648" t="n">
        <v>0</v>
      </c>
      <c r="AM555" s="421">
        <f>SUM(AB555:AL559)</f>
        <v/>
      </c>
      <c r="AN555" s="726" t="n"/>
      <c r="AQ555" s="1238">
        <f>IFERROR(I555/J555*100,"0")</f>
        <v/>
      </c>
      <c r="AR555" s="343">
        <f>IFERROR(1/(1-(AQ555/100)),"0")</f>
        <v/>
      </c>
      <c r="AS555" s="1239" t="n">
        <v>0</v>
      </c>
      <c r="AT555" s="345" t="n">
        <v>1</v>
      </c>
      <c r="AU555" s="1240" t="n"/>
      <c r="AV555" s="1241" t="n"/>
      <c r="AW555" s="1242">
        <f>+H555-AV555</f>
        <v/>
      </c>
    </row>
    <row r="556" ht="17.25" customHeight="1">
      <c r="A556" s="973" t="n"/>
      <c r="B556" s="971" t="n"/>
      <c r="C556" s="972" t="n"/>
      <c r="D556" s="973" t="n"/>
      <c r="E556" s="973" t="n"/>
      <c r="F556" s="994" t="n"/>
      <c r="G556" s="994" t="n"/>
      <c r="H556" s="973" t="n"/>
      <c r="I556" s="973" t="n"/>
      <c r="J556" s="973" t="n"/>
      <c r="K556" s="973" t="n"/>
      <c r="L556" s="253" t="n">
        <v>317</v>
      </c>
      <c r="M556" s="254" t="inlineStr">
        <is>
          <t>5DA79D1</t>
        </is>
      </c>
      <c r="N556" s="254" t="inlineStr">
        <is>
          <t>Sanofi Pasteur</t>
        </is>
      </c>
      <c r="O556" s="1183" t="inlineStr">
        <is>
          <t>30/09/2028</t>
        </is>
      </c>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73" t="n"/>
      <c r="E557" s="973" t="n"/>
      <c r="F557" s="994" t="n"/>
      <c r="G557" s="994" t="n"/>
      <c r="H557" s="973" t="n"/>
      <c r="I557" s="973" t="n"/>
      <c r="J557" s="973" t="n"/>
      <c r="K557" s="973" t="n"/>
      <c r="L557" s="253" t="n">
        <v>67</v>
      </c>
      <c r="M557" s="254" t="inlineStr">
        <is>
          <t>AC37B466AA</t>
        </is>
      </c>
      <c r="N557" s="254" t="inlineStr">
        <is>
          <t>Glaxo SmithKline</t>
        </is>
      </c>
      <c r="O557" s="1183" t="inlineStr">
        <is>
          <t>31/03/2027</t>
        </is>
      </c>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73" t="n"/>
      <c r="E558" s="973" t="n"/>
      <c r="F558" s="994" t="n"/>
      <c r="G558" s="994" t="n"/>
      <c r="H558" s="973" t="n"/>
      <c r="I558" s="973" t="n"/>
      <c r="J558" s="973" t="n"/>
      <c r="K558" s="973" t="n"/>
      <c r="L558" s="253" t="n"/>
      <c r="M558" s="254" t="n"/>
      <c r="N558" s="254" t="inlineStr"/>
      <c r="O558" s="1183" t="inlineStr"/>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73"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75" t="n"/>
      <c r="E560" s="975" t="n"/>
      <c r="F560" s="998" t="n"/>
      <c r="G560" s="998" t="n"/>
      <c r="H560" s="975" t="n"/>
      <c r="I560" s="975" t="n"/>
      <c r="J560" s="975" t="n"/>
      <c r="K560" s="1189">
        <f>K555=L560</f>
        <v/>
      </c>
      <c r="L560" s="491">
        <f>SUM(L555:L559)</f>
        <v/>
      </c>
      <c r="M560" s="1190" t="inlineStr">
        <is>
          <t xml:space="preserve">“Verdadero” indica que la cantidad por lote, coincide con el saldo que inicia al mes siguiente. "Falso" no coinicide. </t>
        </is>
      </c>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66">
        <f>JUNIO!K561</f>
        <v/>
      </c>
      <c r="E561" s="339">
        <f>H157</f>
        <v/>
      </c>
      <c r="F561" s="338" t="n">
        <v>2857</v>
      </c>
      <c r="G561" s="338" t="n">
        <v>35</v>
      </c>
      <c r="H561" s="1235">
        <f>+F561+G561</f>
        <v/>
      </c>
      <c r="I561" s="340">
        <f>+AM561</f>
        <v/>
      </c>
      <c r="J561" s="341">
        <f>+H561+I561</f>
        <v/>
      </c>
      <c r="K561" s="583">
        <f>+(D561-D564+D565)+E561-J561</f>
        <v/>
      </c>
      <c r="L561" s="253" t="n"/>
      <c r="M561" s="254" t="n"/>
      <c r="N561" s="254" t="n"/>
      <c r="O561" s="1183" t="n"/>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v>91</v>
      </c>
      <c r="AA561" s="648" t="n">
        <v>101</v>
      </c>
      <c r="AB561" s="649">
        <f>+Z561+AA561</f>
        <v/>
      </c>
      <c r="AC561" s="648" t="n">
        <v>0</v>
      </c>
      <c r="AD561" s="648" t="n">
        <v>0</v>
      </c>
      <c r="AE561" s="648" t="n">
        <v>20</v>
      </c>
      <c r="AF561" s="648" t="n">
        <v>0</v>
      </c>
      <c r="AG561" s="648" t="n">
        <v>0</v>
      </c>
      <c r="AH561" s="648" t="n">
        <v>0</v>
      </c>
      <c r="AI561" s="648" t="n">
        <v>0</v>
      </c>
      <c r="AJ561" s="648" t="n">
        <v>0</v>
      </c>
      <c r="AK561" s="648" t="n">
        <v>0</v>
      </c>
      <c r="AL561" s="648" t="n">
        <v>0</v>
      </c>
      <c r="AM561" s="421">
        <f>SUM(AB561:AL565)</f>
        <v/>
      </c>
      <c r="AN561" s="726" t="n"/>
      <c r="AQ561" s="1238">
        <f>IFERROR(I561/J561*100,"0")</f>
        <v/>
      </c>
      <c r="AR561" s="343">
        <f>IFERROR(1/(1-(AQ561/100)),"0")</f>
        <v/>
      </c>
      <c r="AS561" s="1239" t="n">
        <v>15</v>
      </c>
      <c r="AT561" s="345" t="n">
        <v>20</v>
      </c>
      <c r="AU561" s="1240" t="n"/>
      <c r="AV561" s="1241" t="n"/>
      <c r="AW561" s="1242">
        <f>+H561-AV561</f>
        <v/>
      </c>
    </row>
    <row r="562" ht="19.5" customHeight="1">
      <c r="A562" s="973" t="n"/>
      <c r="B562" s="971" t="n"/>
      <c r="C562" s="972" t="n"/>
      <c r="D562" s="973" t="n"/>
      <c r="E562" s="973" t="n"/>
      <c r="F562" s="994" t="n"/>
      <c r="G562" s="994" t="n"/>
      <c r="H562" s="973" t="n"/>
      <c r="I562" s="973" t="n"/>
      <c r="J562" s="973" t="n"/>
      <c r="K562" s="973" t="n"/>
      <c r="L562" s="253" t="n"/>
      <c r="M562" s="254" t="n"/>
      <c r="N562" s="254" t="inlineStr"/>
      <c r="O562" s="1183" t="inlineStr"/>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75" t="n"/>
      <c r="E563" s="973" t="n"/>
      <c r="F563" s="994" t="n"/>
      <c r="G563" s="994" t="n"/>
      <c r="H563" s="973" t="n"/>
      <c r="I563" s="973" t="n"/>
      <c r="J563" s="973" t="n"/>
      <c r="K563" s="973" t="n"/>
      <c r="L563" s="253" t="n">
        <v>370</v>
      </c>
      <c r="M563" s="254" t="inlineStr">
        <is>
          <t>2600761</t>
        </is>
      </c>
      <c r="N563" s="254" t="inlineStr"/>
      <c r="O563" s="1183" t="inlineStr"/>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v>185</v>
      </c>
      <c r="M564" s="254" t="inlineStr">
        <is>
          <t>V50526002</t>
        </is>
      </c>
      <c r="N564" s="254" t="inlineStr"/>
      <c r="O564" s="1183" t="inlineStr"/>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inlineStr">
        <is>
          <t xml:space="preserve">“Verdadero” indica que la cantidad por lote, coincide con el saldo que inicia al mes siguiente. "Falso" no coinicide. </t>
        </is>
      </c>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66">
        <f>JUNIO!K567</f>
        <v/>
      </c>
      <c r="E567" s="1244">
        <f>H163</f>
        <v/>
      </c>
      <c r="F567" s="338" t="n">
        <v>8905</v>
      </c>
      <c r="G567" s="338" t="n">
        <v>115</v>
      </c>
      <c r="H567" s="1235">
        <f>+F567+G567</f>
        <v/>
      </c>
      <c r="I567" s="340">
        <f>+AM567</f>
        <v/>
      </c>
      <c r="J567" s="341">
        <f>+H567+I567</f>
        <v/>
      </c>
      <c r="K567" s="583">
        <f>(D567-D570+D571+E567)-(J567)</f>
        <v/>
      </c>
      <c r="L567" s="253" t="n">
        <v>13870</v>
      </c>
      <c r="M567" s="254" t="inlineStr">
        <is>
          <t>V50526002</t>
        </is>
      </c>
      <c r="N567" s="254" t="inlineStr">
        <is>
          <t>GC BIOPHARMA CORP</t>
        </is>
      </c>
      <c r="O567" s="1183" t="inlineStr">
        <is>
          <t>29/01/2027</t>
        </is>
      </c>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v>400</v>
      </c>
      <c r="AA567" s="648" t="n">
        <v>300</v>
      </c>
      <c r="AB567" s="649">
        <f>+Z567+AA567</f>
        <v/>
      </c>
      <c r="AC567" s="648" t="n">
        <v>0</v>
      </c>
      <c r="AD567" s="648" t="n">
        <v>0</v>
      </c>
      <c r="AE567" s="648" t="n">
        <v>0</v>
      </c>
      <c r="AF567" s="648" t="n">
        <v>0</v>
      </c>
      <c r="AG567" s="648" t="n">
        <v>0</v>
      </c>
      <c r="AH567" s="648" t="n">
        <v>0</v>
      </c>
      <c r="AI567" s="648" t="n">
        <v>0</v>
      </c>
      <c r="AJ567" s="648" t="n">
        <v>0</v>
      </c>
      <c r="AK567" s="648" t="n">
        <v>0</v>
      </c>
      <c r="AL567" s="648" t="n">
        <v>0</v>
      </c>
      <c r="AM567" s="421">
        <f>SUM(AB567:AL571)</f>
        <v/>
      </c>
      <c r="AN567" s="726" t="n"/>
      <c r="AQ567" s="1238">
        <f>IFERROR(I567/J567*100,"0")</f>
        <v/>
      </c>
      <c r="AR567" s="343">
        <f>IFERROR(1/(1-(AQ567/100)),"0")</f>
        <v/>
      </c>
      <c r="AS567" s="1239" t="n">
        <v>10</v>
      </c>
      <c r="AT567" s="345" t="n">
        <v>10</v>
      </c>
      <c r="AU567" s="1240" t="n"/>
      <c r="AV567" s="1241" t="n"/>
      <c r="AW567" s="1242">
        <f>+H567-AV567</f>
        <v/>
      </c>
    </row>
    <row r="568" ht="19.5" customHeight="1">
      <c r="A568" s="973" t="n"/>
      <c r="B568" s="971" t="n"/>
      <c r="C568" s="972" t="n"/>
      <c r="D568" s="973" t="n"/>
      <c r="E568" s="973" t="n"/>
      <c r="F568" s="994" t="n"/>
      <c r="G568" s="994" t="n"/>
      <c r="H568" s="973" t="n"/>
      <c r="I568" s="973" t="n"/>
      <c r="J568" s="973" t="n"/>
      <c r="K568" s="973" t="n"/>
      <c r="L568" s="253" t="n">
        <v>9504</v>
      </c>
      <c r="M568" s="254" t="inlineStr">
        <is>
          <t>2600761-00</t>
        </is>
      </c>
      <c r="N568" s="254" t="inlineStr">
        <is>
          <t>BUTANTAN</t>
        </is>
      </c>
      <c r="O568" s="1183" t="inlineStr">
        <is>
          <t>31/01/2027</t>
        </is>
      </c>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75" t="n"/>
      <c r="E569" s="973" t="n"/>
      <c r="F569" s="994" t="n"/>
      <c r="G569" s="994" t="n"/>
      <c r="H569" s="973" t="n"/>
      <c r="I569" s="973" t="n"/>
      <c r="J569" s="973" t="n"/>
      <c r="K569" s="973" t="n"/>
      <c r="L569" s="253" t="n"/>
      <c r="M569" s="254" t="n"/>
      <c r="N569" s="254" t="inlineStr"/>
      <c r="O569" s="1183" t="inlineStr"/>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v>121</v>
      </c>
      <c r="M570" s="254" t="inlineStr">
        <is>
          <t>V50526006</t>
        </is>
      </c>
      <c r="N570" s="254" t="inlineStr">
        <is>
          <t>GC BIOPHARMA CORP</t>
        </is>
      </c>
      <c r="O570" s="1183" t="inlineStr">
        <is>
          <t>08/02/2027</t>
        </is>
      </c>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inlineStr">
        <is>
          <t xml:space="preserve">“Verdadero” indica que la cantidad por lote, coincide con el saldo que inicia al mes siguiente. "Falso" no coinicide. </t>
        </is>
      </c>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413">
        <f>JUNIO!K573</f>
        <v/>
      </c>
      <c r="E573" s="339">
        <f>H169</f>
        <v/>
      </c>
      <c r="F573" s="338" t="n">
        <v>646</v>
      </c>
      <c r="G573" s="338" t="n">
        <v>25</v>
      </c>
      <c r="H573" s="1235">
        <f>+F573+G573</f>
        <v/>
      </c>
      <c r="I573" s="340">
        <f>+AM573</f>
        <v/>
      </c>
      <c r="J573" s="341">
        <f>+H573+I573</f>
        <v/>
      </c>
      <c r="K573" s="583">
        <f>+(D573+E573)-(J573)</f>
        <v/>
      </c>
      <c r="L573" s="253" t="n">
        <v>278</v>
      </c>
      <c r="M573" s="254" t="inlineStr">
        <is>
          <t>MH8217</t>
        </is>
      </c>
      <c r="N573" s="254" t="inlineStr">
        <is>
          <t>PFIZER</t>
        </is>
      </c>
      <c r="O573" s="1183" t="inlineStr">
        <is>
          <t>30/06/2027</t>
        </is>
      </c>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v>0</v>
      </c>
      <c r="AA573" s="648" t="n">
        <v>0</v>
      </c>
      <c r="AB573" s="649">
        <f>+Z573+AA573</f>
        <v/>
      </c>
      <c r="AC573" s="648" t="n">
        <v>0</v>
      </c>
      <c r="AD573" s="648" t="n">
        <v>0</v>
      </c>
      <c r="AE573" s="648" t="n">
        <v>0</v>
      </c>
      <c r="AF573" s="648" t="n">
        <v>0</v>
      </c>
      <c r="AG573" s="648" t="n">
        <v>0</v>
      </c>
      <c r="AH573" s="648" t="n">
        <v>0</v>
      </c>
      <c r="AI573" s="648" t="n">
        <v>0</v>
      </c>
      <c r="AJ573" s="648" t="n">
        <v>0</v>
      </c>
      <c r="AK573" s="648" t="n">
        <v>0</v>
      </c>
      <c r="AL573" s="648" t="n">
        <v>0</v>
      </c>
      <c r="AM573" s="421">
        <f>SUM(AB573:AL577)</f>
        <v/>
      </c>
      <c r="AN573" s="726" t="n"/>
      <c r="AQ573" s="1238">
        <f>IFERROR(I573/J573*100,"0")</f>
        <v/>
      </c>
      <c r="AR573" s="343">
        <f>IFERROR(1/(1-(AQ573/100)),"0")</f>
        <v/>
      </c>
      <c r="AS573" s="1239" t="n">
        <v>0</v>
      </c>
      <c r="AT573" s="345" t="n">
        <v>1</v>
      </c>
      <c r="AU573" s="1240" t="n"/>
      <c r="AV573" s="1241" t="n"/>
      <c r="AW573" s="1242">
        <f>+H573-AV573</f>
        <v/>
      </c>
    </row>
    <row r="574" ht="17.25" customHeight="1">
      <c r="A574" s="973" t="n"/>
      <c r="B574" s="971" t="n"/>
      <c r="C574" s="972" t="n"/>
      <c r="D574" s="973" t="n"/>
      <c r="E574" s="973" t="n"/>
      <c r="F574" s="994" t="n"/>
      <c r="G574" s="994" t="n"/>
      <c r="H574" s="973" t="n"/>
      <c r="I574" s="973" t="n"/>
      <c r="J574" s="973" t="n"/>
      <c r="K574" s="973" t="n"/>
      <c r="L574" s="253" t="n">
        <v>250</v>
      </c>
      <c r="M574" s="254" t="inlineStr">
        <is>
          <t>NJ0375</t>
        </is>
      </c>
      <c r="N574" s="254" t="inlineStr">
        <is>
          <t>PFIZER</t>
        </is>
      </c>
      <c r="O574" s="1183" t="inlineStr">
        <is>
          <t>31/01/2029</t>
        </is>
      </c>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73" t="n"/>
      <c r="E575" s="973" t="n"/>
      <c r="F575" s="994" t="n"/>
      <c r="G575" s="994" t="n"/>
      <c r="H575" s="973" t="n"/>
      <c r="I575" s="973" t="n"/>
      <c r="J575" s="973" t="n"/>
      <c r="K575" s="973" t="n"/>
      <c r="L575" s="253" t="n">
        <v>68</v>
      </c>
      <c r="M575" s="254" t="inlineStr">
        <is>
          <t>NC6343</t>
        </is>
      </c>
      <c r="N575" s="254" t="inlineStr">
        <is>
          <t>PFIZER</t>
        </is>
      </c>
      <c r="O575" s="1183" t="inlineStr">
        <is>
          <t>31/10/2027</t>
        </is>
      </c>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73" t="n"/>
      <c r="E576" s="973" t="n"/>
      <c r="F576" s="994" t="n"/>
      <c r="G576" s="994" t="n"/>
      <c r="H576" s="973" t="n"/>
      <c r="I576" s="973" t="n"/>
      <c r="J576" s="973" t="n"/>
      <c r="K576" s="973" t="n"/>
      <c r="L576" s="253" t="n"/>
      <c r="M576" s="254" t="n"/>
      <c r="N576" s="254" t="inlineStr"/>
      <c r="O576" s="1183" t="inlineStr"/>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73" t="n"/>
      <c r="E577" s="973" t="n"/>
      <c r="F577" s="994" t="n"/>
      <c r="G577" s="994" t="n"/>
      <c r="H577" s="973" t="n"/>
      <c r="I577" s="973" t="n"/>
      <c r="J577" s="973" t="n"/>
      <c r="K577" s="975" t="n"/>
      <c r="L577" s="253" t="n"/>
      <c r="M577" s="254" t="n"/>
      <c r="N577" s="254" t="inlineStr"/>
      <c r="O577" s="1183" t="inlineStr"/>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75" t="n"/>
      <c r="E578" s="975" t="n"/>
      <c r="F578" s="998" t="n"/>
      <c r="G578" s="998" t="n"/>
      <c r="H578" s="975" t="n"/>
      <c r="I578" s="975" t="n"/>
      <c r="J578" s="975" t="n"/>
      <c r="K578" s="1189">
        <f>K573=L578</f>
        <v/>
      </c>
      <c r="L578" s="491">
        <f>SUM(L573:L577)</f>
        <v/>
      </c>
      <c r="M578" s="1190" t="inlineStr">
        <is>
          <t xml:space="preserve">“Verdadero” indica que la cantidad por lote, coincide con el saldo que inicia al mes siguiente. "Falso" no coinicide. </t>
        </is>
      </c>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413">
        <f>JUNIO!K579</f>
        <v/>
      </c>
      <c r="E579" s="339">
        <f>H175</f>
        <v/>
      </c>
      <c r="F579" s="338" t="n">
        <v>990</v>
      </c>
      <c r="G579" s="338" t="n">
        <v>33</v>
      </c>
      <c r="H579" s="1235">
        <f>+F579+G579</f>
        <v/>
      </c>
      <c r="I579" s="340">
        <f>+AM579</f>
        <v/>
      </c>
      <c r="J579" s="341">
        <f>+H579+I579</f>
        <v/>
      </c>
      <c r="K579" s="583">
        <f>+(D579+E579)-(J579)</f>
        <v/>
      </c>
      <c r="L579" s="253" t="n">
        <v>1356</v>
      </c>
      <c r="M579" s="254" t="inlineStr">
        <is>
          <t>Z004516</t>
        </is>
      </c>
      <c r="N579" s="254" t="inlineStr">
        <is>
          <t>MSD</t>
        </is>
      </c>
      <c r="O579" s="1183" t="inlineStr">
        <is>
          <t>22/09/2027</t>
        </is>
      </c>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v>0</v>
      </c>
      <c r="AA579" s="648" t="n">
        <v>0</v>
      </c>
      <c r="AB579" s="649">
        <f>+Z579+AA579</f>
        <v/>
      </c>
      <c r="AC579" s="648" t="n">
        <v>0</v>
      </c>
      <c r="AD579" s="648" t="n">
        <v>0</v>
      </c>
      <c r="AE579" s="648" t="n">
        <v>0</v>
      </c>
      <c r="AF579" s="648" t="n">
        <v>0</v>
      </c>
      <c r="AG579" s="648" t="n">
        <v>0</v>
      </c>
      <c r="AH579" s="648" t="n">
        <v>0</v>
      </c>
      <c r="AI579" s="648" t="n">
        <v>0</v>
      </c>
      <c r="AJ579" s="648" t="n">
        <v>0</v>
      </c>
      <c r="AK579" s="648" t="n">
        <v>1</v>
      </c>
      <c r="AL579" s="648" t="n">
        <v>0</v>
      </c>
      <c r="AM579" s="421">
        <f>SUM(AB579:AL583)</f>
        <v/>
      </c>
      <c r="AN579" s="726" t="n"/>
      <c r="AQ579" s="1238">
        <f>IFERROR(I579/J579*100,"0")</f>
        <v/>
      </c>
      <c r="AR579" s="343">
        <f>IFERROR(1/(1-(AQ579/100)),"0")</f>
        <v/>
      </c>
      <c r="AS579" s="1239" t="n">
        <v>0</v>
      </c>
      <c r="AT579" s="345" t="n">
        <v>1</v>
      </c>
      <c r="AU579" s="1240" t="n"/>
      <c r="AV579" s="1241" t="n"/>
      <c r="AW579" s="1242">
        <f>+H579-AV579</f>
        <v/>
      </c>
    </row>
    <row r="580" ht="17.25" customHeight="1">
      <c r="A580" s="973" t="n"/>
      <c r="B580" s="971" t="n"/>
      <c r="C580" s="972" t="n"/>
      <c r="D580" s="973" t="n"/>
      <c r="E580" s="973" t="n"/>
      <c r="F580" s="994" t="n"/>
      <c r="G580" s="994" t="n"/>
      <c r="H580" s="973" t="n"/>
      <c r="I580" s="973" t="n"/>
      <c r="J580" s="973" t="n"/>
      <c r="K580" s="973" t="n"/>
      <c r="L580" s="253" t="n">
        <v>1058</v>
      </c>
      <c r="M580" s="254" t="inlineStr">
        <is>
          <t>Y014828</t>
        </is>
      </c>
      <c r="N580" s="254" t="inlineStr">
        <is>
          <t>MERCK SHARP DOHME</t>
        </is>
      </c>
      <c r="O580" s="1183" t="inlineStr">
        <is>
          <t>31/05/2027</t>
        </is>
      </c>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73" t="n"/>
      <c r="E581" s="973" t="n"/>
      <c r="F581" s="994" t="n"/>
      <c r="G581" s="994" t="n"/>
      <c r="H581" s="973" t="n"/>
      <c r="I581" s="973" t="n"/>
      <c r="J581" s="973" t="n"/>
      <c r="K581" s="973" t="n"/>
      <c r="L581" s="253" t="n">
        <v>996</v>
      </c>
      <c r="M581" s="254" t="inlineStr">
        <is>
          <t>Y017576</t>
        </is>
      </c>
      <c r="N581" s="254" t="inlineStr">
        <is>
          <t>MERCK SHARP DOHME</t>
        </is>
      </c>
      <c r="O581" s="1183" t="inlineStr">
        <is>
          <t>05/06/2027</t>
        </is>
      </c>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73" t="n"/>
      <c r="E582" s="973" t="n"/>
      <c r="F582" s="994" t="n"/>
      <c r="G582" s="994" t="n"/>
      <c r="H582" s="973" t="n"/>
      <c r="I582" s="973" t="n"/>
      <c r="J582" s="973" t="n"/>
      <c r="K582" s="973" t="n"/>
      <c r="L582" s="253" t="n">
        <v>129</v>
      </c>
      <c r="M582" s="254" t="inlineStr">
        <is>
          <t>Y004352</t>
        </is>
      </c>
      <c r="N582" s="254" t="inlineStr">
        <is>
          <t>MSD</t>
        </is>
      </c>
      <c r="O582" s="1183" t="inlineStr">
        <is>
          <t>20/11/2026</t>
        </is>
      </c>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73"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75" t="n"/>
      <c r="E584" s="975" t="n"/>
      <c r="F584" s="998" t="n"/>
      <c r="G584" s="998" t="n"/>
      <c r="H584" s="975" t="n"/>
      <c r="I584" s="975" t="n"/>
      <c r="J584" s="975" t="n"/>
      <c r="K584" s="1189">
        <f>K579=L584</f>
        <v/>
      </c>
      <c r="L584" s="491">
        <f>SUM(L579:L583)</f>
        <v/>
      </c>
      <c r="M584" s="1190" t="inlineStr">
        <is>
          <t xml:space="preserve">“Verdadero” indica que la cantidad por lote, coincide con el saldo que inicia al mes siguiente. "Falso" no coinicide. </t>
        </is>
      </c>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413">
        <f>JUNIO!K585</f>
        <v/>
      </c>
      <c r="E585" s="339">
        <f>H181</f>
        <v/>
      </c>
      <c r="F585" s="338" t="n">
        <v>0</v>
      </c>
      <c r="G585" s="338" t="n">
        <v>0</v>
      </c>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v>0</v>
      </c>
      <c r="AA585" s="648" t="n">
        <v>0</v>
      </c>
      <c r="AB585" s="649">
        <f>+Z585+AA585</f>
        <v/>
      </c>
      <c r="AC585" s="648" t="n">
        <v>0</v>
      </c>
      <c r="AD585" s="648" t="n">
        <v>0</v>
      </c>
      <c r="AE585" s="648" t="n">
        <v>0</v>
      </c>
      <c r="AF585" s="648" t="n">
        <v>0</v>
      </c>
      <c r="AG585" s="648" t="n">
        <v>0</v>
      </c>
      <c r="AH585" s="648" t="n">
        <v>0</v>
      </c>
      <c r="AI585" s="648" t="n">
        <v>0</v>
      </c>
      <c r="AJ585" s="648" t="n">
        <v>0</v>
      </c>
      <c r="AK585" s="648" t="n">
        <v>0</v>
      </c>
      <c r="AL585" s="648" t="n">
        <v>0</v>
      </c>
      <c r="AM585" s="421">
        <f>SUM(AB585:AL589)</f>
        <v/>
      </c>
      <c r="AN585" s="726" t="n"/>
      <c r="AQ585" s="1238">
        <f>IFERROR(I585/J585*100,"0")</f>
        <v/>
      </c>
      <c r="AR585" s="343">
        <f>IFERROR(1/(1-(AQ585/100)),"0")</f>
        <v/>
      </c>
      <c r="AS585" s="1239" t="n">
        <v>0</v>
      </c>
      <c r="AT585" s="345" t="n">
        <v>1</v>
      </c>
      <c r="AU585" s="1240" t="n"/>
      <c r="AV585" s="1241" t="n"/>
      <c r="AW585" s="1242">
        <f>+H585-AV585</f>
        <v/>
      </c>
    </row>
    <row r="586" ht="17.25" customHeight="1">
      <c r="A586" s="973" t="n"/>
      <c r="B586" s="971" t="n"/>
      <c r="C586" s="972" t="n"/>
      <c r="D586" s="973"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73"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73"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73"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75" t="n"/>
      <c r="E590" s="975" t="n"/>
      <c r="F590" s="998" t="n"/>
      <c r="G590" s="998" t="n"/>
      <c r="H590" s="975" t="n"/>
      <c r="I590" s="975" t="n"/>
      <c r="J590" s="975" t="n"/>
      <c r="K590" s="1189">
        <f>K585=L590</f>
        <v/>
      </c>
      <c r="L590" s="491">
        <f>SUM(L585:L589)</f>
        <v/>
      </c>
      <c r="M590" s="1190" t="inlineStr">
        <is>
          <t xml:space="preserve">“Verdadero” indica que la cantidad por lote, coincide con el saldo que inicia al mes siguiente. "Falso" no coinicide. </t>
        </is>
      </c>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413">
        <f>JUNIO!K591</f>
        <v/>
      </c>
      <c r="E591" s="339">
        <f>H187</f>
        <v/>
      </c>
      <c r="F591" s="338" t="n">
        <v>442</v>
      </c>
      <c r="G591" s="338" t="n">
        <v>11</v>
      </c>
      <c r="H591" s="1235">
        <f>+F591+G591</f>
        <v/>
      </c>
      <c r="I591" s="340">
        <f>+AM591</f>
        <v/>
      </c>
      <c r="J591" s="341">
        <f>+H591+I591</f>
        <v/>
      </c>
      <c r="K591" s="583">
        <f>+(D591+E591)-(J591)</f>
        <v/>
      </c>
      <c r="L591" s="253" t="n">
        <v>385</v>
      </c>
      <c r="M591" s="254" t="inlineStr">
        <is>
          <t>1485T007</t>
        </is>
      </c>
      <c r="N591" s="254" t="inlineStr">
        <is>
          <t>Serum</t>
        </is>
      </c>
      <c r="O591" s="1183" t="inlineStr">
        <is>
          <t>31/01/2028</t>
        </is>
      </c>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v>0</v>
      </c>
      <c r="AA591" s="648" t="n">
        <v>0</v>
      </c>
      <c r="AB591" s="649">
        <f>+Z591+AA591</f>
        <v/>
      </c>
      <c r="AC591" s="648" t="n">
        <v>0</v>
      </c>
      <c r="AD591" s="648" t="n">
        <v>0</v>
      </c>
      <c r="AE591" s="648" t="n">
        <v>0</v>
      </c>
      <c r="AF591" s="648" t="n">
        <v>0</v>
      </c>
      <c r="AG591" s="648" t="n">
        <v>0</v>
      </c>
      <c r="AH591" s="648" t="n">
        <v>0</v>
      </c>
      <c r="AI591" s="648" t="n">
        <v>0</v>
      </c>
      <c r="AJ591" s="648" t="n">
        <v>0</v>
      </c>
      <c r="AK591" s="648" t="n">
        <v>0</v>
      </c>
      <c r="AL591" s="648" t="n">
        <v>0</v>
      </c>
      <c r="AM591" s="421">
        <f>SUM(AB591:AL595)</f>
        <v/>
      </c>
      <c r="AN591" s="726" t="n"/>
      <c r="AQ591" s="1238">
        <f>IFERROR(I591/J591*100,"0")</f>
        <v/>
      </c>
      <c r="AR591" s="343">
        <f>IFERROR(1/(1-(AQ591/100)),"0")</f>
        <v/>
      </c>
      <c r="AS591" s="1239" t="n">
        <v>0</v>
      </c>
      <c r="AT591" s="345" t="n">
        <v>1</v>
      </c>
      <c r="AU591" s="1240" t="n"/>
      <c r="AV591" s="1241" t="n"/>
      <c r="AW591" s="1242">
        <f>+H591-AV591</f>
        <v/>
      </c>
    </row>
    <row r="592" ht="17.25" customHeight="1">
      <c r="A592" s="973" t="n"/>
      <c r="B592" s="971" t="n"/>
      <c r="C592" s="972" t="n"/>
      <c r="D592" s="973" t="n"/>
      <c r="E592" s="973" t="n"/>
      <c r="F592" s="994" t="n"/>
      <c r="G592" s="994" t="n"/>
      <c r="H592" s="973" t="n"/>
      <c r="I592" s="973" t="n"/>
      <c r="J592" s="973" t="n"/>
      <c r="K592" s="973" t="n"/>
      <c r="L592" s="253" t="n">
        <v>150</v>
      </c>
      <c r="M592" s="254" t="inlineStr">
        <is>
          <t>1485O043</t>
        </is>
      </c>
      <c r="N592" s="254" t="inlineStr">
        <is>
          <t>Serum</t>
        </is>
      </c>
      <c r="O592" s="1183" t="inlineStr">
        <is>
          <t>31/03/2028</t>
        </is>
      </c>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73" t="n"/>
      <c r="E593" s="973" t="n"/>
      <c r="F593" s="994" t="n"/>
      <c r="G593" s="994" t="n"/>
      <c r="H593" s="973" t="n"/>
      <c r="I593" s="973" t="n"/>
      <c r="J593" s="973" t="n"/>
      <c r="K593" s="973" t="n"/>
      <c r="L593" s="253" t="n"/>
      <c r="M593" s="254" t="n"/>
      <c r="N593" s="254" t="inlineStr"/>
      <c r="O593" s="1183" t="inlineStr"/>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73" t="n"/>
      <c r="E594" s="973" t="n"/>
      <c r="F594" s="994" t="n"/>
      <c r="G594" s="994" t="n"/>
      <c r="H594" s="973" t="n"/>
      <c r="I594" s="973" t="n"/>
      <c r="J594" s="973" t="n"/>
      <c r="K594" s="973" t="n"/>
      <c r="L594" s="253" t="n">
        <v>24</v>
      </c>
      <c r="M594" s="254" t="inlineStr">
        <is>
          <t>1484T128</t>
        </is>
      </c>
      <c r="N594" s="254" t="inlineStr">
        <is>
          <t>Serum</t>
        </is>
      </c>
      <c r="O594" s="1183" t="inlineStr">
        <is>
          <t>31/10/2027</t>
        </is>
      </c>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73" t="n"/>
      <c r="E595" s="973" t="n"/>
      <c r="F595" s="994" t="n"/>
      <c r="G595" s="994" t="n"/>
      <c r="H595" s="973" t="n"/>
      <c r="I595" s="973" t="n"/>
      <c r="J595" s="973" t="n"/>
      <c r="K595" s="975" t="n"/>
      <c r="L595" s="253" t="n"/>
      <c r="M595" s="254" t="n"/>
      <c r="N595" s="254" t="inlineStr"/>
      <c r="O595" s="1183" t="inlineStr"/>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75" t="n"/>
      <c r="E596" s="975" t="n"/>
      <c r="F596" s="998" t="n"/>
      <c r="G596" s="998" t="n"/>
      <c r="H596" s="975" t="n"/>
      <c r="I596" s="975" t="n"/>
      <c r="J596" s="975" t="n"/>
      <c r="K596" s="1189">
        <f>K591=L596</f>
        <v/>
      </c>
      <c r="L596" s="491">
        <f>SUM(L591:L595)</f>
        <v/>
      </c>
      <c r="M596" s="1190" t="inlineStr">
        <is>
          <t xml:space="preserve">“Verdadero” indica que la cantidad por lote, coincide con el saldo que inicia al mes siguiente. "Falso" no coinicide. </t>
        </is>
      </c>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413">
        <f>JUNIO!K597</f>
        <v/>
      </c>
      <c r="E597" s="339">
        <f>H193</f>
        <v/>
      </c>
      <c r="F597" s="338" t="n">
        <v>3</v>
      </c>
      <c r="G597" s="338" t="n">
        <v>0</v>
      </c>
      <c r="H597" s="1235">
        <f>+F597+G597</f>
        <v/>
      </c>
      <c r="I597" s="340">
        <f>+AM597</f>
        <v/>
      </c>
      <c r="J597" s="341">
        <f>+H597+I597</f>
        <v/>
      </c>
      <c r="K597" s="583">
        <f>+(D597+E597)-(J597)</f>
        <v/>
      </c>
      <c r="L597" s="253" t="n"/>
      <c r="M597" s="254" t="n"/>
      <c r="N597" s="254" t="inlineStr"/>
      <c r="O597" s="1183" t="inlineStr"/>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v>0</v>
      </c>
      <c r="AA597" s="648" t="n">
        <v>0</v>
      </c>
      <c r="AB597" s="649">
        <f>+Z597+AA597</f>
        <v/>
      </c>
      <c r="AC597" s="648" t="n">
        <v>0</v>
      </c>
      <c r="AD597" s="648" t="n">
        <v>0</v>
      </c>
      <c r="AE597" s="648" t="n">
        <v>0</v>
      </c>
      <c r="AF597" s="648" t="n">
        <v>0</v>
      </c>
      <c r="AG597" s="648" t="n">
        <v>0</v>
      </c>
      <c r="AH597" s="648" t="n">
        <v>0</v>
      </c>
      <c r="AI597" s="648" t="n">
        <v>0</v>
      </c>
      <c r="AJ597" s="648" t="n">
        <v>0</v>
      </c>
      <c r="AK597" s="648" t="n">
        <v>0</v>
      </c>
      <c r="AL597" s="648" t="n">
        <v>0</v>
      </c>
      <c r="AM597" s="421">
        <f>SUM(AB597:AL601)</f>
        <v/>
      </c>
      <c r="AN597" s="726" t="n"/>
      <c r="AQ597" s="1238">
        <f>IFERROR(I597/J597*100,"0")</f>
        <v/>
      </c>
      <c r="AR597" s="343">
        <f>IFERROR(1/(1-(AQ597/100)),"0")</f>
        <v/>
      </c>
      <c r="AS597" s="1239" t="n">
        <v>0</v>
      </c>
      <c r="AT597" s="345" t="n">
        <v>1</v>
      </c>
      <c r="AU597" s="1240" t="n"/>
      <c r="AV597" s="1241" t="n"/>
      <c r="AW597" s="1242">
        <f>+H597-AV597</f>
        <v/>
      </c>
    </row>
    <row r="598" ht="17.25" customHeight="1">
      <c r="A598" s="973" t="n"/>
      <c r="B598" s="971" t="n"/>
      <c r="C598" s="972" t="n"/>
      <c r="D598" s="973" t="n"/>
      <c r="E598" s="973" t="n"/>
      <c r="F598" s="994" t="n"/>
      <c r="G598" s="994" t="n"/>
      <c r="H598" s="973" t="n"/>
      <c r="I598" s="973" t="n"/>
      <c r="J598" s="973" t="n"/>
      <c r="K598" s="973" t="n"/>
      <c r="L598" s="253" t="n">
        <v>92</v>
      </c>
      <c r="M598" s="254" t="inlineStr">
        <is>
          <t>P100819448</t>
        </is>
      </c>
      <c r="N598" s="254" t="inlineStr">
        <is>
          <t>CSL BEHRING</t>
        </is>
      </c>
      <c r="O598" s="1183" t="inlineStr">
        <is>
          <t>24/03/2028</t>
        </is>
      </c>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73" t="n"/>
      <c r="E599" s="973" t="n"/>
      <c r="F599" s="994" t="n"/>
      <c r="G599" s="994" t="n"/>
      <c r="H599" s="973" t="n"/>
      <c r="I599" s="973" t="n"/>
      <c r="J599" s="973" t="n"/>
      <c r="K599" s="973" t="n"/>
      <c r="L599" s="253" t="n"/>
      <c r="M599" s="254" t="n"/>
      <c r="N599" s="254" t="n"/>
      <c r="O599" s="1183" t="n"/>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73"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73"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75" t="n"/>
      <c r="E602" s="975" t="n"/>
      <c r="F602" s="998" t="n"/>
      <c r="G602" s="998" t="n"/>
      <c r="H602" s="975" t="n"/>
      <c r="I602" s="975" t="n"/>
      <c r="J602" s="975" t="n"/>
      <c r="K602" s="1189">
        <f>K597=L602</f>
        <v/>
      </c>
      <c r="L602" s="491">
        <f>SUM(L597:L601)</f>
        <v/>
      </c>
      <c r="M602" s="1190" t="inlineStr">
        <is>
          <t xml:space="preserve">“Verdadero” indica que la cantidad por lote, coincide con el saldo que inicia al mes siguiente. "Falso" no coinicide. </t>
        </is>
      </c>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413">
        <f>JUNIO!K603</f>
        <v/>
      </c>
      <c r="E603" s="339">
        <f>H199</f>
        <v/>
      </c>
      <c r="F603" s="338" t="n">
        <v>140</v>
      </c>
      <c r="G603" s="338" t="n">
        <v>0</v>
      </c>
      <c r="H603" s="1235">
        <f>+F603+G603</f>
        <v/>
      </c>
      <c r="I603" s="340">
        <f>+AM603</f>
        <v/>
      </c>
      <c r="J603" s="341">
        <f>+H603+I603</f>
        <v/>
      </c>
      <c r="K603" s="583">
        <f>+(D603+E603)-(J603)</f>
        <v/>
      </c>
      <c r="L603" s="253" t="n">
        <v>28</v>
      </c>
      <c r="M603" s="254" t="inlineStr">
        <is>
          <t>08AR25015</t>
        </is>
      </c>
      <c r="N603" s="254" t="inlineStr">
        <is>
          <t>VINS BIOPRODUCTS LIMITED</t>
        </is>
      </c>
      <c r="O603" s="1183" t="n">
        <v>46538</v>
      </c>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v>0</v>
      </c>
      <c r="AA603" s="648" t="n">
        <v>0</v>
      </c>
      <c r="AB603" s="649">
        <f>+Z603+AA603</f>
        <v/>
      </c>
      <c r="AC603" s="648" t="n">
        <v>0</v>
      </c>
      <c r="AD603" s="648" t="n">
        <v>0</v>
      </c>
      <c r="AE603" s="648" t="n">
        <v>0</v>
      </c>
      <c r="AF603" s="648" t="n">
        <v>0</v>
      </c>
      <c r="AG603" s="648" t="n">
        <v>0</v>
      </c>
      <c r="AH603" s="648" t="n">
        <v>0</v>
      </c>
      <c r="AI603" s="648" t="n">
        <v>0</v>
      </c>
      <c r="AJ603" s="648" t="n">
        <v>0</v>
      </c>
      <c r="AK603" s="648" t="n">
        <v>0</v>
      </c>
      <c r="AL603" s="648" t="n">
        <v>0</v>
      </c>
      <c r="AM603" s="421">
        <f>SUM(AB603:AL607)</f>
        <v/>
      </c>
      <c r="AN603" s="726" t="n"/>
      <c r="AQ603" s="1238">
        <f>IFERROR(I603/J603*100,"0")</f>
        <v/>
      </c>
      <c r="AR603" s="343">
        <f>IFERROR(1/(1-(AQ603/100)),"0")</f>
        <v/>
      </c>
      <c r="AS603" s="1239" t="n">
        <v>0</v>
      </c>
      <c r="AT603" s="345" t="n">
        <v>1</v>
      </c>
      <c r="AU603" s="1240" t="n"/>
      <c r="AV603" s="1241" t="n"/>
      <c r="AW603" s="1242">
        <f>+H603-AV603</f>
        <v/>
      </c>
    </row>
    <row r="604" ht="17.25" customHeight="1">
      <c r="A604" s="973" t="n"/>
      <c r="B604" s="971" t="n"/>
      <c r="C604" s="972" t="n"/>
      <c r="D604" s="973" t="n"/>
      <c r="E604" s="973" t="n"/>
      <c r="F604" s="994" t="n"/>
      <c r="G604" s="994" t="n"/>
      <c r="H604" s="973" t="n"/>
      <c r="I604" s="973" t="n"/>
      <c r="J604" s="973" t="n"/>
      <c r="K604" s="973" t="n"/>
      <c r="L604" s="253" t="n">
        <v>19</v>
      </c>
      <c r="M604" s="254" t="inlineStr">
        <is>
          <t>08AR25031</t>
        </is>
      </c>
      <c r="N604" s="254" t="inlineStr">
        <is>
          <t>VINS BIOPRODUCTS LIMITED</t>
        </is>
      </c>
      <c r="O604" s="1183" t="n">
        <v>46599</v>
      </c>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73" t="n"/>
      <c r="E605" s="973" t="n"/>
      <c r="F605" s="994" t="n"/>
      <c r="G605" s="994" t="n"/>
      <c r="H605" s="973" t="n"/>
      <c r="I605" s="973" t="n"/>
      <c r="J605" s="973" t="n"/>
      <c r="K605" s="973" t="n"/>
      <c r="L605" s="253" t="n"/>
      <c r="M605" s="254" t="n"/>
      <c r="N605" s="254" t="n"/>
      <c r="O605" s="1183" t="inlineStr"/>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73" t="n"/>
      <c r="E606" s="973" t="n"/>
      <c r="F606" s="994" t="n"/>
      <c r="G606" s="994" t="n"/>
      <c r="H606" s="973" t="n"/>
      <c r="I606" s="973" t="n"/>
      <c r="J606" s="973" t="n"/>
      <c r="K606" s="973" t="n"/>
      <c r="L606" s="253" t="n"/>
      <c r="M606" s="254" t="n"/>
      <c r="N606" s="254" t="n"/>
      <c r="O606" s="1183" t="inlineStr"/>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73"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75" t="n"/>
      <c r="E608" s="975" t="n"/>
      <c r="F608" s="998" t="n"/>
      <c r="G608" s="998" t="n"/>
      <c r="H608" s="975" t="n"/>
      <c r="I608" s="975" t="n"/>
      <c r="J608" s="975" t="n"/>
      <c r="K608" s="1189">
        <f>K603=L608</f>
        <v/>
      </c>
      <c r="L608" s="491">
        <f>SUM(L603:L607)</f>
        <v/>
      </c>
      <c r="M608" s="1190" t="inlineStr">
        <is>
          <t xml:space="preserve">“Verdadero” indica que la cantidad por lote, coincide con el saldo que inicia al mes siguiente. "Falso" no coinicide. </t>
        </is>
      </c>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413">
        <f>JUNIO!K609</f>
        <v/>
      </c>
      <c r="E609" s="339">
        <f>H205</f>
        <v/>
      </c>
      <c r="F609" s="338" t="n">
        <v>10</v>
      </c>
      <c r="G609" s="338" t="n">
        <v>0</v>
      </c>
      <c r="H609" s="1235">
        <f>+F609+G609</f>
        <v/>
      </c>
      <c r="I609" s="340">
        <f>+AM609</f>
        <v/>
      </c>
      <c r="J609" s="341">
        <f>+H609+I609</f>
        <v/>
      </c>
      <c r="K609" s="583">
        <f>+(D609+E609)-(J609)</f>
        <v/>
      </c>
      <c r="L609" s="253" t="n">
        <v>39</v>
      </c>
      <c r="M609" s="254" t="inlineStr">
        <is>
          <t>P100756726</t>
        </is>
      </c>
      <c r="N609" s="254" t="inlineStr">
        <is>
          <t>CSL BEHRING</t>
        </is>
      </c>
      <c r="O609" s="1183" t="inlineStr">
        <is>
          <t>09/10/2027</t>
        </is>
      </c>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v>0</v>
      </c>
      <c r="AA609" s="648" t="n">
        <v>0</v>
      </c>
      <c r="AB609" s="649">
        <f>+Z609+AA609</f>
        <v/>
      </c>
      <c r="AC609" s="648" t="n">
        <v>0</v>
      </c>
      <c r="AD609" s="648" t="n">
        <v>0</v>
      </c>
      <c r="AE609" s="648" t="n">
        <v>0</v>
      </c>
      <c r="AF609" s="648" t="n">
        <v>0</v>
      </c>
      <c r="AG609" s="648" t="n">
        <v>0</v>
      </c>
      <c r="AH609" s="648" t="n">
        <v>0</v>
      </c>
      <c r="AI609" s="648" t="n">
        <v>0</v>
      </c>
      <c r="AJ609" s="648" t="n">
        <v>0</v>
      </c>
      <c r="AK609" s="648" t="n">
        <v>0</v>
      </c>
      <c r="AL609" s="648" t="n">
        <v>0</v>
      </c>
      <c r="AM609" s="421">
        <f>SUM(AB609:AL613)</f>
        <v/>
      </c>
      <c r="AN609" s="726" t="n"/>
      <c r="AQ609" s="1238">
        <f>IFERROR(I609/J609*100,"0")</f>
        <v/>
      </c>
      <c r="AR609" s="343">
        <f>IFERROR(1/(1-(AQ609/100)),"0")</f>
        <v/>
      </c>
      <c r="AS609" s="1239" t="n">
        <v>0</v>
      </c>
      <c r="AT609" s="345" t="n">
        <v>1</v>
      </c>
      <c r="AU609" s="1240" t="n"/>
      <c r="AV609" s="1241" t="n"/>
      <c r="AW609" s="1242">
        <f>+H609-AV609</f>
        <v/>
      </c>
    </row>
    <row r="610" ht="17.25" customHeight="1">
      <c r="A610" s="973" t="n"/>
      <c r="B610" s="971" t="n"/>
      <c r="C610" s="972" t="n"/>
      <c r="D610" s="973" t="n"/>
      <c r="E610" s="973" t="n"/>
      <c r="F610" s="994" t="n"/>
      <c r="G610" s="994" t="n"/>
      <c r="H610" s="973" t="n"/>
      <c r="I610" s="973" t="n"/>
      <c r="J610" s="973" t="n"/>
      <c r="K610" s="973" t="n"/>
      <c r="L610" s="253" t="n">
        <v>13</v>
      </c>
      <c r="M610" s="254" t="inlineStr">
        <is>
          <t>P100734570</t>
        </is>
      </c>
      <c r="N610" s="254" t="inlineStr">
        <is>
          <t>CSL BEHRING</t>
        </is>
      </c>
      <c r="O610" s="1183" t="inlineStr">
        <is>
          <t>12/02/2027</t>
        </is>
      </c>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73" t="n"/>
      <c r="E611" s="973" t="n"/>
      <c r="F611" s="994" t="n"/>
      <c r="G611" s="994" t="n"/>
      <c r="H611" s="973" t="n"/>
      <c r="I611" s="973" t="n"/>
      <c r="J611" s="973" t="n"/>
      <c r="K611" s="973" t="n"/>
      <c r="L611" s="253" t="n">
        <v>9</v>
      </c>
      <c r="M611" s="254" t="inlineStr">
        <is>
          <t>P100700727</t>
        </is>
      </c>
      <c r="N611" s="254" t="inlineStr">
        <is>
          <t>CSL BEHRING</t>
        </is>
      </c>
      <c r="O611" s="1183" t="inlineStr">
        <is>
          <t>08/04/2027</t>
        </is>
      </c>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73" t="n"/>
      <c r="E612" s="973" t="n"/>
      <c r="F612" s="994" t="n"/>
      <c r="G612" s="994" t="n"/>
      <c r="H612" s="973" t="n"/>
      <c r="I612" s="973" t="n"/>
      <c r="J612" s="973" t="n"/>
      <c r="K612" s="973" t="n"/>
      <c r="L612" s="253" t="n">
        <v>2</v>
      </c>
      <c r="M612" s="254" t="inlineStr">
        <is>
          <t>P100666739</t>
        </is>
      </c>
      <c r="N612" s="254" t="inlineStr">
        <is>
          <t>CSL BEHRING</t>
        </is>
      </c>
      <c r="O612" s="1183" t="inlineStr">
        <is>
          <t>12/02/2027</t>
        </is>
      </c>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73" t="n"/>
      <c r="E613" s="973" t="n"/>
      <c r="F613" s="994" t="n"/>
      <c r="G613" s="994" t="n"/>
      <c r="H613" s="973" t="n"/>
      <c r="I613" s="973" t="n"/>
      <c r="J613" s="973" t="n"/>
      <c r="K613" s="975" t="n"/>
      <c r="L613" s="253" t="n">
        <v>1</v>
      </c>
      <c r="M613" s="254" t="inlineStr">
        <is>
          <t>P100646141</t>
        </is>
      </c>
      <c r="N613" s="254" t="inlineStr">
        <is>
          <t>CSL BEHRING</t>
        </is>
      </c>
      <c r="O613" s="1183" t="inlineStr">
        <is>
          <t>27/11/2026</t>
        </is>
      </c>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75" t="n"/>
      <c r="E614" s="975" t="n"/>
      <c r="F614" s="998" t="n"/>
      <c r="G614" s="998" t="n"/>
      <c r="H614" s="975" t="n"/>
      <c r="I614" s="975" t="n"/>
      <c r="J614" s="975" t="n"/>
      <c r="K614" s="1189">
        <f>K609=L614</f>
        <v/>
      </c>
      <c r="L614" s="491">
        <f>SUM(L609:L613)</f>
        <v/>
      </c>
      <c r="M614" s="1190" t="inlineStr">
        <is>
          <t xml:space="preserve">“Verdadero” indica que la cantidad por lote, coincide con el saldo que inicia al mes siguiente. "Falso" no coinicide. </t>
        </is>
      </c>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413">
        <f>JUNIO!K615</f>
        <v/>
      </c>
      <c r="E615" s="339">
        <f>H211</f>
        <v/>
      </c>
      <c r="F615" s="338" t="n">
        <v>0</v>
      </c>
      <c r="G615" s="338" t="n">
        <v>0</v>
      </c>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v>0</v>
      </c>
      <c r="AA615" s="648" t="n">
        <v>0</v>
      </c>
      <c r="AB615" s="649">
        <f>+Z615+AA615</f>
        <v/>
      </c>
      <c r="AC615" s="648" t="n">
        <v>0</v>
      </c>
      <c r="AD615" s="648" t="n">
        <v>0</v>
      </c>
      <c r="AE615" s="648" t="n">
        <v>0</v>
      </c>
      <c r="AF615" s="648" t="n">
        <v>0</v>
      </c>
      <c r="AG615" s="648" t="n">
        <v>0</v>
      </c>
      <c r="AH615" s="648" t="n">
        <v>0</v>
      </c>
      <c r="AI615" s="648" t="n">
        <v>0</v>
      </c>
      <c r="AJ615" s="648" t="n">
        <v>0</v>
      </c>
      <c r="AK615" s="648" t="n">
        <v>0</v>
      </c>
      <c r="AL615" s="648" t="n">
        <v>0</v>
      </c>
      <c r="AM615" s="421">
        <f>SUM(AB615:AL619)</f>
        <v/>
      </c>
      <c r="AN615" s="726" t="n"/>
      <c r="AQ615" s="1238">
        <f>IFERROR(I615/J615*100,"0")</f>
        <v/>
      </c>
      <c r="AR615" s="343">
        <f>IFERROR(1/(1-(AQ615/100)),"0")</f>
        <v/>
      </c>
      <c r="AS615" s="1239" t="n">
        <v>0</v>
      </c>
      <c r="AT615" s="345" t="n">
        <v>1</v>
      </c>
      <c r="AU615" s="1240" t="n"/>
      <c r="AV615" s="1241" t="n"/>
      <c r="AW615" s="1242">
        <f>+H615-AV615</f>
        <v/>
      </c>
    </row>
    <row r="616" ht="17.25" customHeight="1">
      <c r="A616" s="973" t="n"/>
      <c r="B616" s="971" t="n"/>
      <c r="C616" s="972" t="n"/>
      <c r="D616" s="973"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73"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73"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73"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75" t="n"/>
      <c r="E620" s="975" t="n"/>
      <c r="F620" s="998" t="n"/>
      <c r="G620" s="998" t="n"/>
      <c r="H620" s="975" t="n"/>
      <c r="I620" s="975" t="n"/>
      <c r="J620" s="975" t="n"/>
      <c r="K620" s="1189">
        <f>K615=L620</f>
        <v/>
      </c>
      <c r="L620" s="491">
        <f>SUM(L615:L619)</f>
        <v/>
      </c>
      <c r="M620" s="1190" t="inlineStr">
        <is>
          <t xml:space="preserve">“Verdadero” indica que la cantidad por lote, coincide con el saldo que inicia al mes siguiente. "Falso" no coinicide. </t>
        </is>
      </c>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413">
        <f>JUNIO!K621</f>
        <v/>
      </c>
      <c r="E621" s="339">
        <f>H217</f>
        <v/>
      </c>
      <c r="F621" s="338" t="n">
        <v>0</v>
      </c>
      <c r="G621" s="338" t="n">
        <v>0</v>
      </c>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v>0</v>
      </c>
      <c r="AA621" s="648" t="n">
        <v>0</v>
      </c>
      <c r="AB621" s="649">
        <f>+Z621+AA621</f>
        <v/>
      </c>
      <c r="AC621" s="648" t="n">
        <v>0</v>
      </c>
      <c r="AD621" s="648" t="n">
        <v>0</v>
      </c>
      <c r="AE621" s="648" t="n">
        <v>0</v>
      </c>
      <c r="AF621" s="648" t="n">
        <v>0</v>
      </c>
      <c r="AG621" s="648" t="n">
        <v>0</v>
      </c>
      <c r="AH621" s="648" t="n">
        <v>0</v>
      </c>
      <c r="AI621" s="648" t="n">
        <v>0</v>
      </c>
      <c r="AJ621" s="648" t="n">
        <v>0</v>
      </c>
      <c r="AK621" s="648" t="n">
        <v>0</v>
      </c>
      <c r="AL621" s="648" t="n">
        <v>0</v>
      </c>
      <c r="AM621" s="421">
        <f>SUM(AB621:AL625)</f>
        <v/>
      </c>
      <c r="AN621" s="726" t="n"/>
      <c r="AQ621" s="1238">
        <f>IFERROR(I621/J621*100,"0")</f>
        <v/>
      </c>
      <c r="AR621" s="343">
        <f>IFERROR(1/(1-(AQ621/100)),"0")</f>
        <v/>
      </c>
      <c r="AS621" s="1239" t="n">
        <v>0</v>
      </c>
      <c r="AT621" s="345" t="n">
        <v>1</v>
      </c>
      <c r="AU621" s="1240" t="n"/>
      <c r="AV621" s="1241" t="n"/>
      <c r="AW621" s="1242">
        <f>+H621-AV621</f>
        <v/>
      </c>
    </row>
    <row r="622" ht="17.25" customHeight="1">
      <c r="A622" s="973" t="n"/>
      <c r="B622" s="971" t="n"/>
      <c r="C622" s="972" t="n"/>
      <c r="D622" s="973"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73"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73"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73"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75" t="n"/>
      <c r="E626" s="975" t="n"/>
      <c r="F626" s="998" t="n"/>
      <c r="G626" s="998" t="n"/>
      <c r="H626" s="975" t="n"/>
      <c r="I626" s="975" t="n"/>
      <c r="J626" s="975" t="n"/>
      <c r="K626" s="1189">
        <f>K621=L626</f>
        <v/>
      </c>
      <c r="L626" s="491">
        <f>SUM(L621:L625)</f>
        <v/>
      </c>
      <c r="M626" s="1190" t="inlineStr">
        <is>
          <t xml:space="preserve">“Verdadero” indica que la cantidad por lote, coincide con el saldo que inicia al mes siguiente. "Falso" no coinicide. </t>
        </is>
      </c>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413">
        <f>JUNIO!K627</f>
        <v/>
      </c>
      <c r="E627" s="339">
        <f>H223</f>
        <v/>
      </c>
      <c r="F627" s="338" t="n">
        <v>0</v>
      </c>
      <c r="G627" s="338" t="n">
        <v>0</v>
      </c>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v>0</v>
      </c>
      <c r="AA627" s="648" t="n">
        <v>0</v>
      </c>
      <c r="AB627" s="649">
        <f>+Z627+AA627</f>
        <v/>
      </c>
      <c r="AC627" s="648" t="n">
        <v>0</v>
      </c>
      <c r="AD627" s="648" t="n">
        <v>0</v>
      </c>
      <c r="AE627" s="648" t="n">
        <v>0</v>
      </c>
      <c r="AF627" s="648" t="n">
        <v>0</v>
      </c>
      <c r="AG627" s="648" t="n">
        <v>0</v>
      </c>
      <c r="AH627" s="648" t="n">
        <v>0</v>
      </c>
      <c r="AI627" s="648" t="n">
        <v>0</v>
      </c>
      <c r="AJ627" s="648" t="n">
        <v>0</v>
      </c>
      <c r="AK627" s="648" t="n">
        <v>0</v>
      </c>
      <c r="AL627" s="648" t="n">
        <v>0</v>
      </c>
      <c r="AM627" s="421">
        <f>SUM(AB627:AL631)</f>
        <v/>
      </c>
      <c r="AN627" s="726" t="n"/>
      <c r="AQ627" s="1238">
        <f>IFERROR(I627/J627*100,"0")</f>
        <v/>
      </c>
      <c r="AR627" s="343">
        <f>IFERROR(1/(1-(AQ627/100)),"0")</f>
        <v/>
      </c>
      <c r="AS627" s="1239" t="n">
        <v>0</v>
      </c>
      <c r="AT627" s="345" t="n">
        <v>1</v>
      </c>
      <c r="AU627" s="1240" t="n"/>
      <c r="AV627" s="1241" t="n"/>
      <c r="AW627" s="1242">
        <f>+H627-AV627</f>
        <v/>
      </c>
    </row>
    <row r="628" ht="17.25" customHeight="1">
      <c r="A628" s="973" t="n"/>
      <c r="B628" s="971" t="n"/>
      <c r="C628" s="972" t="n"/>
      <c r="D628" s="973"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73"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73"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73"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75" t="n"/>
      <c r="E632" s="975" t="n"/>
      <c r="F632" s="998" t="n"/>
      <c r="G632" s="998" t="n"/>
      <c r="H632" s="975" t="n"/>
      <c r="I632" s="975" t="n"/>
      <c r="J632" s="975" t="n"/>
      <c r="K632" s="1189">
        <f>K627=L632</f>
        <v/>
      </c>
      <c r="L632" s="491">
        <f>SUM(L627:L631)</f>
        <v/>
      </c>
      <c r="M632" s="1190" t="inlineStr">
        <is>
          <t xml:space="preserve">“Verdadero” indica que la cantidad por lote, coincide con el saldo que inicia al mes siguiente. "Falso" no coinicide. </t>
        </is>
      </c>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647"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413">
        <f>JUNIO!K634</f>
        <v/>
      </c>
      <c r="E634" s="339">
        <f>H230</f>
        <v/>
      </c>
      <c r="F634" s="338" t="n">
        <v>679</v>
      </c>
      <c r="G634" s="338" t="n">
        <v>38</v>
      </c>
      <c r="H634" s="1235">
        <f>+F634+G634</f>
        <v/>
      </c>
      <c r="I634" s="340">
        <f>+AM634</f>
        <v/>
      </c>
      <c r="J634" s="341">
        <f>+H634+I634</f>
        <v/>
      </c>
      <c r="K634" s="583">
        <f>+(D634+E634)-(J634)</f>
        <v/>
      </c>
      <c r="L634" s="253" t="n">
        <v>1500</v>
      </c>
      <c r="M634" s="254" t="inlineStr">
        <is>
          <t>0704S4011</t>
        </is>
      </c>
      <c r="N634" s="254" t="inlineStr">
        <is>
          <t>Serum</t>
        </is>
      </c>
      <c r="O634" s="1183" t="inlineStr">
        <is>
          <t>30/06/2028</t>
        </is>
      </c>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v>887</v>
      </c>
      <c r="AA634" s="648" t="n">
        <v>276</v>
      </c>
      <c r="AB634" s="649">
        <f>+Z634+AA634</f>
        <v/>
      </c>
      <c r="AC634" s="648" t="n">
        <v>0</v>
      </c>
      <c r="AD634" s="648" t="n">
        <v>0</v>
      </c>
      <c r="AE634" s="648" t="n">
        <v>0</v>
      </c>
      <c r="AF634" s="648" t="n">
        <v>0</v>
      </c>
      <c r="AG634" s="648" t="n">
        <v>0</v>
      </c>
      <c r="AH634" s="648" t="n">
        <v>0</v>
      </c>
      <c r="AI634" s="648" t="n">
        <v>0</v>
      </c>
      <c r="AJ634" s="648" t="n">
        <v>0</v>
      </c>
      <c r="AK634" s="648" t="n">
        <v>0</v>
      </c>
      <c r="AL634" s="648" t="n">
        <v>0</v>
      </c>
      <c r="AM634" s="421">
        <f>SUM(AB634:AL638)</f>
        <v/>
      </c>
      <c r="AN634" s="726" t="n"/>
      <c r="AU634" s="1240" t="n"/>
      <c r="AV634" s="1240" t="n"/>
    </row>
    <row r="635" ht="17.1" customHeight="1">
      <c r="A635" s="973" t="n"/>
      <c r="B635" s="971" t="n"/>
      <c r="C635" s="972" t="n"/>
      <c r="D635" s="973" t="n"/>
      <c r="E635" s="973" t="n"/>
      <c r="F635" s="994" t="n"/>
      <c r="G635" s="994" t="n"/>
      <c r="H635" s="973" t="n"/>
      <c r="I635" s="973" t="n"/>
      <c r="J635" s="973" t="n"/>
      <c r="K635" s="973" t="n"/>
      <c r="L635" s="253" t="n">
        <v>290</v>
      </c>
      <c r="M635" s="254" t="inlineStr">
        <is>
          <t>0704S1005</t>
        </is>
      </c>
      <c r="N635" s="254" t="inlineStr">
        <is>
          <t>Serum</t>
        </is>
      </c>
      <c r="O635" s="1183" t="inlineStr">
        <is>
          <t>31/08/2028</t>
        </is>
      </c>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73" t="n"/>
      <c r="E636" s="973" t="n"/>
      <c r="F636" s="994" t="n"/>
      <c r="G636" s="994" t="n"/>
      <c r="H636" s="973" t="n"/>
      <c r="I636" s="973" t="n"/>
      <c r="J636" s="973" t="n"/>
      <c r="K636" s="973" t="n"/>
      <c r="L636" s="253" t="n"/>
      <c r="M636" s="254" t="n"/>
      <c r="N636" s="254" t="inlineStr"/>
      <c r="O636" s="1183" t="inlineStr"/>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73" t="n"/>
      <c r="E637" s="973" t="n"/>
      <c r="F637" s="994" t="n"/>
      <c r="G637" s="994" t="n"/>
      <c r="H637" s="973" t="n"/>
      <c r="I637" s="973" t="n"/>
      <c r="J637" s="973" t="n"/>
      <c r="K637" s="973" t="n"/>
      <c r="L637" s="253" t="n">
        <v>180</v>
      </c>
      <c r="M637" s="254" t="inlineStr">
        <is>
          <t>0704S4001</t>
        </is>
      </c>
      <c r="N637" s="254" t="inlineStr">
        <is>
          <t>Serum</t>
        </is>
      </c>
      <c r="O637" s="1183" t="inlineStr">
        <is>
          <t>31/12/2027</t>
        </is>
      </c>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73" t="n"/>
      <c r="E638" s="973" t="n"/>
      <c r="F638" s="994" t="n"/>
      <c r="G638" s="994" t="n"/>
      <c r="H638" s="973" t="n"/>
      <c r="I638" s="973" t="n"/>
      <c r="J638" s="973" t="n"/>
      <c r="K638" s="975" t="n"/>
      <c r="L638" s="253" t="n"/>
      <c r="M638" s="254" t="n"/>
      <c r="N638" s="254" t="inlineStr"/>
      <c r="O638" s="1183" t="inlineStr"/>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75" t="n"/>
      <c r="E639" s="975" t="n"/>
      <c r="F639" s="998" t="n"/>
      <c r="G639" s="998" t="n"/>
      <c r="H639" s="975" t="n"/>
      <c r="I639" s="975" t="n"/>
      <c r="J639" s="975" t="n"/>
      <c r="K639" s="1189">
        <f>K634=L639</f>
        <v/>
      </c>
      <c r="L639" s="491">
        <f>SUM(L634:L638)</f>
        <v/>
      </c>
      <c r="M639" s="1190" t="inlineStr">
        <is>
          <t xml:space="preserve">“Verdadero” indica que la cantidad por lote, coincide con el saldo que inicia al mes siguiente. "Falso" no coinicide. </t>
        </is>
      </c>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413">
        <f>JUNIO!K640</f>
        <v/>
      </c>
      <c r="E640" s="339">
        <f>H236</f>
        <v/>
      </c>
      <c r="F640" s="338" t="n">
        <v>1621</v>
      </c>
      <c r="G640" s="338" t="n">
        <v>35</v>
      </c>
      <c r="H640" s="1235">
        <f>+F640+G640</f>
        <v/>
      </c>
      <c r="I640" s="340">
        <f>+AM640</f>
        <v/>
      </c>
      <c r="J640" s="341">
        <f>+H640+I640</f>
        <v/>
      </c>
      <c r="K640" s="583">
        <f>+(D640+E640)-(J640)</f>
        <v/>
      </c>
      <c r="L640" s="253" t="n">
        <v>927</v>
      </c>
      <c r="M640" s="254" t="inlineStr">
        <is>
          <t>0643S1010</t>
        </is>
      </c>
      <c r="N640" s="254" t="inlineStr">
        <is>
          <t>Serum</t>
        </is>
      </c>
      <c r="O640" s="1183" t="inlineStr">
        <is>
          <t>30/04/2028</t>
        </is>
      </c>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v>0</v>
      </c>
      <c r="AA640" s="648" t="n">
        <v>0</v>
      </c>
      <c r="AB640" s="649">
        <f>+Z640+AA640</f>
        <v/>
      </c>
      <c r="AC640" s="648" t="n">
        <v>0</v>
      </c>
      <c r="AD640" s="648" t="n">
        <v>0</v>
      </c>
      <c r="AE640" s="648" t="n">
        <v>0</v>
      </c>
      <c r="AF640" s="648" t="n">
        <v>0</v>
      </c>
      <c r="AG640" s="648" t="n">
        <v>0</v>
      </c>
      <c r="AH640" s="648" t="n">
        <v>0</v>
      </c>
      <c r="AI640" s="648" t="n">
        <v>0</v>
      </c>
      <c r="AJ640" s="648" t="n">
        <v>0</v>
      </c>
      <c r="AK640" s="648" t="n">
        <v>0</v>
      </c>
      <c r="AL640" s="648" t="n">
        <v>0</v>
      </c>
      <c r="AM640" s="421">
        <f>SUM(AB640:AL644)</f>
        <v/>
      </c>
      <c r="AN640" s="726" t="n"/>
      <c r="AU640" s="1240" t="n"/>
      <c r="AV640" s="1240" t="n"/>
    </row>
    <row r="641" ht="17.1" customHeight="1">
      <c r="A641" s="973" t="n"/>
      <c r="B641" s="971" t="n"/>
      <c r="C641" s="972" t="n"/>
      <c r="D641" s="973" t="n"/>
      <c r="E641" s="973" t="n"/>
      <c r="F641" s="994" t="n"/>
      <c r="G641" s="994" t="n"/>
      <c r="H641" s="973" t="n"/>
      <c r="I641" s="973" t="n"/>
      <c r="J641" s="973" t="n"/>
      <c r="K641" s="973" t="n"/>
      <c r="L641" s="253" t="n">
        <v>844</v>
      </c>
      <c r="M641" s="254" t="inlineStr">
        <is>
          <t>0644S4011</t>
        </is>
      </c>
      <c r="N641" s="254" t="inlineStr">
        <is>
          <t>Serum</t>
        </is>
      </c>
      <c r="O641" s="1183" t="inlineStr">
        <is>
          <t>30/06/2029</t>
        </is>
      </c>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73" t="n"/>
      <c r="E642" s="973" t="n"/>
      <c r="F642" s="994" t="n"/>
      <c r="G642" s="994" t="n"/>
      <c r="H642" s="973" t="n"/>
      <c r="I642" s="973" t="n"/>
      <c r="J642" s="973" t="n"/>
      <c r="K642" s="973" t="n"/>
      <c r="L642" s="253" t="n"/>
      <c r="M642" s="254" t="n"/>
      <c r="N642" s="254" t="inlineStr"/>
      <c r="O642" s="1183" t="inlineStr"/>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73" t="n"/>
      <c r="E643" s="973" t="n"/>
      <c r="F643" s="994" t="n"/>
      <c r="G643" s="994" t="n"/>
      <c r="H643" s="973" t="n"/>
      <c r="I643" s="973" t="n"/>
      <c r="J643" s="973" t="n"/>
      <c r="K643" s="973" t="n"/>
      <c r="L643" s="253" t="n">
        <v>64</v>
      </c>
      <c r="M643" s="254" t="inlineStr">
        <is>
          <t>0644S4017</t>
        </is>
      </c>
      <c r="N643" s="254" t="inlineStr">
        <is>
          <t>Serum</t>
        </is>
      </c>
      <c r="O643" s="1183" t="inlineStr">
        <is>
          <t>31/08/2029</t>
        </is>
      </c>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73"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75" t="n"/>
      <c r="E645" s="975" t="n"/>
      <c r="F645" s="998" t="n"/>
      <c r="G645" s="998" t="n"/>
      <c r="H645" s="975" t="n"/>
      <c r="I645" s="975" t="n"/>
      <c r="J645" s="975" t="n"/>
      <c r="K645" s="1189">
        <f>K640=L645</f>
        <v/>
      </c>
      <c r="L645" s="491">
        <f>SUM(L640:L644)</f>
        <v/>
      </c>
      <c r="M645" s="1190" t="inlineStr">
        <is>
          <t xml:space="preserve">“Verdadero” indica que la cantidad por lote, coincide con el saldo que inicia al mes siguiente. "Falso" no coinicide. </t>
        </is>
      </c>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413">
        <f>JUNIO!K646</f>
        <v/>
      </c>
      <c r="E646" s="339">
        <f>H242</f>
        <v/>
      </c>
      <c r="F646" s="338" t="n">
        <v>0</v>
      </c>
      <c r="G646" s="338" t="n">
        <v>0</v>
      </c>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v>0</v>
      </c>
      <c r="AA646" s="648" t="n">
        <v>0</v>
      </c>
      <c r="AB646" s="649">
        <f>+Z646+AA646</f>
        <v/>
      </c>
      <c r="AC646" s="648" t="n">
        <v>0</v>
      </c>
      <c r="AD646" s="648" t="n">
        <v>0</v>
      </c>
      <c r="AE646" s="648" t="n">
        <v>0</v>
      </c>
      <c r="AF646" s="648" t="n">
        <v>0</v>
      </c>
      <c r="AG646" s="648" t="n">
        <v>0</v>
      </c>
      <c r="AH646" s="648" t="n">
        <v>0</v>
      </c>
      <c r="AI646" s="648" t="n">
        <v>0</v>
      </c>
      <c r="AJ646" s="648" t="n">
        <v>0</v>
      </c>
      <c r="AK646" s="648" t="n">
        <v>0</v>
      </c>
      <c r="AL646" s="648" t="n">
        <v>0</v>
      </c>
      <c r="AM646" s="421">
        <f>SUM(AB646:AL650)</f>
        <v/>
      </c>
      <c r="AN646" s="726" t="n"/>
      <c r="AU646" s="1240" t="n"/>
      <c r="AV646" s="1240" t="n"/>
    </row>
    <row r="647" ht="17.1" customHeight="1">
      <c r="A647" s="973" t="n"/>
      <c r="B647" s="971" t="n"/>
      <c r="C647" s="972" t="n"/>
      <c r="D647" s="973"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73"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73"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73"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75" t="n"/>
      <c r="E651" s="975" t="n"/>
      <c r="F651" s="998" t="n"/>
      <c r="G651" s="998" t="n"/>
      <c r="H651" s="975" t="n"/>
      <c r="I651" s="975" t="n"/>
      <c r="J651" s="975" t="n"/>
      <c r="K651" s="1189">
        <f>K646=L651</f>
        <v/>
      </c>
      <c r="L651" s="491">
        <f>SUM(L646:L650)</f>
        <v/>
      </c>
      <c r="M651" s="1190" t="inlineStr">
        <is>
          <t xml:space="preserve">“Verdadero” indica que la cantidad por lote, coincide con el saldo que inicia al mes siguiente. "Falso" no coinicide. </t>
        </is>
      </c>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413">
        <f>JUNIO!K652</f>
        <v/>
      </c>
      <c r="E652" s="339">
        <f>H248</f>
        <v/>
      </c>
      <c r="F652" s="338" t="n">
        <v>0</v>
      </c>
      <c r="G652" s="338" t="n">
        <v>0</v>
      </c>
      <c r="H652" s="1235">
        <f>+F652+G652</f>
        <v/>
      </c>
      <c r="I652" s="340">
        <f>+AM652</f>
        <v/>
      </c>
      <c r="J652" s="341">
        <f>+H652+I652</f>
        <v/>
      </c>
      <c r="K652" s="583">
        <f>+(D652+E652)-(J652)</f>
        <v/>
      </c>
      <c r="L652" s="253" t="n"/>
      <c r="M652" s="254" t="n"/>
      <c r="N652" s="254" t="inlineStr"/>
      <c r="O652" s="1183" t="inlineStr"/>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v>0</v>
      </c>
      <c r="AA652" s="648" t="n">
        <v>0</v>
      </c>
      <c r="AB652" s="649">
        <f>+Z652+AA652</f>
        <v/>
      </c>
      <c r="AC652" s="648" t="n">
        <v>0</v>
      </c>
      <c r="AD652" s="648" t="n">
        <v>0</v>
      </c>
      <c r="AE652" s="648" t="n">
        <v>0</v>
      </c>
      <c r="AF652" s="648" t="n">
        <v>0</v>
      </c>
      <c r="AG652" s="648" t="n">
        <v>0</v>
      </c>
      <c r="AH652" s="648" t="n">
        <v>0</v>
      </c>
      <c r="AI652" s="648" t="n">
        <v>0</v>
      </c>
      <c r="AJ652" s="648" t="n">
        <v>0</v>
      </c>
      <c r="AK652" s="648" t="n">
        <v>0</v>
      </c>
      <c r="AL652" s="648" t="n">
        <v>0</v>
      </c>
      <c r="AM652" s="421">
        <f>SUM(AB652:AL656)</f>
        <v/>
      </c>
      <c r="AN652" s="726" t="n"/>
      <c r="AU652" s="1240" t="n"/>
      <c r="AV652" s="1240" t="n"/>
    </row>
    <row r="653" ht="17.1" customHeight="1">
      <c r="A653" s="973" t="n"/>
      <c r="B653" s="971" t="n"/>
      <c r="C653" s="972" t="n"/>
      <c r="D653" s="973"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73"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73"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73"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75" t="n"/>
      <c r="E657" s="975" t="n"/>
      <c r="F657" s="998" t="n"/>
      <c r="G657" s="998" t="n"/>
      <c r="H657" s="975" t="n"/>
      <c r="I657" s="975" t="n"/>
      <c r="J657" s="975" t="n"/>
      <c r="K657" s="1189">
        <f>K652=L657</f>
        <v/>
      </c>
      <c r="L657" s="491">
        <f>SUM(L652:L656)</f>
        <v/>
      </c>
      <c r="M657" s="1190" t="inlineStr">
        <is>
          <t xml:space="preserve">“Verdadero” indica que la cantidad por lote, coincide con el saldo que inicia al mes siguiente. "Falso" no coinicide. </t>
        </is>
      </c>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413">
        <f>JUNIO!K658</f>
        <v/>
      </c>
      <c r="E658" s="339">
        <f>H254</f>
        <v/>
      </c>
      <c r="F658" s="338" t="n">
        <v>2890</v>
      </c>
      <c r="G658" s="338" t="n">
        <v>32</v>
      </c>
      <c r="H658" s="1235">
        <f>+F658+G658</f>
        <v/>
      </c>
      <c r="I658" s="340">
        <f>+AM658</f>
        <v/>
      </c>
      <c r="J658" s="341">
        <f>+H658+I658</f>
        <v/>
      </c>
      <c r="K658" s="583">
        <f>+(D658+E658)-(J658)</f>
        <v/>
      </c>
      <c r="L658" s="253" t="n">
        <v>261</v>
      </c>
      <c r="M658" s="254" t="inlineStr">
        <is>
          <t>0644S4022</t>
        </is>
      </c>
      <c r="N658" s="254" t="inlineStr">
        <is>
          <t>Serum</t>
        </is>
      </c>
      <c r="O658" s="1183" t="inlineStr">
        <is>
          <t>30/09/2029</t>
        </is>
      </c>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v>1240</v>
      </c>
      <c r="AA658" s="648" t="n">
        <v>390</v>
      </c>
      <c r="AB658" s="649">
        <f>+Z658+AA658</f>
        <v/>
      </c>
      <c r="AC658" s="648" t="n">
        <v>0</v>
      </c>
      <c r="AD658" s="648" t="n">
        <v>0</v>
      </c>
      <c r="AE658" s="648" t="n">
        <v>0</v>
      </c>
      <c r="AF658" s="648" t="n">
        <v>0</v>
      </c>
      <c r="AG658" s="648" t="n">
        <v>0</v>
      </c>
      <c r="AH658" s="648" t="n">
        <v>0</v>
      </c>
      <c r="AI658" s="648" t="n">
        <v>0</v>
      </c>
      <c r="AJ658" s="648" t="n">
        <v>0</v>
      </c>
      <c r="AK658" s="648" t="n">
        <v>0</v>
      </c>
      <c r="AL658" s="648" t="n">
        <v>0</v>
      </c>
      <c r="AM658" s="421">
        <f>SUM(AB658:AL662)</f>
        <v/>
      </c>
      <c r="AN658" s="726" t="n"/>
      <c r="AU658" s="1240" t="n"/>
      <c r="AV658" s="1240" t="n"/>
    </row>
    <row r="659" ht="17.1" customHeight="1">
      <c r="A659" s="973" t="n"/>
      <c r="B659" s="971" t="n"/>
      <c r="C659" s="972" t="n"/>
      <c r="D659" s="973" t="n"/>
      <c r="E659" s="973" t="n"/>
      <c r="F659" s="994" t="n"/>
      <c r="G659" s="994" t="n"/>
      <c r="H659" s="973" t="n"/>
      <c r="I659" s="973" t="n"/>
      <c r="J659" s="973" t="n"/>
      <c r="K659" s="973" t="n"/>
      <c r="L659" s="253" t="n">
        <v>242</v>
      </c>
      <c r="M659" s="254" t="inlineStr">
        <is>
          <t>0643S4003</t>
        </is>
      </c>
      <c r="N659" s="254" t="inlineStr">
        <is>
          <t>Serum</t>
        </is>
      </c>
      <c r="O659" s="1183" t="inlineStr">
        <is>
          <t>31/08/2028</t>
        </is>
      </c>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73" t="n"/>
      <c r="E660" s="973" t="n"/>
      <c r="F660" s="994" t="n"/>
      <c r="G660" s="994" t="n"/>
      <c r="H660" s="973" t="n"/>
      <c r="I660" s="973" t="n"/>
      <c r="J660" s="973" t="n"/>
      <c r="K660" s="973" t="n"/>
      <c r="L660" s="253" t="n">
        <v>2845</v>
      </c>
      <c r="M660" s="254" t="inlineStr">
        <is>
          <t>0685I140</t>
        </is>
      </c>
      <c r="N660" s="254" t="inlineStr">
        <is>
          <t>Serum</t>
        </is>
      </c>
      <c r="O660" s="1183" t="inlineStr">
        <is>
          <t>30/11/2030</t>
        </is>
      </c>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73" t="n"/>
      <c r="E661" s="973" t="n"/>
      <c r="F661" s="994" t="n"/>
      <c r="G661" s="994" t="n"/>
      <c r="H661" s="973" t="n"/>
      <c r="I661" s="973" t="n"/>
      <c r="J661" s="973" t="n"/>
      <c r="K661" s="973" t="n"/>
      <c r="L661" s="253" t="n"/>
      <c r="M661" s="254" t="n"/>
      <c r="N661" s="254" t="inlineStr"/>
      <c r="O661" s="1183" t="inlineStr"/>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73"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75" t="n"/>
      <c r="E663" s="975" t="n"/>
      <c r="F663" s="998" t="n"/>
      <c r="G663" s="998" t="n"/>
      <c r="H663" s="975" t="n"/>
      <c r="I663" s="975" t="n"/>
      <c r="J663" s="975" t="n"/>
      <c r="K663" s="1189">
        <f>K658=L663</f>
        <v/>
      </c>
      <c r="L663" s="491">
        <f>SUM(L658:L662)</f>
        <v/>
      </c>
      <c r="M663" s="1190" t="inlineStr">
        <is>
          <t xml:space="preserve">“Verdadero” indica que la cantidad por lote, coincide con el saldo que inicia al mes siguiente. "Falso" no coinicide. </t>
        </is>
      </c>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413">
        <f>JUNIO!K664</f>
        <v/>
      </c>
      <c r="E664" s="339">
        <f>H260</f>
        <v/>
      </c>
      <c r="F664" s="338" t="n"/>
      <c r="G664" s="338" t="n"/>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c r="AA664" s="648" t="n">
        <v>0</v>
      </c>
      <c r="AB664" s="649">
        <f>+Z664+AA664</f>
        <v/>
      </c>
      <c r="AC664" s="648" t="n">
        <v>0</v>
      </c>
      <c r="AD664" s="648" t="n">
        <v>0</v>
      </c>
      <c r="AE664" s="648" t="n">
        <v>0</v>
      </c>
      <c r="AF664" s="648" t="n">
        <v>0</v>
      </c>
      <c r="AG664" s="648" t="n">
        <v>0</v>
      </c>
      <c r="AH664" s="648" t="n">
        <v>0</v>
      </c>
      <c r="AI664" s="648" t="n">
        <v>0</v>
      </c>
      <c r="AJ664" s="648" t="n">
        <v>0</v>
      </c>
      <c r="AK664" s="648" t="n">
        <v>0</v>
      </c>
      <c r="AL664" s="648" t="n">
        <v>0</v>
      </c>
      <c r="AM664" s="421">
        <f>SUM(AB664:AL668)</f>
        <v/>
      </c>
      <c r="AN664" s="726" t="n"/>
      <c r="AU664" s="1240" t="n"/>
      <c r="AV664" s="1240" t="n"/>
    </row>
    <row r="665" ht="17.1" customHeight="1">
      <c r="A665" s="973" t="n"/>
      <c r="B665" s="971" t="n"/>
      <c r="C665" s="972" t="n"/>
      <c r="D665" s="973"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73"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73"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73"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75" t="n"/>
      <c r="E669" s="975" t="n"/>
      <c r="F669" s="998" t="n"/>
      <c r="G669" s="998" t="n"/>
      <c r="H669" s="975" t="n"/>
      <c r="I669" s="975" t="n"/>
      <c r="J669" s="975" t="n"/>
      <c r="K669" s="1189">
        <f>K664=L669</f>
        <v/>
      </c>
      <c r="L669" s="491">
        <f>SUM(L664:L668)</f>
        <v/>
      </c>
      <c r="M669" s="1190" t="inlineStr">
        <is>
          <t xml:space="preserve">“Verdadero” indica que la cantidad por lote, coincide con el saldo que inicia al mes siguiente. "Falso" no coinicide. </t>
        </is>
      </c>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413">
        <f>JUNIO!K670</f>
        <v/>
      </c>
      <c r="E670" s="339">
        <f>H266</f>
        <v/>
      </c>
      <c r="F670" s="338" t="n">
        <v>0</v>
      </c>
      <c r="G670" s="338" t="n">
        <v>0</v>
      </c>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v>0</v>
      </c>
      <c r="AA670" s="648" t="n">
        <v>0</v>
      </c>
      <c r="AB670" s="649">
        <f>+Z670+AA670</f>
        <v/>
      </c>
      <c r="AC670" s="648" t="n">
        <v>0</v>
      </c>
      <c r="AD670" s="648" t="n">
        <v>0</v>
      </c>
      <c r="AE670" s="648" t="n">
        <v>0</v>
      </c>
      <c r="AF670" s="648" t="n">
        <v>0</v>
      </c>
      <c r="AG670" s="648" t="n">
        <v>0</v>
      </c>
      <c r="AH670" s="648" t="n">
        <v>0</v>
      </c>
      <c r="AI670" s="648" t="n">
        <v>0</v>
      </c>
      <c r="AJ670" s="648" t="n">
        <v>0</v>
      </c>
      <c r="AK670" s="648" t="n">
        <v>0</v>
      </c>
      <c r="AL670" s="648" t="n">
        <v>0</v>
      </c>
      <c r="AM670" s="421">
        <f>SUM(AB670:AL674)</f>
        <v/>
      </c>
      <c r="AN670" s="726" t="n"/>
      <c r="AU670" s="1240" t="n"/>
      <c r="AV670" s="1240" t="n"/>
    </row>
    <row r="671" ht="17.1" customHeight="1">
      <c r="A671" s="973" t="n"/>
      <c r="B671" s="971" t="n"/>
      <c r="C671" s="972" t="n"/>
      <c r="D671" s="973"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73"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73"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73"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75" t="n"/>
      <c r="E675" s="975" t="n"/>
      <c r="F675" s="998" t="n"/>
      <c r="G675" s="998" t="n"/>
      <c r="H675" s="975" t="n"/>
      <c r="I675" s="975" t="n"/>
      <c r="J675" s="975" t="n"/>
      <c r="K675" s="1189">
        <f>K670=L675</f>
        <v/>
      </c>
      <c r="L675" s="491">
        <f>SUM(L670:L674)</f>
        <v/>
      </c>
      <c r="M675" s="1190" t="inlineStr">
        <is>
          <t xml:space="preserve">“Verdadero” indica que la cantidad por lote, coincide con el saldo que inicia al mes siguiente. "Falso" no coinicide. </t>
        </is>
      </c>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413">
        <f>JUNIO!K676</f>
        <v/>
      </c>
      <c r="E676" s="339">
        <f>H272</f>
        <v/>
      </c>
      <c r="F676" s="338" t="n">
        <v>2469</v>
      </c>
      <c r="G676" s="338" t="n">
        <v>43</v>
      </c>
      <c r="H676" s="1235">
        <f>+F676+G676</f>
        <v/>
      </c>
      <c r="I676" s="340">
        <f>+AM676</f>
        <v/>
      </c>
      <c r="J676" s="341">
        <f>+H676+I676</f>
        <v/>
      </c>
      <c r="K676" s="583">
        <f>+(D676+E676)-(J676)</f>
        <v/>
      </c>
      <c r="L676" s="253" t="n"/>
      <c r="M676" s="254" t="n"/>
      <c r="N676" s="254" t="inlineStr"/>
      <c r="O676" s="1183" t="inlineStr"/>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v>2912</v>
      </c>
      <c r="AA676" s="648" t="n">
        <v>747</v>
      </c>
      <c r="AB676" s="649">
        <f>+Z676+AA676</f>
        <v/>
      </c>
      <c r="AC676" s="648" t="n">
        <v>0</v>
      </c>
      <c r="AD676" s="648" t="n">
        <v>0</v>
      </c>
      <c r="AE676" s="648" t="n">
        <v>0</v>
      </c>
      <c r="AF676" s="648" t="n">
        <v>0</v>
      </c>
      <c r="AG676" s="648" t="n">
        <v>0</v>
      </c>
      <c r="AH676" s="648" t="n">
        <v>0</v>
      </c>
      <c r="AI676" s="648" t="n">
        <v>0</v>
      </c>
      <c r="AJ676" s="648" t="n">
        <v>0</v>
      </c>
      <c r="AK676" s="648" t="n">
        <v>0</v>
      </c>
      <c r="AL676" s="648" t="n">
        <v>0</v>
      </c>
      <c r="AM676" s="421">
        <f>SUM(AB676:AL680)</f>
        <v/>
      </c>
      <c r="AN676" s="726" t="n"/>
      <c r="AU676" s="1240" t="n"/>
      <c r="AV676" s="1240" t="n"/>
    </row>
    <row r="677" ht="17.1" customHeight="1">
      <c r="A677" s="973" t="n"/>
      <c r="B677" s="971" t="n"/>
      <c r="C677" s="972" t="n"/>
      <c r="D677" s="973" t="n"/>
      <c r="E677" s="973" t="n"/>
      <c r="F677" s="994" t="n"/>
      <c r="G677" s="994" t="n"/>
      <c r="H677" s="973" t="n"/>
      <c r="I677" s="973" t="n"/>
      <c r="J677" s="973" t="n"/>
      <c r="K677" s="973" t="n"/>
      <c r="L677" s="253" t="n">
        <v>4650</v>
      </c>
      <c r="M677" s="254" t="inlineStr">
        <is>
          <t>Y4X16</t>
        </is>
      </c>
      <c r="N677" s="254" t="inlineStr">
        <is>
          <t>Sanofi Pasteur</t>
        </is>
      </c>
      <c r="O677" s="1183" t="inlineStr">
        <is>
          <t>30/06/2027</t>
        </is>
      </c>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73" t="n"/>
      <c r="E678" s="973" t="n"/>
      <c r="F678" s="994" t="n"/>
      <c r="G678" s="994" t="n"/>
      <c r="H678" s="973" t="n"/>
      <c r="I678" s="973" t="n"/>
      <c r="J678" s="973" t="n"/>
      <c r="K678" s="973" t="n"/>
      <c r="L678" s="253" t="n">
        <v>1290</v>
      </c>
      <c r="M678" s="254" t="inlineStr">
        <is>
          <t>V4X181V</t>
        </is>
      </c>
      <c r="N678" s="254" t="inlineStr">
        <is>
          <t>Sanofi Pasteur</t>
        </is>
      </c>
      <c r="O678" s="1183" t="inlineStr">
        <is>
          <t>30/11/2024</t>
        </is>
      </c>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73" t="n"/>
      <c r="E679" s="973" t="n"/>
      <c r="F679" s="994" t="n"/>
      <c r="G679" s="994" t="n"/>
      <c r="H679" s="973" t="n"/>
      <c r="I679" s="973" t="n"/>
      <c r="J679" s="973" t="n"/>
      <c r="K679" s="973" t="n"/>
      <c r="L679" s="253" t="n">
        <v>630</v>
      </c>
      <c r="M679" s="254" t="inlineStr">
        <is>
          <t>063</t>
        </is>
      </c>
      <c r="N679" s="254" t="inlineStr">
        <is>
          <t>CHUMAKOV</t>
        </is>
      </c>
      <c r="O679" s="1183" t="inlineStr">
        <is>
          <t>31/10/2027</t>
        </is>
      </c>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73" t="n"/>
      <c r="E680" s="973" t="n"/>
      <c r="F680" s="994" t="n"/>
      <c r="G680" s="994" t="n"/>
      <c r="H680" s="973" t="n"/>
      <c r="I680" s="973" t="n"/>
      <c r="J680" s="973" t="n"/>
      <c r="K680" s="975" t="n"/>
      <c r="L680" s="253" t="n"/>
      <c r="M680" s="254" t="n"/>
      <c r="N680" s="254" t="inlineStr"/>
      <c r="O680" s="1183" t="inlineStr"/>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75" t="n"/>
      <c r="E681" s="975" t="n"/>
      <c r="F681" s="998" t="n"/>
      <c r="G681" s="998" t="n"/>
      <c r="H681" s="975" t="n"/>
      <c r="I681" s="975" t="n"/>
      <c r="J681" s="975" t="n"/>
      <c r="K681" s="1189">
        <f>K676=L681</f>
        <v/>
      </c>
      <c r="L681" s="491">
        <f>SUM(L676:L680)</f>
        <v/>
      </c>
      <c r="M681" s="1190" t="inlineStr">
        <is>
          <t xml:space="preserve">“Verdadero” indica que la cantidad por lote, coincide con el saldo que inicia al mes siguiente. "Falso" no coinicide. </t>
        </is>
      </c>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413">
        <f>JUNIO!K682</f>
        <v/>
      </c>
      <c r="E682" s="339">
        <f>H278</f>
        <v/>
      </c>
      <c r="F682" s="338" t="n">
        <v>1415</v>
      </c>
      <c r="G682" s="338" t="n">
        <v>40</v>
      </c>
      <c r="H682" s="1235">
        <f>+F682+G682</f>
        <v/>
      </c>
      <c r="I682" s="340">
        <f>+AM682</f>
        <v/>
      </c>
      <c r="J682" s="341">
        <f>+H682+I682</f>
        <v/>
      </c>
      <c r="K682" s="583">
        <f>+(D682+E682)-(J682)</f>
        <v/>
      </c>
      <c r="L682" s="253" t="n">
        <v>2800</v>
      </c>
      <c r="M682" s="254" t="inlineStr">
        <is>
          <t>90250603-1</t>
        </is>
      </c>
      <c r="N682" s="254" t="inlineStr">
        <is>
          <t>Sinovac</t>
        </is>
      </c>
      <c r="O682" s="1183" t="inlineStr">
        <is>
          <t>05/06/2029</t>
        </is>
      </c>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v>0</v>
      </c>
      <c r="AA682" s="648" t="n">
        <v>0</v>
      </c>
      <c r="AB682" s="649">
        <f>+Z682+AA682</f>
        <v/>
      </c>
      <c r="AC682" s="648" t="n">
        <v>0</v>
      </c>
      <c r="AD682" s="648" t="n">
        <v>0</v>
      </c>
      <c r="AE682" s="648" t="n">
        <v>0</v>
      </c>
      <c r="AF682" s="648" t="n">
        <v>3</v>
      </c>
      <c r="AG682" s="648" t="n">
        <v>0</v>
      </c>
      <c r="AH682" s="648" t="n">
        <v>0</v>
      </c>
      <c r="AI682" s="648" t="n">
        <v>0</v>
      </c>
      <c r="AJ682" s="648" t="n">
        <v>0</v>
      </c>
      <c r="AK682" s="648" t="n">
        <v>0</v>
      </c>
      <c r="AL682" s="648" t="n">
        <v>0</v>
      </c>
      <c r="AM682" s="421">
        <f>SUM(AB682:AL686)</f>
        <v/>
      </c>
      <c r="AN682" s="726" t="n"/>
      <c r="AU682" s="1240" t="n"/>
      <c r="AV682" s="1240" t="n"/>
    </row>
    <row r="683" ht="17.1" customHeight="1">
      <c r="A683" s="973" t="n"/>
      <c r="B683" s="971" t="n"/>
      <c r="C683" s="972" t="n"/>
      <c r="D683" s="973" t="n"/>
      <c r="E683" s="973" t="n"/>
      <c r="F683" s="994" t="n"/>
      <c r="G683" s="994" t="n"/>
      <c r="H683" s="973" t="n"/>
      <c r="I683" s="973" t="n"/>
      <c r="J683" s="973" t="n"/>
      <c r="K683" s="973" t="n"/>
      <c r="L683" s="253" t="n"/>
      <c r="M683" s="254" t="n"/>
      <c r="N683" s="254" t="n"/>
      <c r="O683" s="1183" t="inlineStr">
        <is>
          <t>03/06/2027</t>
        </is>
      </c>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73" t="n"/>
      <c r="E684" s="973" t="n"/>
      <c r="F684" s="994" t="n"/>
      <c r="G684" s="994" t="n"/>
      <c r="H684" s="973" t="n"/>
      <c r="I684" s="973" t="n"/>
      <c r="J684" s="973" t="n"/>
      <c r="K684" s="973" t="n"/>
      <c r="L684" s="253" t="n"/>
      <c r="M684" s="254" t="n"/>
      <c r="N684" s="254" t="n"/>
      <c r="O684" s="1183" t="inlineStr">
        <is>
          <t>16/10/2026</t>
        </is>
      </c>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73"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73"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75" t="n"/>
      <c r="E687" s="975" t="n"/>
      <c r="F687" s="998" t="n"/>
      <c r="G687" s="998" t="n"/>
      <c r="H687" s="975" t="n"/>
      <c r="I687" s="975" t="n"/>
      <c r="J687" s="975" t="n"/>
      <c r="K687" s="1189">
        <f>K682=L687</f>
        <v/>
      </c>
      <c r="L687" s="491">
        <f>SUM(L682:L686)</f>
        <v/>
      </c>
      <c r="M687" s="1190" t="inlineStr">
        <is>
          <t xml:space="preserve">“Verdadero” indica que la cantidad por lote, coincide con el saldo que inicia al mes siguiente. "Falso" no coinicide. </t>
        </is>
      </c>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413">
        <f>JUNIO!K688</f>
        <v/>
      </c>
      <c r="E688" s="339">
        <f>H284</f>
        <v/>
      </c>
      <c r="F688" s="338" t="n"/>
      <c r="G688" s="338" t="n"/>
      <c r="H688" s="1235">
        <f>+F688+G688</f>
        <v/>
      </c>
      <c r="I688" s="340">
        <f>+AM688</f>
        <v/>
      </c>
      <c r="J688" s="341">
        <f>+H688+I688</f>
        <v/>
      </c>
      <c r="K688" s="583">
        <f>+(D688+E688)-(J688)</f>
        <v/>
      </c>
      <c r="L688" s="253" t="n"/>
      <c r="M688" s="254" t="n"/>
      <c r="N688" s="254" t="inlineStr"/>
      <c r="O688" s="1183" t="inlineStr"/>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v>0</v>
      </c>
      <c r="AA688" s="648" t="n">
        <v>0</v>
      </c>
      <c r="AB688" s="649">
        <f>+Z688+AA688</f>
        <v/>
      </c>
      <c r="AC688" s="648" t="n">
        <v>0</v>
      </c>
      <c r="AD688" s="648" t="n">
        <v>0</v>
      </c>
      <c r="AE688" s="648" t="n">
        <v>0</v>
      </c>
      <c r="AF688" s="648" t="n">
        <v>0</v>
      </c>
      <c r="AG688" s="648" t="n">
        <v>0</v>
      </c>
      <c r="AH688" s="648" t="n">
        <v>0</v>
      </c>
      <c r="AI688" s="648" t="n">
        <v>0</v>
      </c>
      <c r="AJ688" s="648" t="n">
        <v>0</v>
      </c>
      <c r="AK688" s="648" t="n">
        <v>0</v>
      </c>
      <c r="AL688" s="648" t="n">
        <v>0</v>
      </c>
      <c r="AM688" s="421">
        <f>SUM(AB688:AL692)</f>
        <v/>
      </c>
      <c r="AN688" s="726" t="n"/>
      <c r="AU688" s="1240" t="n"/>
      <c r="AV688" s="1240" t="n"/>
    </row>
    <row r="689" ht="17.1" customHeight="1">
      <c r="A689" s="973" t="n"/>
      <c r="B689" s="971" t="n"/>
      <c r="C689" s="972" t="n"/>
      <c r="D689" s="973" t="n"/>
      <c r="E689" s="973" t="n"/>
      <c r="F689" s="994" t="n"/>
      <c r="G689" s="994" t="n"/>
      <c r="H689" s="973" t="n"/>
      <c r="I689" s="973" t="n"/>
      <c r="J689" s="973" t="n"/>
      <c r="K689" s="973" t="n"/>
      <c r="L689" s="253" t="n"/>
      <c r="M689" s="254" t="n"/>
      <c r="N689" s="254" t="inlineStr"/>
      <c r="O689" s="1183" t="inlineStr"/>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73" t="n"/>
      <c r="E690" s="973" t="n"/>
      <c r="F690" s="994" t="n"/>
      <c r="G690" s="994" t="n"/>
      <c r="H690" s="973" t="n"/>
      <c r="I690" s="973" t="n"/>
      <c r="J690" s="973" t="n"/>
      <c r="K690" s="973" t="n"/>
      <c r="L690" s="253" t="n"/>
      <c r="M690" s="254" t="n"/>
      <c r="N690" s="254" t="inlineStr"/>
      <c r="O690" s="1183" t="inlineStr"/>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73" t="n"/>
      <c r="E691" s="973" t="n"/>
      <c r="F691" s="994" t="n"/>
      <c r="G691" s="994" t="n"/>
      <c r="H691" s="973" t="n"/>
      <c r="I691" s="973" t="n"/>
      <c r="J691" s="973" t="n"/>
      <c r="K691" s="973" t="n"/>
      <c r="L691" s="253" t="n"/>
      <c r="M691" s="254" t="n"/>
      <c r="N691" s="254" t="inlineStr"/>
      <c r="O691" s="1183" t="inlineStr"/>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73" t="n"/>
      <c r="E692" s="973" t="n"/>
      <c r="F692" s="994" t="n"/>
      <c r="G692" s="994" t="n"/>
      <c r="H692" s="973" t="n"/>
      <c r="I692" s="973" t="n"/>
      <c r="J692" s="973" t="n"/>
      <c r="K692" s="975" t="n"/>
      <c r="L692" s="253" t="n"/>
      <c r="M692" s="254" t="n"/>
      <c r="N692" s="254" t="inlineStr"/>
      <c r="O692" s="1183" t="inlineStr"/>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75" t="n"/>
      <c r="E693" s="975" t="n"/>
      <c r="F693" s="998" t="n"/>
      <c r="G693" s="998" t="n"/>
      <c r="H693" s="975" t="n"/>
      <c r="I693" s="975" t="n"/>
      <c r="J693" s="975" t="n"/>
      <c r="K693" s="1189">
        <f>K688=L693</f>
        <v/>
      </c>
      <c r="L693" s="491">
        <f>SUM(L688:L692)</f>
        <v/>
      </c>
      <c r="M693" s="1190" t="inlineStr">
        <is>
          <t xml:space="preserve">“Verdadero” indica que la cantidad por lote, coincide con el saldo que inicia al mes siguiente. "Falso" no coinicide. </t>
        </is>
      </c>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413">
        <f>JUNIO!K694</f>
        <v/>
      </c>
      <c r="E694" s="339">
        <f>H290</f>
        <v/>
      </c>
      <c r="F694" s="338" t="n">
        <v>442</v>
      </c>
      <c r="G694" s="338" t="n">
        <v>11</v>
      </c>
      <c r="H694" s="1235">
        <f>+F694+G694</f>
        <v/>
      </c>
      <c r="I694" s="340">
        <f>+AM694</f>
        <v/>
      </c>
      <c r="J694" s="341">
        <f>+H694+I694</f>
        <v/>
      </c>
      <c r="K694" s="583">
        <f>+(D694+E694)-(J694)</f>
        <v/>
      </c>
      <c r="L694" s="253" t="n">
        <v>500</v>
      </c>
      <c r="M694" s="254" t="inlineStr">
        <is>
          <t>0654S4016</t>
        </is>
      </c>
      <c r="N694" s="254" t="inlineStr">
        <is>
          <t>Serum</t>
        </is>
      </c>
      <c r="O694" s="1183" t="inlineStr">
        <is>
          <t>31/07/2029</t>
        </is>
      </c>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v>0</v>
      </c>
      <c r="AA694" s="648" t="n">
        <v>0</v>
      </c>
      <c r="AB694" s="649">
        <f>+Z694+AA694</f>
        <v/>
      </c>
      <c r="AC694" s="648" t="n">
        <v>0</v>
      </c>
      <c r="AD694" s="648" t="n">
        <v>0</v>
      </c>
      <c r="AE694" s="648" t="n">
        <v>0</v>
      </c>
      <c r="AF694" s="648" t="n">
        <v>0</v>
      </c>
      <c r="AG694" s="648" t="n">
        <v>0</v>
      </c>
      <c r="AH694" s="648" t="n">
        <v>0</v>
      </c>
      <c r="AI694" s="648" t="n">
        <v>0</v>
      </c>
      <c r="AJ694" s="648" t="n">
        <v>0</v>
      </c>
      <c r="AK694" s="648" t="n">
        <v>0</v>
      </c>
      <c r="AL694" s="648" t="n">
        <v>0</v>
      </c>
      <c r="AM694" s="421">
        <f>SUM(AB694:AL698)</f>
        <v/>
      </c>
      <c r="AN694" s="726" t="n"/>
      <c r="AU694" s="1240" t="n"/>
      <c r="AV694" s="1240" t="n"/>
    </row>
    <row r="695" ht="17.1" customHeight="1">
      <c r="A695" s="973" t="n"/>
      <c r="B695" s="971" t="n"/>
      <c r="C695" s="972" t="n"/>
      <c r="D695" s="973" t="n"/>
      <c r="E695" s="973" t="n"/>
      <c r="F695" s="994" t="n"/>
      <c r="G695" s="994" t="n"/>
      <c r="H695" s="973" t="n"/>
      <c r="I695" s="973" t="n"/>
      <c r="J695" s="973" t="n"/>
      <c r="K695" s="973" t="n"/>
      <c r="L695" s="253" t="n">
        <v>111</v>
      </c>
      <c r="M695" s="254" t="inlineStr">
        <is>
          <t>0654S4015</t>
        </is>
      </c>
      <c r="N695" s="254" t="inlineStr">
        <is>
          <t>Serum</t>
        </is>
      </c>
      <c r="O695" s="1183" t="inlineStr">
        <is>
          <t>31/07/2029</t>
        </is>
      </c>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73" t="n"/>
      <c r="E696" s="973" t="n"/>
      <c r="F696" s="994" t="n"/>
      <c r="G696" s="994" t="n"/>
      <c r="H696" s="973" t="n"/>
      <c r="I696" s="973" t="n"/>
      <c r="J696" s="973" t="n"/>
      <c r="K696" s="973" t="n"/>
      <c r="L696" s="253" t="n"/>
      <c r="M696" s="254" t="n"/>
      <c r="N696" s="254" t="inlineStr"/>
      <c r="O696" s="1183" t="inlineStr"/>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73" t="n"/>
      <c r="E697" s="973" t="n"/>
      <c r="F697" s="994" t="n"/>
      <c r="G697" s="994" t="n"/>
      <c r="H697" s="973" t="n"/>
      <c r="I697" s="973" t="n"/>
      <c r="J697" s="973" t="n"/>
      <c r="K697" s="973" t="n"/>
      <c r="L697" s="253" t="n"/>
      <c r="M697" s="254" t="n"/>
      <c r="N697" s="254" t="inlineStr"/>
      <c r="O697" s="1183" t="inlineStr"/>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73" t="n"/>
      <c r="E698" s="973" t="n"/>
      <c r="F698" s="994" t="n"/>
      <c r="G698" s="994" t="n"/>
      <c r="H698" s="973" t="n"/>
      <c r="I698" s="973" t="n"/>
      <c r="J698" s="973" t="n"/>
      <c r="K698" s="975" t="n"/>
      <c r="L698" s="253" t="n"/>
      <c r="M698" s="254" t="n"/>
      <c r="N698" s="254" t="inlineStr"/>
      <c r="O698" s="1183" t="inlineStr"/>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75" t="n"/>
      <c r="E699" s="975" t="n"/>
      <c r="F699" s="998" t="n"/>
      <c r="G699" s="998" t="n"/>
      <c r="H699" s="975" t="n"/>
      <c r="I699" s="975" t="n"/>
      <c r="J699" s="975" t="n"/>
      <c r="K699" s="1189">
        <f>K694=L699</f>
        <v/>
      </c>
      <c r="L699" s="491">
        <f>SUM(L694:L698)</f>
        <v/>
      </c>
      <c r="M699" s="1190" t="inlineStr">
        <is>
          <t xml:space="preserve">“Verdadero” indica que la cantidad por lote, coincide con el saldo que inicia al mes siguiente. "Falso" no coinicide. </t>
        </is>
      </c>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413">
        <f>JUNIO!K700</f>
        <v/>
      </c>
      <c r="E700" s="339">
        <f>H296</f>
        <v/>
      </c>
      <c r="F700" s="338" t="n">
        <v>0</v>
      </c>
      <c r="G700" s="338" t="n">
        <v>0</v>
      </c>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v>0</v>
      </c>
      <c r="AA700" s="648" t="n">
        <v>0</v>
      </c>
      <c r="AB700" s="649">
        <f>+Z700+AA700</f>
        <v/>
      </c>
      <c r="AC700" s="648" t="n">
        <v>0</v>
      </c>
      <c r="AD700" s="648" t="n">
        <v>0</v>
      </c>
      <c r="AE700" s="648" t="n">
        <v>0</v>
      </c>
      <c r="AF700" s="648" t="n">
        <v>0</v>
      </c>
      <c r="AG700" s="648" t="n">
        <v>0</v>
      </c>
      <c r="AH700" s="648" t="n">
        <v>0</v>
      </c>
      <c r="AI700" s="648" t="n">
        <v>0</v>
      </c>
      <c r="AJ700" s="648" t="n">
        <v>0</v>
      </c>
      <c r="AK700" s="648" t="n">
        <v>0</v>
      </c>
      <c r="AL700" s="648" t="n">
        <v>0</v>
      </c>
      <c r="AM700" s="421">
        <f>SUM(AB700:AL704)</f>
        <v/>
      </c>
      <c r="AN700" s="726" t="n"/>
      <c r="AU700" s="1240" t="n"/>
      <c r="AV700" s="1240" t="n"/>
    </row>
    <row r="701" ht="17.1" customHeight="1">
      <c r="A701" s="973" t="n"/>
      <c r="B701" s="971" t="n"/>
      <c r="C701" s="972" t="n"/>
      <c r="D701" s="973"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73"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73"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73"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75" t="n"/>
      <c r="E705" s="975" t="n"/>
      <c r="F705" s="998" t="n"/>
      <c r="G705" s="998" t="n"/>
      <c r="H705" s="975" t="n"/>
      <c r="I705" s="975" t="n"/>
      <c r="J705" s="975" t="n"/>
      <c r="K705" s="1189">
        <f>K700=L705</f>
        <v/>
      </c>
      <c r="L705" s="491">
        <f>SUM(L700:L704)</f>
        <v/>
      </c>
      <c r="M705" s="1190" t="inlineStr">
        <is>
          <t xml:space="preserve">“Verdadero” indica que la cantidad por lote, coincide con el saldo que inicia al mes siguiente. "Falso" no coinicide. </t>
        </is>
      </c>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647"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413">
        <f>JUNIO!K707</f>
        <v/>
      </c>
      <c r="E707" s="339">
        <f>H303</f>
        <v/>
      </c>
      <c r="F707" s="338" t="n">
        <v>2279</v>
      </c>
      <c r="G707" s="338" t="n"/>
      <c r="H707" s="1235">
        <f>+F707+G707</f>
        <v/>
      </c>
      <c r="I707" s="340">
        <f>+AM707</f>
        <v/>
      </c>
      <c r="J707" s="341">
        <f>+H707+I707</f>
        <v/>
      </c>
      <c r="K707" s="583">
        <f>+(D707+E707)-(J707)</f>
        <v/>
      </c>
      <c r="L707" s="253" t="n"/>
      <c r="M707" s="254" t="n"/>
      <c r="N707" s="254" t="n"/>
      <c r="O707" s="1183" t="n"/>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v>1</v>
      </c>
      <c r="AA707" s="648" t="n">
        <v>0</v>
      </c>
      <c r="AB707" s="649">
        <f>+Z707+AA707</f>
        <v/>
      </c>
      <c r="AC707" s="648" t="n">
        <v>0</v>
      </c>
      <c r="AD707" s="648" t="n">
        <v>0</v>
      </c>
      <c r="AE707" s="648" t="n">
        <v>0</v>
      </c>
      <c r="AF707" s="648" t="n">
        <v>0</v>
      </c>
      <c r="AG707" s="648" t="n">
        <v>0</v>
      </c>
      <c r="AH707" s="648" t="n">
        <v>1</v>
      </c>
      <c r="AI707" s="648" t="n">
        <v>0</v>
      </c>
      <c r="AJ707" s="648" t="n">
        <v>0</v>
      </c>
      <c r="AK707" s="648" t="n">
        <v>0</v>
      </c>
      <c r="AL707" s="648" t="n">
        <v>0</v>
      </c>
      <c r="AM707" s="421">
        <f>SUM(AB707:AL712)</f>
        <v/>
      </c>
      <c r="AN707" s="726" t="n"/>
      <c r="AU707" s="1240" t="n"/>
      <c r="AV707" s="1240" t="n"/>
    </row>
    <row r="708" ht="17.1" customHeight="1">
      <c r="A708" s="973" t="n"/>
      <c r="B708" s="971" t="n"/>
      <c r="C708" s="972" t="n"/>
      <c r="D708" s="973" t="n"/>
      <c r="E708" s="973" t="n"/>
      <c r="F708" s="994" t="n"/>
      <c r="G708" s="994" t="n"/>
      <c r="H708" s="973" t="n"/>
      <c r="I708" s="973" t="n"/>
      <c r="J708" s="973" t="n"/>
      <c r="K708" s="973" t="n"/>
      <c r="L708" s="253" t="n"/>
      <c r="M708" s="254" t="n"/>
      <c r="N708" s="254" t="n"/>
      <c r="O708" s="1183" t="n"/>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73" t="n"/>
      <c r="E709" s="973" t="n"/>
      <c r="F709" s="994" t="n"/>
      <c r="G709" s="994" t="n"/>
      <c r="H709" s="973" t="n"/>
      <c r="I709" s="973" t="n"/>
      <c r="J709" s="973" t="n"/>
      <c r="K709" s="973" t="n"/>
      <c r="L709" s="253" t="n"/>
      <c r="M709" s="254" t="n"/>
      <c r="N709" s="254" t="n"/>
      <c r="O709" s="1183" t="n"/>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73"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73" t="n"/>
      <c r="E711" s="973" t="n"/>
      <c r="F711" s="994" t="n"/>
      <c r="G711" s="994" t="n"/>
      <c r="H711" s="973" t="n"/>
      <c r="I711" s="973" t="n"/>
      <c r="J711" s="973" t="n"/>
      <c r="K711" s="973" t="n"/>
      <c r="L711" s="253" t="n"/>
      <c r="M711" s="254" t="n"/>
      <c r="N711" s="254" t="n"/>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73"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75" t="n"/>
      <c r="E713" s="975" t="n"/>
      <c r="F713" s="998" t="n"/>
      <c r="G713" s="998" t="n"/>
      <c r="H713" s="975" t="n"/>
      <c r="I713" s="975" t="n"/>
      <c r="J713" s="975" t="n"/>
      <c r="K713" s="1189">
        <f>K707=L713</f>
        <v/>
      </c>
      <c r="L713" s="491">
        <f>SUM(L707:L712)</f>
        <v/>
      </c>
      <c r="M713" s="1190" t="inlineStr">
        <is>
          <t xml:space="preserve">“Verdadero” indica que la cantidad por lote, coincide con el saldo que inicia al mes siguiente. "Falso" no coinicide. </t>
        </is>
      </c>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413">
        <f>JUNIO!K714</f>
        <v/>
      </c>
      <c r="E714" s="339">
        <f>H310</f>
        <v/>
      </c>
      <c r="F714" s="338" t="n"/>
      <c r="G714" s="338" t="n"/>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v>0</v>
      </c>
      <c r="AA714" s="648" t="n">
        <v>0</v>
      </c>
      <c r="AB714" s="649">
        <f>+Z714+AA714</f>
        <v/>
      </c>
      <c r="AC714" s="648" t="n">
        <v>0</v>
      </c>
      <c r="AD714" s="648" t="n">
        <v>0</v>
      </c>
      <c r="AE714" s="648" t="n">
        <v>0</v>
      </c>
      <c r="AF714" s="648" t="n">
        <v>0</v>
      </c>
      <c r="AG714" s="648" t="n">
        <v>0</v>
      </c>
      <c r="AH714" s="648" t="n">
        <v>0</v>
      </c>
      <c r="AI714" s="648" t="n">
        <v>0</v>
      </c>
      <c r="AJ714" s="648" t="n">
        <v>0</v>
      </c>
      <c r="AK714" s="648" t="n">
        <v>0</v>
      </c>
      <c r="AL714" s="648" t="n">
        <v>0</v>
      </c>
      <c r="AM714" s="421">
        <f>SUM(AB714:AL719)</f>
        <v/>
      </c>
      <c r="AN714" s="726" t="n"/>
      <c r="AU714" s="1240" t="n"/>
      <c r="AV714" s="1240" t="n"/>
    </row>
    <row r="715" ht="17.1" customHeight="1">
      <c r="A715" s="973" t="n"/>
      <c r="B715" s="971" t="n"/>
      <c r="C715" s="972" t="n"/>
      <c r="D715" s="973"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73"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73"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73"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73"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75"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413">
        <f>JUNIO!K721</f>
        <v/>
      </c>
      <c r="E721" s="339">
        <f>H317</f>
        <v/>
      </c>
      <c r="F721" s="338" t="n">
        <v>10317</v>
      </c>
      <c r="G721" s="338" t="n">
        <v>122</v>
      </c>
      <c r="H721" s="1235">
        <f>+F721+G721</f>
        <v/>
      </c>
      <c r="I721" s="340">
        <f>+AM721</f>
        <v/>
      </c>
      <c r="J721" s="341">
        <f>+H721+I721</f>
        <v/>
      </c>
      <c r="K721" s="583">
        <f>+(D721+E721)-(J721)</f>
        <v/>
      </c>
      <c r="L721" s="253" t="n">
        <v>12182</v>
      </c>
      <c r="M721" s="254" t="inlineStr">
        <is>
          <t>AR13158</t>
        </is>
      </c>
      <c r="N721" s="254" t="inlineStr">
        <is>
          <t>NUBENCO</t>
        </is>
      </c>
      <c r="O721" s="1183" t="inlineStr">
        <is>
          <t>31/03/2027</t>
        </is>
      </c>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v>0</v>
      </c>
      <c r="AA721" s="648" t="n">
        <v>0</v>
      </c>
      <c r="AB721" s="649">
        <f>+Z721+AA721</f>
        <v/>
      </c>
      <c r="AC721" s="648" t="n">
        <v>0</v>
      </c>
      <c r="AD721" s="648" t="n">
        <v>0</v>
      </c>
      <c r="AE721" s="648" t="n">
        <v>0</v>
      </c>
      <c r="AF721" s="648" t="n">
        <v>0</v>
      </c>
      <c r="AG721" s="648" t="n">
        <v>0</v>
      </c>
      <c r="AH721" s="648" t="n">
        <v>0</v>
      </c>
      <c r="AI721" s="648" t="n">
        <v>0</v>
      </c>
      <c r="AJ721" s="648" t="n">
        <v>0</v>
      </c>
      <c r="AK721" s="648" t="n">
        <v>0</v>
      </c>
      <c r="AL721" s="648" t="n">
        <v>0</v>
      </c>
      <c r="AM721" s="421">
        <f>SUM(AB721:AL726)</f>
        <v/>
      </c>
      <c r="AN721" s="726" t="n"/>
      <c r="AU721" s="1240" t="n"/>
      <c r="AV721" s="1240" t="n"/>
    </row>
    <row r="722" ht="17.1" customHeight="1">
      <c r="A722" s="973" t="n"/>
      <c r="B722" s="971" t="n"/>
      <c r="C722" s="972" t="n"/>
      <c r="D722" s="973" t="n"/>
      <c r="E722" s="973" t="n"/>
      <c r="F722" s="994" t="n"/>
      <c r="G722" s="994" t="n"/>
      <c r="H722" s="973" t="n"/>
      <c r="I722" s="973" t="n"/>
      <c r="J722" s="973" t="n"/>
      <c r="K722" s="973" t="n"/>
      <c r="L722" s="253" t="n">
        <v>3944</v>
      </c>
      <c r="M722" s="254" t="inlineStr">
        <is>
          <t>2407226</t>
        </is>
      </c>
      <c r="N722" s="254" t="inlineStr">
        <is>
          <t>SANAVITA</t>
        </is>
      </c>
      <c r="O722" s="1183" t="inlineStr">
        <is>
          <t>29/07/2029</t>
        </is>
      </c>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73" t="n"/>
      <c r="E723" s="973" t="n"/>
      <c r="F723" s="994" t="n"/>
      <c r="G723" s="994" t="n"/>
      <c r="H723" s="973" t="n"/>
      <c r="I723" s="973" t="n"/>
      <c r="J723" s="973" t="n"/>
      <c r="K723" s="973" t="n"/>
      <c r="L723" s="253" t="n">
        <v>302</v>
      </c>
      <c r="M723" s="254" t="inlineStr">
        <is>
          <t>AR13095</t>
        </is>
      </c>
      <c r="N723" s="254" t="inlineStr">
        <is>
          <t>NUBENCO</t>
        </is>
      </c>
      <c r="O723" s="1183" t="inlineStr">
        <is>
          <t>30/09/2026</t>
        </is>
      </c>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73" t="n"/>
      <c r="E724" s="973" t="n"/>
      <c r="F724" s="994" t="n"/>
      <c r="G724" s="994" t="n"/>
      <c r="H724" s="973" t="n"/>
      <c r="I724" s="973" t="n"/>
      <c r="J724" s="973" t="n"/>
      <c r="K724" s="973" t="n"/>
      <c r="L724" s="253" t="n">
        <v>2900</v>
      </c>
      <c r="M724" s="254" t="inlineStr">
        <is>
          <t>252216</t>
        </is>
      </c>
      <c r="N724" s="254" t="inlineStr">
        <is>
          <t>Fabricante</t>
        </is>
      </c>
      <c r="O724" s="1183" t="inlineStr">
        <is>
          <t>30/08/2027</t>
        </is>
      </c>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73" t="n"/>
      <c r="E725" s="973" t="n"/>
      <c r="F725" s="994" t="n"/>
      <c r="G725" s="994" t="n"/>
      <c r="H725" s="973" t="n"/>
      <c r="I725" s="973" t="n"/>
      <c r="J725" s="973" t="n"/>
      <c r="K725" s="973" t="n"/>
      <c r="L725" s="253" t="n"/>
      <c r="M725" s="254" t="n"/>
      <c r="N725" s="254" t="n"/>
      <c r="O725" s="1183" t="n"/>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73" t="n"/>
      <c r="E726" s="973" t="n"/>
      <c r="F726" s="994" t="n"/>
      <c r="G726" s="994" t="n"/>
      <c r="H726" s="973" t="n"/>
      <c r="I726" s="973" t="n"/>
      <c r="J726" s="973" t="n"/>
      <c r="K726" s="975" t="n"/>
      <c r="L726" s="253" t="n"/>
      <c r="M726" s="254" t="n"/>
      <c r="N726" s="254" t="n"/>
      <c r="O726" s="1183" t="n"/>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75" t="n"/>
      <c r="E727" s="975" t="n"/>
      <c r="F727" s="998" t="n"/>
      <c r="G727" s="998" t="n"/>
      <c r="H727" s="975" t="n"/>
      <c r="I727" s="975" t="n"/>
      <c r="J727" s="975" t="n"/>
      <c r="K727" s="1189">
        <f>K721=L727</f>
        <v/>
      </c>
      <c r="L727" s="491">
        <f>SUM(L721:L726)</f>
        <v/>
      </c>
      <c r="M727" s="1190" t="inlineStr">
        <is>
          <t xml:space="preserve">“Verdadero” indica que la cantidad por lote, coincide con el saldo que inicia al mes siguiente. "Falso" no coinicide. </t>
        </is>
      </c>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413">
        <f>JUNIO!K728</f>
        <v/>
      </c>
      <c r="E728" s="339">
        <f>H324</f>
        <v/>
      </c>
      <c r="F728" s="338" t="n">
        <v>0</v>
      </c>
      <c r="G728" s="338" t="n">
        <v>0</v>
      </c>
      <c r="H728" s="1235">
        <f>+F728+G728</f>
        <v/>
      </c>
      <c r="I728" s="340">
        <f>+AM728</f>
        <v/>
      </c>
      <c r="J728" s="341">
        <f>+H728+I728</f>
        <v/>
      </c>
      <c r="K728" s="583">
        <f>+(D728+E728)-(J728)</f>
        <v/>
      </c>
      <c r="L728" s="253" t="n"/>
      <c r="M728" s="254" t="n"/>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v>0</v>
      </c>
      <c r="AA728" s="648" t="n">
        <v>0</v>
      </c>
      <c r="AB728" s="649">
        <f>+Z728+AA728</f>
        <v/>
      </c>
      <c r="AC728" s="648" t="n">
        <v>0</v>
      </c>
      <c r="AD728" s="648" t="n">
        <v>0</v>
      </c>
      <c r="AE728" s="648" t="n">
        <v>0</v>
      </c>
      <c r="AF728" s="648" t="n">
        <v>0</v>
      </c>
      <c r="AG728" s="648" t="n">
        <v>0</v>
      </c>
      <c r="AH728" s="648" t="n">
        <v>0</v>
      </c>
      <c r="AI728" s="648" t="n">
        <v>0</v>
      </c>
      <c r="AJ728" s="648" t="n">
        <v>0</v>
      </c>
      <c r="AK728" s="648" t="n">
        <v>0</v>
      </c>
      <c r="AL728" s="648" t="n">
        <v>0</v>
      </c>
      <c r="AM728" s="421">
        <f>SUM(AB728:AL733)</f>
        <v/>
      </c>
      <c r="AN728" s="726" t="n"/>
      <c r="AU728" s="1240" t="n"/>
      <c r="AV728" s="1240" t="n"/>
    </row>
    <row r="729" ht="17.1" customHeight="1">
      <c r="A729" s="973" t="n"/>
      <c r="B729" s="971" t="n"/>
      <c r="C729" s="972" t="n"/>
      <c r="D729" s="973" t="n"/>
      <c r="E729" s="973" t="n"/>
      <c r="F729" s="994" t="n"/>
      <c r="G729" s="994" t="n"/>
      <c r="H729" s="973" t="n"/>
      <c r="I729" s="973" t="n"/>
      <c r="J729" s="973" t="n"/>
      <c r="K729" s="973" t="n"/>
      <c r="L729" s="253" t="n"/>
      <c r="M729" s="254" t="n"/>
      <c r="N729" s="254" t="n"/>
      <c r="O729" s="1183" t="inlineStr">
        <is>
          <t>31/03/2027</t>
        </is>
      </c>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73"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73"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73"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73"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75" t="n"/>
      <c r="E734" s="975" t="n"/>
      <c r="F734" s="998" t="n"/>
      <c r="G734" s="998" t="n"/>
      <c r="H734" s="975" t="n"/>
      <c r="I734" s="975" t="n"/>
      <c r="J734" s="975" t="n"/>
      <c r="K734" s="1189">
        <f>K728=L734</f>
        <v/>
      </c>
      <c r="L734" s="491">
        <f>SUM(L728:L733)</f>
        <v/>
      </c>
      <c r="M734" s="1190" t="inlineStr">
        <is>
          <t xml:space="preserve">“Verdadero” indica que la cantidad por lote, coincide con el saldo que inicia al mes siguiente. "Falso" no coinicide. </t>
        </is>
      </c>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413">
        <f>JUNIO!K735</f>
        <v/>
      </c>
      <c r="E735" s="339">
        <f>H331</f>
        <v/>
      </c>
      <c r="F735" s="338" t="n">
        <v>0</v>
      </c>
      <c r="G735" s="338" t="n">
        <v>0</v>
      </c>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v>0</v>
      </c>
      <c r="AA735" s="648" t="n">
        <v>0</v>
      </c>
      <c r="AB735" s="649">
        <f>+Z735+AA735</f>
        <v/>
      </c>
      <c r="AC735" s="648" t="n">
        <v>0</v>
      </c>
      <c r="AD735" s="648" t="n">
        <v>0</v>
      </c>
      <c r="AE735" s="648" t="n">
        <v>0</v>
      </c>
      <c r="AF735" s="648" t="n">
        <v>0</v>
      </c>
      <c r="AG735" s="648" t="n">
        <v>0</v>
      </c>
      <c r="AH735" s="648" t="n">
        <v>0</v>
      </c>
      <c r="AI735" s="648" t="n">
        <v>0</v>
      </c>
      <c r="AJ735" s="648" t="n">
        <v>0</v>
      </c>
      <c r="AK735" s="648" t="n">
        <v>0</v>
      </c>
      <c r="AL735" s="648" t="n">
        <v>0</v>
      </c>
      <c r="AM735" s="421">
        <f>SUM(AB735:AL740)</f>
        <v/>
      </c>
      <c r="AN735" s="726" t="n"/>
      <c r="AU735" s="1240" t="n"/>
      <c r="AV735" s="1240" t="n"/>
    </row>
    <row r="736" ht="17.1" customHeight="1">
      <c r="A736" s="973" t="n"/>
      <c r="B736" s="971" t="n"/>
      <c r="C736" s="972" t="n"/>
      <c r="D736" s="973"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73"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73"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73"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73"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75" t="n"/>
      <c r="E741" s="975" t="n"/>
      <c r="F741" s="998" t="n"/>
      <c r="G741" s="998" t="n"/>
      <c r="H741" s="975" t="n"/>
      <c r="I741" s="975" t="n"/>
      <c r="J741" s="975" t="n"/>
      <c r="K741" s="1189">
        <f>K735=L741</f>
        <v/>
      </c>
      <c r="L741" s="491">
        <f>SUM(L735:L740)</f>
        <v/>
      </c>
      <c r="M741" s="1190" t="inlineStr">
        <is>
          <t xml:space="preserve">“Verdadero” indica que la cantidad por lote, coincide con el saldo que inicia al mes siguiente. "Falso" no coinicide. </t>
        </is>
      </c>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413">
        <f>JUNIO!K742</f>
        <v/>
      </c>
      <c r="E742" s="339">
        <f>H338</f>
        <v/>
      </c>
      <c r="F742" s="338" t="n">
        <v>14535</v>
      </c>
      <c r="G742" s="338" t="n">
        <v>168</v>
      </c>
      <c r="H742" s="1235">
        <f>+F742+G742</f>
        <v/>
      </c>
      <c r="I742" s="340">
        <f>+AM742</f>
        <v/>
      </c>
      <c r="J742" s="341">
        <f>+H742+I742</f>
        <v/>
      </c>
      <c r="K742" s="583">
        <f>+(D742+E742)-(J742)</f>
        <v/>
      </c>
      <c r="L742" s="253" t="n">
        <v>6641</v>
      </c>
      <c r="M742" s="254" t="inlineStr">
        <is>
          <t>AR13133-8</t>
        </is>
      </c>
      <c r="N742" s="254" t="inlineStr">
        <is>
          <t>NUBENCO</t>
        </is>
      </c>
      <c r="O742" s="1183" t="inlineStr">
        <is>
          <t>31/03/2027</t>
        </is>
      </c>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v>234</v>
      </c>
      <c r="AA742" s="648" t="n">
        <v>0</v>
      </c>
      <c r="AB742" s="649">
        <f>+Z742+AA742</f>
        <v/>
      </c>
      <c r="AC742" s="648" t="n">
        <v>0</v>
      </c>
      <c r="AD742" s="648" t="n">
        <v>0</v>
      </c>
      <c r="AE742" s="648" t="n">
        <v>0</v>
      </c>
      <c r="AF742" s="648" t="n">
        <v>63</v>
      </c>
      <c r="AG742" s="648" t="n">
        <v>0</v>
      </c>
      <c r="AH742" s="648" t="n">
        <v>3</v>
      </c>
      <c r="AI742" s="648" t="n">
        <v>0</v>
      </c>
      <c r="AJ742" s="648" t="n">
        <v>0</v>
      </c>
      <c r="AK742" s="648" t="n">
        <v>0</v>
      </c>
      <c r="AL742" s="648" t="n">
        <v>0</v>
      </c>
      <c r="AM742" s="421">
        <f>SUM(AB742:AL747)</f>
        <v/>
      </c>
      <c r="AN742" s="726" t="n"/>
      <c r="AU742" s="1240" t="n"/>
      <c r="AV742" s="1240" t="n"/>
    </row>
    <row r="743" ht="17.1" customHeight="1">
      <c r="A743" s="973" t="n"/>
      <c r="B743" s="971" t="n"/>
      <c r="C743" s="972" t="n"/>
      <c r="D743" s="973" t="n"/>
      <c r="E743" s="973" t="n"/>
      <c r="F743" s="994" t="n"/>
      <c r="G743" s="994" t="n"/>
      <c r="H743" s="973" t="n"/>
      <c r="I743" s="973" t="n"/>
      <c r="J743" s="973" t="n"/>
      <c r="K743" s="973" t="n"/>
      <c r="L743" s="253" t="n">
        <v>6164</v>
      </c>
      <c r="M743" s="254" t="inlineStr">
        <is>
          <t>CW13132-5</t>
        </is>
      </c>
      <c r="N743" s="254" t="inlineStr">
        <is>
          <t>NUBENCO</t>
        </is>
      </c>
      <c r="O743" s="1183" t="inlineStr">
        <is>
          <t>31/01/2027</t>
        </is>
      </c>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73" t="n"/>
      <c r="E744" s="973" t="n"/>
      <c r="F744" s="994" t="n"/>
      <c r="G744" s="994" t="n"/>
      <c r="H744" s="973" t="n"/>
      <c r="I744" s="973" t="n"/>
      <c r="J744" s="973" t="n"/>
      <c r="K744" s="973" t="n"/>
      <c r="L744" s="253" t="n"/>
      <c r="M744" s="254" t="n"/>
      <c r="N744" s="254" t="n"/>
      <c r="O744" s="1183" t="n"/>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73" t="n"/>
      <c r="E745" s="973" t="n"/>
      <c r="F745" s="994" t="n"/>
      <c r="G745" s="994" t="n"/>
      <c r="H745" s="973" t="n"/>
      <c r="I745" s="973" t="n"/>
      <c r="J745" s="973" t="n"/>
      <c r="K745" s="973" t="n"/>
      <c r="L745" s="253" t="n"/>
      <c r="M745" s="254" t="n"/>
      <c r="N745" s="254" t="n"/>
      <c r="O745" s="1183" t="n"/>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73" t="n"/>
      <c r="E746" s="973" t="n"/>
      <c r="F746" s="994" t="n"/>
      <c r="G746" s="994" t="n"/>
      <c r="H746" s="973" t="n"/>
      <c r="I746" s="973" t="n"/>
      <c r="J746" s="973" t="n"/>
      <c r="K746" s="973" t="n"/>
      <c r="L746" s="253" t="n"/>
      <c r="M746" s="254" t="n"/>
      <c r="N746" s="254" t="n"/>
      <c r="O746" s="1183" t="n"/>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73" t="n"/>
      <c r="E747" s="973" t="n"/>
      <c r="F747" s="994" t="n"/>
      <c r="G747" s="994" t="n"/>
      <c r="H747" s="973" t="n"/>
      <c r="I747" s="973" t="n"/>
      <c r="J747" s="973" t="n"/>
      <c r="K747" s="975" t="n"/>
      <c r="L747" s="253" t="n"/>
      <c r="M747" s="254" t="n"/>
      <c r="N747" s="254" t="n"/>
      <c r="O747" s="1183" t="n"/>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75" t="n"/>
      <c r="E748" s="975" t="n"/>
      <c r="F748" s="998" t="n"/>
      <c r="G748" s="998" t="n"/>
      <c r="H748" s="975" t="n"/>
      <c r="I748" s="975" t="n"/>
      <c r="J748" s="975" t="n"/>
      <c r="K748" s="1189">
        <f>K742=L748</f>
        <v/>
      </c>
      <c r="L748" s="491">
        <f>SUM(L742:L747)</f>
        <v/>
      </c>
      <c r="M748" s="1190" t="inlineStr">
        <is>
          <t xml:space="preserve">“Verdadero” indica que la cantidad por lote, coincide con el saldo que inicia al mes siguiente. "Falso" no coinicide. </t>
        </is>
      </c>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413">
        <f>JUNIO!K749</f>
        <v/>
      </c>
      <c r="E749" s="339">
        <f>H345</f>
        <v/>
      </c>
      <c r="F749" s="338" t="n"/>
      <c r="G749" s="338" t="n"/>
      <c r="H749" s="1235">
        <f>+F749+G749</f>
        <v/>
      </c>
      <c r="I749" s="340">
        <f>+AM749</f>
        <v/>
      </c>
      <c r="J749" s="341">
        <f>+H749+I749</f>
        <v/>
      </c>
      <c r="K749" s="583">
        <f>+(D749+E749)-(J749)</f>
        <v/>
      </c>
      <c r="L749" s="253" t="n"/>
      <c r="M749" s="254" t="n"/>
      <c r="N749" s="254" t="n"/>
      <c r="O749" s="1183" t="n"/>
      <c r="P749" s="256">
        <f>IF(O749=0," ",IFERROR(IF(DATEDIF(TODAY(),O749,"M")&lt;=5,"ROJO",IF(DATEDIF(TODAY(),O749,"M")&gt;=12,"VERDE",IF(AND(DATEDIF(TODAY(),O749,"M")&gt;=6,DATEDIF(TODAY(),O749,"M")&lt;=11),"AMARILLO"))),Q749))</f>
        <v/>
      </c>
      <c r="Q749" s="256">
        <f>IF(O749=0," ",IF(O749&lt;=$L$6,"VENCIDO","NO VENCIDO"))</f>
        <v/>
      </c>
      <c r="R749" s="257" t="n"/>
      <c r="S749" s="258" t="n"/>
      <c r="T749" s="258" t="n"/>
      <c r="U749" s="1184" t="n"/>
      <c r="V749" s="1184" t="n"/>
      <c r="W749" s="1236">
        <f>+AR749</f>
        <v/>
      </c>
      <c r="X749" s="1237" t="n"/>
      <c r="Y749" s="232" t="n"/>
      <c r="Z749" s="648" t="n">
        <v>0</v>
      </c>
      <c r="AA749" s="648" t="n">
        <v>0</v>
      </c>
      <c r="AB749" s="649">
        <f>+Z749+AA749</f>
        <v/>
      </c>
      <c r="AC749" s="648" t="n">
        <v>0</v>
      </c>
      <c r="AD749" s="648" t="n">
        <v>0</v>
      </c>
      <c r="AE749" s="648" t="n">
        <v>0</v>
      </c>
      <c r="AF749" s="648" t="n">
        <v>0</v>
      </c>
      <c r="AG749" s="648" t="n">
        <v>0</v>
      </c>
      <c r="AH749" s="648" t="n">
        <v>0</v>
      </c>
      <c r="AI749" s="648" t="n">
        <v>0</v>
      </c>
      <c r="AJ749" s="648" t="n">
        <v>0</v>
      </c>
      <c r="AK749" s="648" t="n">
        <v>0</v>
      </c>
      <c r="AL749" s="648" t="n">
        <v>0</v>
      </c>
      <c r="AM749" s="421">
        <f>SUM(AB749:AL754)</f>
        <v/>
      </c>
      <c r="AN749" s="726" t="n"/>
      <c r="AU749" s="1240" t="n"/>
      <c r="AV749" s="1240" t="n"/>
    </row>
    <row r="750" ht="17.1" customHeight="1">
      <c r="A750" s="973" t="n"/>
      <c r="B750" s="971" t="n"/>
      <c r="C750" s="972" t="n"/>
      <c r="D750" s="973"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73"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73"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73"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73"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75" t="n"/>
      <c r="E755" s="975" t="n"/>
      <c r="F755" s="998" t="n"/>
      <c r="G755" s="998" t="n"/>
      <c r="H755" s="975" t="n"/>
      <c r="I755" s="975" t="n"/>
      <c r="J755" s="975" t="n"/>
      <c r="K755" s="1189">
        <f>K749=L755</f>
        <v/>
      </c>
      <c r="L755" s="491">
        <f>SUM(L749:L754)</f>
        <v/>
      </c>
      <c r="M755" s="1190" t="inlineStr">
        <is>
          <t xml:space="preserve">“Verdadero” indica que la cantidad por lote, coincide con el saldo que inicia al mes siguiente. "Falso" no coinicide. </t>
        </is>
      </c>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413">
        <f>JUNIO!K756</f>
        <v/>
      </c>
      <c r="E756" s="339">
        <f>H352</f>
        <v/>
      </c>
      <c r="F756" s="338" t="n">
        <v>8527</v>
      </c>
      <c r="G756" s="338" t="n">
        <v>74</v>
      </c>
      <c r="H756" s="1235">
        <f>+F756+G756</f>
        <v/>
      </c>
      <c r="I756" s="340">
        <f>+AM756</f>
        <v/>
      </c>
      <c r="J756" s="341">
        <f>+H756+I756</f>
        <v/>
      </c>
      <c r="K756" s="583">
        <f>+(D756+E756)-(J756)</f>
        <v/>
      </c>
      <c r="L756" s="253" t="n">
        <v>11980</v>
      </c>
      <c r="M756" s="254" t="inlineStr">
        <is>
          <t>20250903</t>
        </is>
      </c>
      <c r="N756" s="254" t="inlineStr">
        <is>
          <t>YIXIN China</t>
        </is>
      </c>
      <c r="O756" s="1183" t="inlineStr">
        <is>
          <t>02/09/2030</t>
        </is>
      </c>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v>181</v>
      </c>
      <c r="AA756" s="648" t="n">
        <v>46</v>
      </c>
      <c r="AB756" s="649">
        <f>+Z756+AA756</f>
        <v/>
      </c>
      <c r="AC756" s="648" t="n">
        <v>0</v>
      </c>
      <c r="AD756" s="648" t="n">
        <v>0</v>
      </c>
      <c r="AE756" s="648" t="n">
        <v>0</v>
      </c>
      <c r="AF756" s="648" t="n">
        <v>0</v>
      </c>
      <c r="AG756" s="648" t="n">
        <v>6</v>
      </c>
      <c r="AH756" s="648" t="n">
        <v>4</v>
      </c>
      <c r="AI756" s="648" t="n">
        <v>0</v>
      </c>
      <c r="AJ756" s="648" t="n">
        <v>0</v>
      </c>
      <c r="AK756" s="648" t="n">
        <v>0</v>
      </c>
      <c r="AL756" s="648" t="n">
        <v>0</v>
      </c>
      <c r="AM756" s="421">
        <f>SUM(AB756:AL761)</f>
        <v/>
      </c>
      <c r="AN756" s="726" t="n"/>
      <c r="AU756" s="1240" t="n"/>
      <c r="AV756" s="1240" t="n"/>
    </row>
    <row r="757" ht="17.1" customHeight="1">
      <c r="A757" s="973" t="n"/>
      <c r="B757" s="971" t="n"/>
      <c r="C757" s="972" t="n"/>
      <c r="D757" s="973" t="n"/>
      <c r="E757" s="973" t="n"/>
      <c r="F757" s="994" t="n"/>
      <c r="G757" s="994" t="n"/>
      <c r="H757" s="973" t="n"/>
      <c r="I757" s="973" t="n"/>
      <c r="J757" s="973" t="n"/>
      <c r="K757" s="973" t="n"/>
      <c r="L757" s="253" t="n">
        <v>3685</v>
      </c>
      <c r="M757" s="254" t="inlineStr">
        <is>
          <t>23FA1</t>
        </is>
      </c>
      <c r="N757" s="254" t="inlineStr">
        <is>
          <t>Fabricante</t>
        </is>
      </c>
      <c r="O757" s="1183" t="inlineStr">
        <is>
          <t>31/05/2028</t>
        </is>
      </c>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73" t="n"/>
      <c r="E758" s="973" t="n"/>
      <c r="F758" s="994" t="n"/>
      <c r="G758" s="994" t="n"/>
      <c r="H758" s="973" t="n"/>
      <c r="I758" s="973" t="n"/>
      <c r="J758" s="973" t="n"/>
      <c r="K758" s="973" t="n"/>
      <c r="L758" s="253" t="n"/>
      <c r="M758" s="254" t="n"/>
      <c r="N758" s="254" t="n"/>
      <c r="O758" s="1183" t="n"/>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73" t="n"/>
      <c r="E759" s="973" t="n"/>
      <c r="F759" s="994" t="n"/>
      <c r="G759" s="994" t="n"/>
      <c r="H759" s="973" t="n"/>
      <c r="I759" s="973" t="n"/>
      <c r="J759" s="973" t="n"/>
      <c r="K759" s="973" t="n"/>
      <c r="L759" s="253" t="n"/>
      <c r="M759" s="254" t="n"/>
      <c r="N759" s="254" t="n"/>
      <c r="O759" s="1183" t="n"/>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73" t="n"/>
      <c r="E760" s="973" t="n"/>
      <c r="F760" s="994" t="n"/>
      <c r="G760" s="994" t="n"/>
      <c r="H760" s="973" t="n"/>
      <c r="I760" s="973" t="n"/>
      <c r="J760" s="973" t="n"/>
      <c r="K760" s="973" t="n"/>
      <c r="L760" s="253" t="n"/>
      <c r="M760" s="254" t="n"/>
      <c r="N760" s="254" t="n"/>
      <c r="O760" s="1183" t="n"/>
      <c r="P760" s="256">
        <f>IF(O760=0," ",IFERROR(IF(DATEDIF(TODAY(),O760,"M")&lt;=5,"ROJO",IF(DATEDIF(TODAY(),O760,"M")&gt;=12,"VERDE",IF(AND(DATEDIF(TODAY(),O760,"M")&gt;=6,DATEDIF(TODAY(),O760,"M")&lt;=11),"AMARILLO"))),Q760))</f>
        <v/>
      </c>
      <c r="Q760" s="256">
        <f>IF(O760=0," ",IF(O760&lt;=$L$6,"VENCIDO","NO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73"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75"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413">
        <f>JUNIO!K763</f>
        <v/>
      </c>
      <c r="E763" s="339">
        <f>H359</f>
        <v/>
      </c>
      <c r="F763" s="338" t="n">
        <v>674</v>
      </c>
      <c r="G763" s="338" t="n">
        <v>36</v>
      </c>
      <c r="H763" s="1235">
        <f>+F763+G763</f>
        <v/>
      </c>
      <c r="I763" s="340">
        <f>+AM763</f>
        <v/>
      </c>
      <c r="J763" s="341">
        <f>+H763+I763</f>
        <v/>
      </c>
      <c r="K763" s="583">
        <f>+(D763+E763)-(J763)</f>
        <v/>
      </c>
      <c r="L763" s="253" t="n">
        <v>4000</v>
      </c>
      <c r="M763" s="254" t="inlineStr">
        <is>
          <t>662203</t>
        </is>
      </c>
      <c r="N763" s="254" t="inlineStr">
        <is>
          <t>Fabricante</t>
        </is>
      </c>
      <c r="O763" s="1183" t="inlineStr">
        <is>
          <t>30/09/2027</t>
        </is>
      </c>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v>19</v>
      </c>
      <c r="AA763" s="648" t="n">
        <v>0</v>
      </c>
      <c r="AB763" s="649">
        <f>+Z763+AA763</f>
        <v/>
      </c>
      <c r="AC763" s="648" t="n">
        <v>0</v>
      </c>
      <c r="AD763" s="648" t="n">
        <v>0</v>
      </c>
      <c r="AE763" s="648" t="n">
        <v>0</v>
      </c>
      <c r="AF763" s="648" t="n">
        <v>20</v>
      </c>
      <c r="AG763" s="648" t="n">
        <v>0</v>
      </c>
      <c r="AH763" s="648" t="n">
        <v>10</v>
      </c>
      <c r="AI763" s="648" t="n">
        <v>0</v>
      </c>
      <c r="AJ763" s="648" t="n">
        <v>0</v>
      </c>
      <c r="AK763" s="648" t="n">
        <v>0</v>
      </c>
      <c r="AL763" s="648" t="n">
        <v>0</v>
      </c>
      <c r="AM763" s="421">
        <f>SUM(AB763:AL768)</f>
        <v/>
      </c>
      <c r="AN763" s="726" t="n"/>
      <c r="AU763" s="1240" t="n"/>
      <c r="AV763" s="1240" t="n"/>
    </row>
    <row r="764" ht="17.1" customHeight="1">
      <c r="A764" s="973" t="n"/>
      <c r="B764" s="971" t="n"/>
      <c r="C764" s="972" t="n"/>
      <c r="D764" s="973" t="n"/>
      <c r="E764" s="973" t="n"/>
      <c r="F764" s="994" t="n"/>
      <c r="G764" s="994" t="n"/>
      <c r="H764" s="973" t="n"/>
      <c r="I764" s="973" t="n"/>
      <c r="J764" s="973" t="n"/>
      <c r="K764" s="973" t="n"/>
      <c r="L764" s="253" t="n">
        <v>224</v>
      </c>
      <c r="M764" s="254" t="inlineStr">
        <is>
          <t>622202</t>
        </is>
      </c>
      <c r="N764" s="254" t="inlineStr">
        <is>
          <t>MEDECO</t>
        </is>
      </c>
      <c r="O764" s="1183" t="inlineStr">
        <is>
          <t>28/02/2027</t>
        </is>
      </c>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73" t="n"/>
      <c r="E765" s="973" t="n"/>
      <c r="F765" s="994" t="n"/>
      <c r="G765" s="994" t="n"/>
      <c r="H765" s="973" t="n"/>
      <c r="I765" s="973" t="n"/>
      <c r="J765" s="973" t="n"/>
      <c r="K765" s="973" t="n"/>
      <c r="L765" s="253" t="n">
        <v>177</v>
      </c>
      <c r="M765" s="254" t="inlineStr">
        <is>
          <t>662202</t>
        </is>
      </c>
      <c r="N765" s="254" t="inlineStr">
        <is>
          <t>Fabricante</t>
        </is>
      </c>
      <c r="O765" s="1183" t="inlineStr">
        <is>
          <t>30/09/2027</t>
        </is>
      </c>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73" t="n"/>
      <c r="E766" s="973" t="n"/>
      <c r="F766" s="994" t="n"/>
      <c r="G766" s="994" t="n"/>
      <c r="H766" s="973" t="n"/>
      <c r="I766" s="973" t="n"/>
      <c r="J766" s="973" t="n"/>
      <c r="K766" s="973" t="n"/>
      <c r="L766" s="253" t="n">
        <v>116</v>
      </c>
      <c r="M766" s="254" t="inlineStr">
        <is>
          <t>622204</t>
        </is>
      </c>
      <c r="N766" s="254" t="inlineStr">
        <is>
          <t>Fabricante</t>
        </is>
      </c>
      <c r="O766" s="1183" t="inlineStr">
        <is>
          <t>28/02/2027</t>
        </is>
      </c>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73" t="n"/>
      <c r="E767" s="973" t="n"/>
      <c r="F767" s="994" t="n"/>
      <c r="G767" s="994" t="n"/>
      <c r="H767" s="973" t="n"/>
      <c r="I767" s="973" t="n"/>
      <c r="J767" s="973" t="n"/>
      <c r="K767" s="973" t="n"/>
      <c r="L767" s="253" t="n"/>
      <c r="M767" s="254" t="n"/>
      <c r="N767" s="254" t="inlineStr"/>
      <c r="O767" s="1183" t="inlineStr"/>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73"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75" t="n"/>
      <c r="E769" s="975" t="n"/>
      <c r="F769" s="998" t="n"/>
      <c r="G769" s="998" t="n"/>
      <c r="H769" s="975" t="n"/>
      <c r="I769" s="975" t="n"/>
      <c r="J769" s="975" t="n"/>
      <c r="K769" s="1189">
        <f>K763=L769</f>
        <v/>
      </c>
      <c r="L769" s="491">
        <f>SUM(L763:L768)</f>
        <v/>
      </c>
      <c r="M769" s="1190" t="inlineStr">
        <is>
          <t xml:space="preserve">“Verdadero” indica que la cantidad por lote, coincide con el saldo que inicia al mes siguiente. "Falso" no coinicide. </t>
        </is>
      </c>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413">
        <f>JUNIO!K770</f>
        <v/>
      </c>
      <c r="E770" s="339">
        <f>H366</f>
        <v/>
      </c>
      <c r="F770" s="338" t="n">
        <v>0</v>
      </c>
      <c r="G770" s="338" t="n">
        <v>0</v>
      </c>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v>0</v>
      </c>
      <c r="AA770" s="648" t="n">
        <v>0</v>
      </c>
      <c r="AB770" s="649">
        <f>+Z770+AA770</f>
        <v/>
      </c>
      <c r="AC770" s="648" t="n">
        <v>0</v>
      </c>
      <c r="AD770" s="648" t="n">
        <v>0</v>
      </c>
      <c r="AE770" s="648" t="n">
        <v>0</v>
      </c>
      <c r="AF770" s="648" t="n">
        <v>0</v>
      </c>
      <c r="AG770" s="648" t="n">
        <v>0</v>
      </c>
      <c r="AH770" s="648" t="n">
        <v>0</v>
      </c>
      <c r="AI770" s="648" t="n">
        <v>0</v>
      </c>
      <c r="AJ770" s="648" t="n">
        <v>0</v>
      </c>
      <c r="AK770" s="648" t="n">
        <v>0</v>
      </c>
      <c r="AL770" s="648" t="n">
        <v>0</v>
      </c>
      <c r="AM770" s="421">
        <f>SUM(AB770:AL775)</f>
        <v/>
      </c>
      <c r="AN770" s="726" t="n"/>
      <c r="AU770" s="1240" t="n"/>
      <c r="AV770" s="1240" t="n"/>
    </row>
    <row r="771" ht="17.1" customHeight="1">
      <c r="A771" s="973" t="n"/>
      <c r="B771" s="971" t="n"/>
      <c r="C771" s="972" t="n"/>
      <c r="D771" s="973"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73"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73"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73"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73"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75" t="n"/>
      <c r="E776" s="975" t="n"/>
      <c r="F776" s="998" t="n"/>
      <c r="G776" s="998" t="n"/>
      <c r="H776" s="975" t="n"/>
      <c r="I776" s="975" t="n"/>
      <c r="J776" s="975" t="n"/>
      <c r="K776" s="1189">
        <f>K770=L776</f>
        <v/>
      </c>
      <c r="L776" s="491">
        <f>SUM(L770:L775)</f>
        <v/>
      </c>
      <c r="M776" s="1190" t="inlineStr">
        <is>
          <t xml:space="preserve">“Verdadero” indica que la cantidad por lote, coincide con el saldo que inicia al mes siguiente. "Falso" no coinicide. </t>
        </is>
      </c>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413">
        <f>JUNIO!K777</f>
        <v/>
      </c>
      <c r="E777" s="339">
        <f>H373</f>
        <v/>
      </c>
      <c r="F777" s="338" t="n">
        <v>782</v>
      </c>
      <c r="G777" s="338" t="n">
        <v>38</v>
      </c>
      <c r="H777" s="576">
        <f>+F777+G777</f>
        <v/>
      </c>
      <c r="I777" s="340">
        <f>+AM777</f>
        <v/>
      </c>
      <c r="J777" s="341">
        <f>+H777+I777</f>
        <v/>
      </c>
      <c r="K777" s="584">
        <f>+(D777+E777)-(J777)</f>
        <v/>
      </c>
      <c r="L777" s="253" t="n"/>
      <c r="M777" s="254" t="n"/>
      <c r="N777" s="254" t="n"/>
      <c r="O777" s="1183" t="n"/>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v>0</v>
      </c>
      <c r="AA777" s="648" t="n">
        <v>0</v>
      </c>
      <c r="AB777" s="649">
        <f>+Z777+AA777</f>
        <v/>
      </c>
      <c r="AC777" s="648" t="n">
        <v>0</v>
      </c>
      <c r="AD777" s="648" t="n">
        <v>0</v>
      </c>
      <c r="AE777" s="648" t="n">
        <v>0</v>
      </c>
      <c r="AF777" s="648" t="n">
        <v>0</v>
      </c>
      <c r="AG777" s="648" t="n">
        <v>0</v>
      </c>
      <c r="AH777" s="648" t="n">
        <v>0</v>
      </c>
      <c r="AI777" s="648" t="n">
        <v>0</v>
      </c>
      <c r="AJ777" s="648" t="n">
        <v>0</v>
      </c>
      <c r="AK777" s="648" t="n">
        <v>0</v>
      </c>
      <c r="AL777" s="648" t="n">
        <v>0</v>
      </c>
      <c r="AM777" s="382">
        <f>SUM(AB777:AL777)</f>
        <v/>
      </c>
      <c r="AN777" s="726" t="n"/>
      <c r="AU777" s="1240" t="n"/>
      <c r="AV777" s="1240" t="n"/>
    </row>
    <row r="778" ht="30" customHeight="1">
      <c r="A778" s="585">
        <f>A777+1</f>
        <v/>
      </c>
      <c r="B778" s="629" t="inlineStr">
        <is>
          <t>Carnet de vacunación adultos</t>
        </is>
      </c>
      <c r="C778" s="967" t="n"/>
      <c r="D778" s="413">
        <f>JUNIO!K778</f>
        <v/>
      </c>
      <c r="E778" s="339">
        <f>H374</f>
        <v/>
      </c>
      <c r="F778" s="338" t="n">
        <v>5373</v>
      </c>
      <c r="G778" s="338" t="n">
        <v>806</v>
      </c>
      <c r="H778" s="576">
        <f>+F778+G778</f>
        <v/>
      </c>
      <c r="I778" s="340">
        <f>+AM778</f>
        <v/>
      </c>
      <c r="J778" s="341">
        <f>+H778+I778</f>
        <v/>
      </c>
      <c r="K778" s="584">
        <f>+(D778+E778)-(J778)</f>
        <v/>
      </c>
      <c r="L778" s="253" t="n"/>
      <c r="M778" s="254" t="n"/>
      <c r="N778" s="254" t="n"/>
      <c r="O778" s="1183" t="n"/>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v>0</v>
      </c>
      <c r="AA778" s="648" t="n">
        <v>0</v>
      </c>
      <c r="AB778" s="649">
        <f>+Z778+AA778</f>
        <v/>
      </c>
      <c r="AC778" s="648" t="n">
        <v>0</v>
      </c>
      <c r="AD778" s="648" t="n">
        <v>0</v>
      </c>
      <c r="AE778" s="648" t="n">
        <v>0</v>
      </c>
      <c r="AF778" s="648" t="n">
        <v>0</v>
      </c>
      <c r="AG778" s="648" t="n">
        <v>0</v>
      </c>
      <c r="AH778" s="648" t="n">
        <v>0</v>
      </c>
      <c r="AI778" s="648" t="n">
        <v>0</v>
      </c>
      <c r="AJ778" s="648" t="n">
        <v>0</v>
      </c>
      <c r="AK778" s="648" t="n">
        <v>0</v>
      </c>
      <c r="AL778" s="648" t="n">
        <v>0</v>
      </c>
      <c r="AM778" s="382">
        <f>SUM(AB778:AL778)</f>
        <v/>
      </c>
      <c r="AN778" s="726" t="n"/>
      <c r="AU778" s="1240" t="n"/>
      <c r="AV778" s="1240" t="n"/>
    </row>
    <row r="779" ht="30" customHeight="1">
      <c r="A779" s="585">
        <f>A778+1</f>
        <v/>
      </c>
      <c r="B779" s="629" t="inlineStr">
        <is>
          <t>Carnet/Certificado de vacunación (Covid-19)</t>
        </is>
      </c>
      <c r="C779" s="967" t="n"/>
      <c r="D779" s="413">
        <f>JUNIO!K779</f>
        <v/>
      </c>
      <c r="E779" s="339">
        <f>H375</f>
        <v/>
      </c>
      <c r="F779" s="338" t="n">
        <v>122</v>
      </c>
      <c r="G779" s="338" t="n">
        <v>0</v>
      </c>
      <c r="H779" s="576">
        <f>+F779+G779</f>
        <v/>
      </c>
      <c r="I779" s="340">
        <f>+AM779</f>
        <v/>
      </c>
      <c r="J779" s="341">
        <f>+H779+I779</f>
        <v/>
      </c>
      <c r="K779" s="584">
        <f>+(D779+E779)-(J779)</f>
        <v/>
      </c>
      <c r="L779" s="253" t="n"/>
      <c r="M779" s="254" t="n"/>
      <c r="N779" s="254" t="n"/>
      <c r="O779" s="1183" t="n"/>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v>1</v>
      </c>
      <c r="AA779" s="648" t="n">
        <v>0</v>
      </c>
      <c r="AB779" s="649">
        <f>+Z779+AA779</f>
        <v/>
      </c>
      <c r="AC779" s="648" t="n">
        <v>0</v>
      </c>
      <c r="AD779" s="648" t="n">
        <v>0</v>
      </c>
      <c r="AE779" s="648" t="n">
        <v>0</v>
      </c>
      <c r="AF779" s="648" t="n">
        <v>0</v>
      </c>
      <c r="AG779" s="648" t="n">
        <v>0</v>
      </c>
      <c r="AH779" s="648" t="n">
        <v>0</v>
      </c>
      <c r="AI779" s="648" t="n">
        <v>0</v>
      </c>
      <c r="AJ779" s="648" t="n">
        <v>0</v>
      </c>
      <c r="AK779" s="648" t="n">
        <v>0</v>
      </c>
      <c r="AL779" s="648" t="n">
        <v>0</v>
      </c>
      <c r="AM779" s="382">
        <f>SUM(AB779:AL779)</f>
        <v/>
      </c>
      <c r="AN779" s="726" t="n"/>
      <c r="AU779" s="1240" t="n"/>
      <c r="AV779" s="1240" t="n"/>
    </row>
    <row r="780" ht="30" customHeight="1">
      <c r="A780" s="585">
        <f>A779+1</f>
        <v/>
      </c>
      <c r="B780" s="629" t="inlineStr">
        <is>
          <t>Carne/certificado internacional de vacunación</t>
        </is>
      </c>
      <c r="C780" s="967" t="n"/>
      <c r="D780" s="413">
        <f>JUNIO!K780</f>
        <v/>
      </c>
      <c r="E780" s="339">
        <f>H376</f>
        <v/>
      </c>
      <c r="F780" s="338" t="n">
        <v>574</v>
      </c>
      <c r="G780" s="338" t="n">
        <v>2</v>
      </c>
      <c r="H780" s="576">
        <f>+F780+G780</f>
        <v/>
      </c>
      <c r="I780" s="340">
        <f>+AM780</f>
        <v/>
      </c>
      <c r="J780" s="341">
        <f>+H780+I780</f>
        <v/>
      </c>
      <c r="K780" s="584">
        <f>+(D780+E780)-(J780)</f>
        <v/>
      </c>
      <c r="L780" s="253" t="n"/>
      <c r="M780" s="254" t="n"/>
      <c r="N780" s="254" t="n"/>
      <c r="O780" s="1183" t="n"/>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v>4</v>
      </c>
      <c r="AA780" s="648" t="n">
        <v>0</v>
      </c>
      <c r="AB780" s="649">
        <f>+Z780+AA780</f>
        <v/>
      </c>
      <c r="AC780" s="648" t="n">
        <v>0</v>
      </c>
      <c r="AD780" s="648" t="n">
        <v>0</v>
      </c>
      <c r="AE780" s="648" t="n">
        <v>0</v>
      </c>
      <c r="AF780" s="648" t="n">
        <v>0</v>
      </c>
      <c r="AG780" s="648" t="n">
        <v>0</v>
      </c>
      <c r="AH780" s="648" t="n">
        <v>0</v>
      </c>
      <c r="AI780" s="648" t="n">
        <v>0</v>
      </c>
      <c r="AJ780" s="648" t="n">
        <v>0</v>
      </c>
      <c r="AK780" s="648" t="n">
        <v>0</v>
      </c>
      <c r="AL780" s="648" t="n">
        <v>0</v>
      </c>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413">
        <f>JUNIO!K781</f>
        <v/>
      </c>
      <c r="E781" s="339">
        <f>H377</f>
        <v/>
      </c>
      <c r="F781" s="338" t="n">
        <v>0</v>
      </c>
      <c r="G781" s="338" t="n">
        <v>0</v>
      </c>
      <c r="H781" s="576">
        <f>+F781+G781</f>
        <v/>
      </c>
      <c r="I781" s="340">
        <f>+AM781</f>
        <v/>
      </c>
      <c r="J781" s="341">
        <f>+H781+I781</f>
        <v/>
      </c>
      <c r="K781" s="584">
        <f>+(D781+E781)-(J781)</f>
        <v/>
      </c>
      <c r="L781" s="253" t="n"/>
      <c r="M781" s="254" t="n"/>
      <c r="N781" s="254" t="n"/>
      <c r="O781" s="1183" t="n"/>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v>0</v>
      </c>
      <c r="AA781" s="648" t="n">
        <v>0</v>
      </c>
      <c r="AB781" s="649">
        <f>+Z781+AA781</f>
        <v/>
      </c>
      <c r="AC781" s="648" t="n">
        <v>0</v>
      </c>
      <c r="AD781" s="648" t="n">
        <v>0</v>
      </c>
      <c r="AE781" s="648" t="n">
        <v>0</v>
      </c>
      <c r="AF781" s="648" t="n">
        <v>0</v>
      </c>
      <c r="AG781" s="648" t="n">
        <v>0</v>
      </c>
      <c r="AH781" s="648" t="n">
        <v>0</v>
      </c>
      <c r="AI781" s="648" t="n">
        <v>0</v>
      </c>
      <c r="AJ781" s="648" t="n">
        <v>0</v>
      </c>
      <c r="AK781" s="648" t="n">
        <v>0</v>
      </c>
      <c r="AL781" s="648" t="n">
        <v>0</v>
      </c>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413">
        <f>JUNIO!K782</f>
        <v/>
      </c>
      <c r="E782" s="339">
        <f>H378</f>
        <v/>
      </c>
      <c r="F782" s="338" t="n">
        <v>0</v>
      </c>
      <c r="G782" s="338" t="n">
        <v>0</v>
      </c>
      <c r="H782" s="576">
        <f>+F782+G782</f>
        <v/>
      </c>
      <c r="I782" s="340">
        <f>+AM782</f>
        <v/>
      </c>
      <c r="J782" s="341">
        <f>+H782+I782</f>
        <v/>
      </c>
      <c r="K782" s="584">
        <f>+(D782+E782)-(J782)</f>
        <v/>
      </c>
      <c r="L782" s="253" t="n"/>
      <c r="M782" s="254" t="n"/>
      <c r="N782" s="254" t="n"/>
      <c r="O782" s="1183" t="n"/>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v>0</v>
      </c>
      <c r="AA782" s="648" t="n">
        <v>0</v>
      </c>
      <c r="AB782" s="649">
        <f>+Z782+AA782</f>
        <v/>
      </c>
      <c r="AC782" s="648" t="n">
        <v>0</v>
      </c>
      <c r="AD782" s="648" t="n">
        <v>0</v>
      </c>
      <c r="AE782" s="648" t="n">
        <v>0</v>
      </c>
      <c r="AF782" s="648" t="n">
        <v>0</v>
      </c>
      <c r="AG782" s="648" t="n">
        <v>0</v>
      </c>
      <c r="AH782" s="648" t="n">
        <v>0</v>
      </c>
      <c r="AI782" s="648" t="n">
        <v>0</v>
      </c>
      <c r="AJ782" s="648" t="n">
        <v>0</v>
      </c>
      <c r="AK782" s="648" t="n">
        <v>0</v>
      </c>
      <c r="AL782" s="648" t="n">
        <v>0</v>
      </c>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413">
        <f>JUNIO!K783</f>
        <v/>
      </c>
      <c r="E783" s="339">
        <f>H379</f>
        <v/>
      </c>
      <c r="F783" s="338" t="n">
        <v>55</v>
      </c>
      <c r="G783" s="338" t="n">
        <v>0</v>
      </c>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v>0</v>
      </c>
      <c r="AA783" s="648" t="n">
        <v>0</v>
      </c>
      <c r="AB783" s="649">
        <f>+Z783+AA783</f>
        <v/>
      </c>
      <c r="AC783" s="648" t="n">
        <v>0</v>
      </c>
      <c r="AD783" s="648" t="n">
        <v>0</v>
      </c>
      <c r="AE783" s="648" t="n">
        <v>0</v>
      </c>
      <c r="AF783" s="648" t="n">
        <v>0</v>
      </c>
      <c r="AG783" s="648" t="n">
        <v>0</v>
      </c>
      <c r="AH783" s="648" t="n">
        <v>0</v>
      </c>
      <c r="AI783" s="648" t="n">
        <v>0</v>
      </c>
      <c r="AJ783" s="648" t="n">
        <v>0</v>
      </c>
      <c r="AK783" s="648" t="n">
        <v>0</v>
      </c>
      <c r="AL783" s="648" t="n">
        <v>0</v>
      </c>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569" t="inlineStr">
        <is>
          <t>ÍTEM</t>
        </is>
      </c>
      <c r="B785" s="569" t="inlineStr">
        <is>
          <t>VACUNA COVID-19</t>
        </is>
      </c>
      <c r="C785" s="965" t="n"/>
      <c r="D785" s="1231" t="inlineStr">
        <is>
          <t>SALDO MES ANTERIOR</t>
        </is>
      </c>
      <c r="E785" s="961" t="inlineStr">
        <is>
          <t>BIOLÓGICO RECIBIDO DEL CENTRO DE ACOPIO DEPARTAMENTAL / DISTRITAL</t>
        </is>
      </c>
      <c r="F785" s="1231" t="inlineStr">
        <is>
          <t>DOSIS APLICADAS</t>
        </is>
      </c>
      <c r="G785" s="967" t="n"/>
      <c r="H785" s="1232" t="inlineStr">
        <is>
          <t>TOTAL DOSIS APLICADAS</t>
        </is>
      </c>
      <c r="I785" s="961" t="inlineStr">
        <is>
          <t>DOSIS PERDIDAS</t>
        </is>
      </c>
      <c r="J785" s="1231" t="inlineStr">
        <is>
          <t>TOTAL DOSIS ÚTILIZADAS EN EL MES</t>
        </is>
      </c>
      <c r="K785" s="623" t="inlineStr">
        <is>
          <t>SALDO QUE INICIA EL MES SIGUIENTE (SOLO MUNICIPIOS)</t>
        </is>
      </c>
      <c r="L785" s="623" t="n"/>
      <c r="M785" s="623" t="n"/>
      <c r="N785" s="623" t="n"/>
      <c r="O785" s="623" t="n"/>
      <c r="P785" s="623" t="inlineStr">
        <is>
          <t>SEMAFORIZACION VIDA  ÚTIL DEL BIOLÓGICO</t>
        </is>
      </c>
      <c r="Q785" s="623" t="inlineStr">
        <is>
          <t>CONDICIÓN FINAL DEL BIOLÓGICO, DILUYENTE Y CARNET</t>
        </is>
      </c>
      <c r="R785" s="613" t="inlineStr">
        <is>
          <t>DOSIS EN CUARENTENA</t>
        </is>
      </c>
      <c r="S785" s="613" t="inlineStr">
        <is>
          <t>LABORATORIO</t>
        </is>
      </c>
      <c r="T785" s="613" t="inlineStr">
        <is>
          <t>No. LOTE</t>
        </is>
      </c>
      <c r="U785" s="613" t="inlineStr">
        <is>
          <t>FECHA DE VENCIMEINTO</t>
        </is>
      </c>
      <c r="V785" s="613" t="inlineStr">
        <is>
          <t>FECHA DE INICIO CUARENTENA</t>
        </is>
      </c>
      <c r="W785" s="613" t="inlineStr">
        <is>
          <t>OBSERVACIONES</t>
        </is>
      </c>
      <c r="X785" s="351" t="n"/>
      <c r="Y785" s="232" t="n"/>
      <c r="Z785" s="1221" t="inlineStr">
        <is>
          <t>MOTIVOS DE NO USO DE VACUNAS CONTRA LA COVID-19
RESOLUCIÓN 0118 DEL 27 DE ENERO DE 2026
DISPONIBLE EN EL SIGUIENTE LINK: https://www.minsalud.gov.co/Normatividad_Nuevo/Resolucion%20No%20118%20de%202026.pdf</t>
        </is>
      </c>
      <c r="AA785" s="968" t="n"/>
      <c r="AB785" s="968" t="n"/>
      <c r="AC785" s="968" t="n"/>
      <c r="AD785" s="968" t="n"/>
      <c r="AE785" s="968" t="n"/>
      <c r="AF785" s="968" t="n"/>
      <c r="AG785" s="968" t="n"/>
      <c r="AH785" s="968" t="n"/>
      <c r="AI785" s="968" t="n"/>
      <c r="AJ785" s="968" t="n"/>
      <c r="AK785" s="968" t="n"/>
      <c r="AL785" s="967" t="n"/>
      <c r="AM785" s="532" t="inlineStr">
        <is>
          <t xml:space="preserve">TOTAL DOSIS PERDIDAS        </t>
        </is>
      </c>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inlineStr">
        <is>
          <t>POLÍTICA DE FRASCOS ABIERTO</t>
        </is>
      </c>
      <c r="AA787" s="967" t="n"/>
      <c r="AB787" s="1222" t="inlineStr">
        <is>
          <t>INTERRUPCIÓN DE LA CADENA DE FRÍO</t>
        </is>
      </c>
      <c r="AC787" s="537" t="inlineStr">
        <is>
          <t>CONTAMINACIÓN DEL BIOLÓGICO</t>
        </is>
      </c>
      <c r="AD787" s="1222" t="inlineStr">
        <is>
          <t>ERROR EN LA MANIPULACIÓN</t>
        </is>
      </c>
      <c r="AE787" s="537" t="inlineStr">
        <is>
          <t>ERROR EN LA RECONSTITUCIÓN/DILUCIÓN</t>
        </is>
      </c>
      <c r="AF787" s="1222" t="inlineStr">
        <is>
          <t>ERROR EN LA DOSIFICACIÓN</t>
        </is>
      </c>
      <c r="AG787" s="537" t="inlineStr">
        <is>
          <t>VACUNA QUE EXCEDE EL TIEMPO DE ALMACENAMIENTO EN REFRIGERACIÓN</t>
        </is>
      </c>
      <c r="AH787" s="1222" t="inlineStr">
        <is>
          <t>VENCIMIENTO DEL BIOLÓGICO</t>
        </is>
      </c>
      <c r="AI787" s="537" t="inlineStr">
        <is>
          <t>FRASCO VIAL ROTO</t>
        </is>
      </c>
      <c r="AJ787" s="1222" t="inlineStr">
        <is>
          <t>FALLAS DE FABRICACIÓN/CALIDAD</t>
        </is>
      </c>
      <c r="AK787" s="537" t="inlineStr">
        <is>
          <t>SINIESTRO / ACCIDENTE</t>
        </is>
      </c>
      <c r="AL787" s="1222" t="inlineStr">
        <is>
          <t>ROBO/HURTO BIOLÓGICO</t>
        </is>
      </c>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inlineStr">
        <is>
          <t>INSTITUCIONAL</t>
        </is>
      </c>
      <c r="AA788" s="497" t="inlineStr">
        <is>
          <t>EXTRAMURAL</t>
        </is>
      </c>
      <c r="AB788" s="975" t="n"/>
      <c r="AC788" s="975" t="n"/>
      <c r="AD788" s="975" t="n"/>
      <c r="AE788" s="975" t="n"/>
      <c r="AF788" s="975" t="n"/>
      <c r="AG788" s="975" t="n"/>
      <c r="AH788" s="975" t="n"/>
      <c r="AI788" s="975" t="n"/>
      <c r="AJ788" s="975" t="n"/>
      <c r="AK788" s="975" t="n"/>
      <c r="AL788" s="975" t="n"/>
      <c r="AM788" s="975" t="n"/>
      <c r="AN788" s="368" t="n"/>
      <c r="AO788" s="368" t="n"/>
      <c r="AP788" s="416" t="n"/>
      <c r="AQ788" s="546" t="inlineStr">
        <is>
          <t>PORCENTAJE DE PERDIDA DEL MES
%</t>
        </is>
      </c>
      <c r="AR788" s="546" t="inlineStr">
        <is>
          <t>FACTOR DE PERDIDA DEL MES</t>
        </is>
      </c>
      <c r="AS788" s="420" t="inlineStr">
        <is>
          <t>% DE PERDIDA DEL MSPS</t>
        </is>
      </c>
      <c r="AT788" s="420" t="inlineStr">
        <is>
          <t>DOSIS POR VIAL</t>
        </is>
      </c>
      <c r="AV788" s="1240" t="n"/>
      <c r="AW788" s="1240" t="n"/>
    </row>
    <row r="789" ht="19.5" customHeight="1">
      <c r="A789" s="585" t="n">
        <v>1</v>
      </c>
      <c r="B789" s="1249" t="inlineStr">
        <is>
          <t>MODERNA ADULTO</t>
        </is>
      </c>
      <c r="C789" s="965" t="n"/>
      <c r="D789" s="496">
        <f>JUNIO!K789</f>
        <v/>
      </c>
      <c r="E789" s="339">
        <f>H385</f>
        <v/>
      </c>
      <c r="F789" s="731" t="n">
        <v>32</v>
      </c>
      <c r="G789" s="731" t="n">
        <v>0</v>
      </c>
      <c r="H789" s="1235">
        <f>SUM(F789,G789)</f>
        <v/>
      </c>
      <c r="I789" s="340">
        <f>+AM789</f>
        <v/>
      </c>
      <c r="J789" s="341">
        <f>+H789+I789</f>
        <v/>
      </c>
      <c r="K789" s="583">
        <f>+(D789+E789)-(J789)</f>
        <v/>
      </c>
      <c r="L789" s="486" t="n">
        <v>655</v>
      </c>
      <c r="M789" s="487" t="n"/>
      <c r="N789" s="487" t="inlineStr"/>
      <c r="O789" s="1223" t="inlineStr"/>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v>241</v>
      </c>
      <c r="AA789" s="648" t="n">
        <v>8</v>
      </c>
      <c r="AB789" s="648" t="n"/>
      <c r="AC789" s="648" t="n">
        <v>0</v>
      </c>
      <c r="AD789" s="648" t="n">
        <v>0</v>
      </c>
      <c r="AE789" s="648" t="n">
        <v>0</v>
      </c>
      <c r="AF789" s="648" t="n">
        <v>0</v>
      </c>
      <c r="AG789" s="648" t="n">
        <v>0</v>
      </c>
      <c r="AH789" s="648" t="n">
        <v>0</v>
      </c>
      <c r="AI789" s="648" t="n">
        <v>0</v>
      </c>
      <c r="AJ789" s="648" t="n">
        <v>0</v>
      </c>
      <c r="AK789" s="648" t="n">
        <v>0</v>
      </c>
      <c r="AL789" s="648" t="n">
        <v>0</v>
      </c>
      <c r="AM789" s="573">
        <f>SUM(Z789:AL792)</f>
        <v/>
      </c>
      <c r="AN789" s="693" t="n"/>
      <c r="AO789" s="485" t="n"/>
      <c r="AP789" s="416" t="n"/>
      <c r="AQ789" s="1238">
        <f>IFERROR(I789/J789*100,"0")</f>
        <v/>
      </c>
      <c r="AR789" s="1238">
        <f>IFERROR(1/(1-(AQ789/100)),"0")</f>
        <v/>
      </c>
      <c r="AS789" s="1238" t="n">
        <v>0</v>
      </c>
      <c r="AT789" s="345" t="n">
        <v>5</v>
      </c>
      <c r="AU789" s="1240" t="n"/>
      <c r="AV789" s="1240" t="n"/>
    </row>
    <row r="790" ht="19.5" customHeight="1">
      <c r="A790" s="973" t="n"/>
      <c r="B790" s="971" t="n"/>
      <c r="C790" s="972" t="n"/>
      <c r="D790" s="973"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73"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73"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75" t="n"/>
      <c r="E793" s="975" t="n"/>
      <c r="F793" s="998" t="n"/>
      <c r="G793" s="998" t="n"/>
      <c r="H793" s="975" t="n"/>
      <c r="I793" s="975" t="n"/>
      <c r="J793" s="975" t="n"/>
      <c r="K793" s="1189">
        <f>K789=L793</f>
        <v/>
      </c>
      <c r="L793" s="491">
        <f>SUM(L789:L792)</f>
        <v/>
      </c>
      <c r="M793" s="1190" t="n"/>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496">
        <f>JUNIO!K794</f>
        <v/>
      </c>
      <c r="E794" s="339">
        <f>H390</f>
        <v/>
      </c>
      <c r="F794" s="731" t="n">
        <v>0</v>
      </c>
      <c r="G794" s="731" t="n">
        <v>0</v>
      </c>
      <c r="H794" s="1235">
        <f>SUM(F794,G794)</f>
        <v/>
      </c>
      <c r="I794" s="340">
        <f>+AM794</f>
        <v/>
      </c>
      <c r="J794" s="341">
        <f>+H794+I794</f>
        <v/>
      </c>
      <c r="K794" s="583">
        <f>+(D794+E794)-(J794)</f>
        <v/>
      </c>
      <c r="L794" s="486" t="n"/>
      <c r="M794" s="487" t="n"/>
      <c r="N794" s="487" t="inlineStr"/>
      <c r="O794" s="1223" t="inlineStr"/>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v>0</v>
      </c>
      <c r="AA794" s="648" t="n">
        <v>0</v>
      </c>
      <c r="AB794" s="648" t="n"/>
      <c r="AC794" s="648" t="n">
        <v>0</v>
      </c>
      <c r="AD794" s="648" t="n">
        <v>0</v>
      </c>
      <c r="AE794" s="648" t="n">
        <v>0</v>
      </c>
      <c r="AF794" s="648" t="n">
        <v>0</v>
      </c>
      <c r="AG794" s="648" t="n">
        <v>0</v>
      </c>
      <c r="AH794" s="648" t="n">
        <v>0</v>
      </c>
      <c r="AI794" s="648" t="n">
        <v>0</v>
      </c>
      <c r="AJ794" s="648" t="n">
        <v>0</v>
      </c>
      <c r="AK794" s="648" t="n">
        <v>0</v>
      </c>
      <c r="AL794" s="648" t="n">
        <v>0</v>
      </c>
      <c r="AM794" s="573">
        <f>SUM(Z794:AL797)</f>
        <v/>
      </c>
      <c r="AN794" s="693" t="n"/>
      <c r="AO794" s="485" t="n"/>
      <c r="AP794" s="416" t="n"/>
      <c r="AQ794" s="1238">
        <f>IFERROR(I794/J794*100,"0")</f>
        <v/>
      </c>
      <c r="AR794" s="1238">
        <f>IFERROR(1/(1-(AQ794/100)),"0")</f>
        <v/>
      </c>
      <c r="AS794" s="1238" t="n">
        <v>0</v>
      </c>
      <c r="AT794" s="345" t="n">
        <v>10</v>
      </c>
      <c r="AU794" s="1240" t="n"/>
      <c r="AV794" s="1240" t="n"/>
    </row>
    <row r="795" ht="19.5" customHeight="1">
      <c r="A795" s="973" t="n"/>
      <c r="B795" s="971" t="n"/>
      <c r="C795" s="972" t="n"/>
      <c r="D795" s="973"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73"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73"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75" t="n"/>
      <c r="E798" s="975" t="n"/>
      <c r="F798" s="998" t="n"/>
      <c r="G798" s="998" t="n"/>
      <c r="H798" s="975" t="n"/>
      <c r="I798" s="975" t="n"/>
      <c r="J798" s="975" t="n"/>
      <c r="K798" s="1189">
        <f>K794=L798</f>
        <v/>
      </c>
      <c r="L798" s="491">
        <f>SUM(L794:L797)</f>
        <v/>
      </c>
      <c r="M798" s="1190" t="n"/>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496">
        <f>JUNIO!K799</f>
        <v/>
      </c>
      <c r="E799" s="339">
        <f>H395</f>
        <v/>
      </c>
      <c r="F799" s="731" t="n">
        <v>37</v>
      </c>
      <c r="G799" s="731" t="n">
        <v>0</v>
      </c>
      <c r="H799" s="1235">
        <f>SUM(F799,G799)</f>
        <v/>
      </c>
      <c r="I799" s="340">
        <f>+AM799</f>
        <v/>
      </c>
      <c r="J799" s="341">
        <f>+H799+I799</f>
        <v/>
      </c>
      <c r="K799" s="583">
        <f>+(D799+E799)-(J799)</f>
        <v/>
      </c>
      <c r="L799" s="486" t="n">
        <v>680</v>
      </c>
      <c r="M799" s="487" t="inlineStr">
        <is>
          <t>MT6633</t>
        </is>
      </c>
      <c r="N799" s="487" t="inlineStr">
        <is>
          <t>PFIZER</t>
        </is>
      </c>
      <c r="O799" s="1223" t="inlineStr">
        <is>
          <t>31/12/2026</t>
        </is>
      </c>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v>76</v>
      </c>
      <c r="AA799" s="648" t="n">
        <v>11</v>
      </c>
      <c r="AB799" s="648" t="n"/>
      <c r="AC799" s="648" t="n">
        <v>0</v>
      </c>
      <c r="AD799" s="648" t="n">
        <v>0</v>
      </c>
      <c r="AE799" s="648" t="n">
        <v>0</v>
      </c>
      <c r="AF799" s="648" t="n">
        <v>0</v>
      </c>
      <c r="AG799" s="648" t="n">
        <v>0</v>
      </c>
      <c r="AH799" s="648" t="n">
        <v>0</v>
      </c>
      <c r="AI799" s="648" t="n">
        <v>0</v>
      </c>
      <c r="AJ799" s="648" t="n">
        <v>0</v>
      </c>
      <c r="AK799" s="648" t="n">
        <v>0</v>
      </c>
      <c r="AL799" s="648" t="n">
        <v>0</v>
      </c>
      <c r="AM799" s="573">
        <f>SUM(Z799:AL802)</f>
        <v/>
      </c>
      <c r="AN799" s="693" t="n"/>
      <c r="AO799" s="485" t="n"/>
      <c r="AP799" s="416" t="n"/>
      <c r="AQ799" s="1238">
        <f>IFERROR(I799/J799*100,"0")</f>
        <v/>
      </c>
      <c r="AR799" s="1238">
        <f>IFERROR(1/(1-(AQ799/100)),"0")</f>
        <v/>
      </c>
      <c r="AS799" s="1238" t="n">
        <v>0</v>
      </c>
      <c r="AT799" s="345" t="n">
        <v>6</v>
      </c>
      <c r="AU799" s="1240" t="n"/>
      <c r="AV799" s="1240" t="n"/>
    </row>
    <row r="800" ht="19.5" customHeight="1">
      <c r="A800" s="973" t="n"/>
      <c r="B800" s="971" t="n"/>
      <c r="C800" s="972" t="n"/>
      <c r="D800" s="973"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73"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73"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75" t="n"/>
      <c r="E803" s="975" t="n"/>
      <c r="F803" s="998" t="n"/>
      <c r="G803" s="998" t="n"/>
      <c r="H803" s="975" t="n"/>
      <c r="I803" s="975" t="n"/>
      <c r="J803" s="975" t="n"/>
      <c r="K803" s="1189">
        <f>K799=L803</f>
        <v/>
      </c>
      <c r="L803" s="491">
        <f>SUM(L799:L802)</f>
        <v/>
      </c>
      <c r="M803" s="1190" t="n"/>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496">
        <f>JUNIO!K804</f>
        <v/>
      </c>
      <c r="E804" s="339">
        <f>H400</f>
        <v/>
      </c>
      <c r="F804" s="731" t="n">
        <v>0</v>
      </c>
      <c r="G804" s="731" t="n">
        <v>0</v>
      </c>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v>0</v>
      </c>
      <c r="AA804" s="648" t="n">
        <v>0</v>
      </c>
      <c r="AB804" s="648" t="n"/>
      <c r="AC804" s="648" t="n">
        <v>0</v>
      </c>
      <c r="AD804" s="648" t="n">
        <v>0</v>
      </c>
      <c r="AE804" s="648" t="n">
        <v>0</v>
      </c>
      <c r="AF804" s="648" t="n">
        <v>0</v>
      </c>
      <c r="AG804" s="648" t="n">
        <v>0</v>
      </c>
      <c r="AH804" s="648" t="n">
        <v>0</v>
      </c>
      <c r="AI804" s="648" t="n">
        <v>0</v>
      </c>
      <c r="AJ804" s="648" t="n">
        <v>0</v>
      </c>
      <c r="AK804" s="648" t="n">
        <v>0</v>
      </c>
      <c r="AL804" s="648" t="n">
        <v>0</v>
      </c>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73"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73"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73"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75" t="n"/>
      <c r="E808" s="975" t="n"/>
      <c r="F808" s="998" t="n"/>
      <c r="G808" s="998" t="n"/>
      <c r="H808" s="975" t="n"/>
      <c r="I808" s="975" t="n"/>
      <c r="J808" s="975" t="n"/>
      <c r="K808" s="1189">
        <f>K804=L808</f>
        <v/>
      </c>
      <c r="L808" s="491">
        <f>SUM(L804:L807)</f>
        <v/>
      </c>
      <c r="M808" s="1190" t="n"/>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496">
        <f>JUNIO!K809</f>
        <v/>
      </c>
      <c r="E809" s="339">
        <f>H405</f>
        <v/>
      </c>
      <c r="F809" s="731" t="n">
        <v>0</v>
      </c>
      <c r="G809" s="731" t="n">
        <v>0</v>
      </c>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v>0</v>
      </c>
      <c r="AA809" s="648" t="n">
        <v>0</v>
      </c>
      <c r="AB809" s="648" t="n"/>
      <c r="AC809" s="648" t="n">
        <v>0</v>
      </c>
      <c r="AD809" s="648" t="n">
        <v>0</v>
      </c>
      <c r="AE809" s="648" t="n">
        <v>0</v>
      </c>
      <c r="AF809" s="648" t="n">
        <v>0</v>
      </c>
      <c r="AG809" s="648" t="n">
        <v>0</v>
      </c>
      <c r="AH809" s="648" t="n">
        <v>0</v>
      </c>
      <c r="AI809" s="648" t="n">
        <v>0</v>
      </c>
      <c r="AJ809" s="648" t="n">
        <v>0</v>
      </c>
      <c r="AK809" s="648" t="n">
        <v>0</v>
      </c>
      <c r="AL809" s="648" t="n">
        <v>0</v>
      </c>
      <c r="AM809" s="573">
        <f>SUM(Z809:AL812)</f>
        <v/>
      </c>
      <c r="AN809" s="693" t="n"/>
      <c r="AO809" s="485" t="n"/>
      <c r="AP809" s="416" t="n"/>
      <c r="AQ809" s="1238">
        <f>IFERROR(I809/J809*100,"0")</f>
        <v/>
      </c>
      <c r="AR809" s="1238">
        <f>IFERROR(1/(1-(AQ809/100)),"0")</f>
        <v/>
      </c>
      <c r="AS809" s="1238" t="n">
        <v>0</v>
      </c>
      <c r="AT809" s="345" t="n"/>
      <c r="AU809" s="1240" t="n"/>
      <c r="AV809" s="1240" t="n"/>
    </row>
    <row r="810" ht="19.5" customHeight="1">
      <c r="A810" s="973" t="n"/>
      <c r="B810" s="971" t="n"/>
      <c r="C810" s="972" t="n"/>
      <c r="D810" s="973"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73"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73"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75" t="n"/>
      <c r="E813" s="975" t="n"/>
      <c r="F813" s="998" t="n"/>
      <c r="G813" s="998" t="n"/>
      <c r="H813" s="975" t="n"/>
      <c r="I813" s="975" t="n"/>
      <c r="J813" s="975" t="n"/>
      <c r="K813" s="1189">
        <f>K809=L813</f>
        <v/>
      </c>
      <c r="L813" s="491">
        <f>SUM(L809:L812)</f>
        <v/>
      </c>
      <c r="M813" s="1190" t="n"/>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569" t="inlineStr">
        <is>
          <t>ÍTEM</t>
        </is>
      </c>
      <c r="B817" s="569" t="inlineStr">
        <is>
          <t>INSUMOS</t>
        </is>
      </c>
      <c r="C817" s="965" t="n"/>
      <c r="D817" s="552" t="inlineStr">
        <is>
          <t>SALDO MES ANTERIOR</t>
        </is>
      </c>
      <c r="E817" s="961" t="inlineStr">
        <is>
          <t xml:space="preserve">BIOLÓGICO RECIBIDO POR MSPS O ET </t>
        </is>
      </c>
      <c r="F817" s="545" t="inlineStr">
        <is>
          <t>DOSIS APLICADAS</t>
        </is>
      </c>
      <c r="G817" s="967" t="n"/>
      <c r="H817" s="1232" t="inlineStr">
        <is>
          <t>TOTAL DE DOSIS APLICADAS</t>
        </is>
      </c>
      <c r="I817" s="961" t="inlineStr">
        <is>
          <t>DOSIS PERDIDAS</t>
        </is>
      </c>
      <c r="J817" s="1231" t="inlineStr">
        <is>
          <t>TOTAL DE DOSIS UTILIZADAS EN EL MES</t>
        </is>
      </c>
      <c r="K817" s="961" t="inlineStr">
        <is>
          <t>DOSIS TRASLADADAS A OTROS DEPARTAMENTOS, DISTRITOS O RETORNO AL MSPS</t>
        </is>
      </c>
      <c r="L817" s="1253" t="inlineStr">
        <is>
          <t xml:space="preserve">TOTAL SALDO QUE INICIA EL MES </t>
        </is>
      </c>
      <c r="M817" s="1232" t="inlineStr">
        <is>
          <t xml:space="preserve">SALDO CON QUE EL CA DEPARTAMENTAL INICIA </t>
        </is>
      </c>
      <c r="N817" s="1231" t="inlineStr">
        <is>
          <t xml:space="preserve">SALDO CON QUE LOS MUNICIPIOS O IPS INICIAN </t>
        </is>
      </c>
      <c r="O817" s="1232" t="inlineStr">
        <is>
          <t>MESES DISPONIBLES SEGÚN DOSIS UTILIZADAS EN EL MES</t>
        </is>
      </c>
      <c r="P817" s="544" t="inlineStr">
        <is>
          <t>DOSIS EN CUARENTENA</t>
        </is>
      </c>
      <c r="Q817" s="544" t="inlineStr">
        <is>
          <t>LABORATORIO</t>
        </is>
      </c>
      <c r="R817" s="544" t="inlineStr">
        <is>
          <t>No. LOTE</t>
        </is>
      </c>
      <c r="S817" s="544" t="inlineStr">
        <is>
          <t>FECHA DE VENCIMEINTO</t>
        </is>
      </c>
      <c r="T817" s="544" t="inlineStr">
        <is>
          <t>CONDICIÓN FINAL DEL BIOLÓGICO O INSUMO</t>
        </is>
      </c>
      <c r="U817" s="561" t="n"/>
      <c r="V817" s="1254" t="n"/>
      <c r="X817" s="366" t="n"/>
      <c r="Y817" s="232" t="n"/>
      <c r="Z817" s="400" t="inlineStr">
        <is>
          <t>CAUSAS PERDIDA DE BIOLÓGICOS (Remítase a la primera hoja donde se especifica la clasificación de las perdidas)</t>
        </is>
      </c>
      <c r="AA817" s="400" t="n"/>
      <c r="AB817" s="400" t="n"/>
      <c r="AC817" s="400" t="n"/>
      <c r="AD817" s="400" t="n"/>
      <c r="AE817" s="400" t="n"/>
      <c r="AF817" s="400" t="n"/>
      <c r="AG817" s="400" t="n"/>
      <c r="AH817" s="400" t="n"/>
      <c r="AI817" s="400" t="n"/>
      <c r="AJ817" s="400" t="n"/>
      <c r="AK817" s="400" t="n"/>
      <c r="AL817" s="400" t="n"/>
      <c r="AM817" s="1181" t="inlineStr">
        <is>
          <t xml:space="preserve">TOTAL DOSIS PERDIDAS        </t>
        </is>
      </c>
      <c r="AN817" s="367" t="n"/>
      <c r="AO817" s="368" t="n"/>
    </row>
    <row r="818" ht="21.75" customHeight="1">
      <c r="A818" s="973" t="n"/>
      <c r="B818" s="971" t="n"/>
      <c r="C818" s="972" t="n"/>
      <c r="D818" s="973" t="n"/>
      <c r="E818" s="973" t="n"/>
      <c r="F818" s="552" t="inlineStr">
        <is>
          <t>DOSIS APLICADAS
COLOMBIANOS</t>
        </is>
      </c>
      <c r="G818" s="552" t="inlineStr">
        <is>
          <t>DOSIS APLICADAS EXTRANJEROS</t>
        </is>
      </c>
      <c r="H818" s="973" t="n"/>
      <c r="I818" s="973" t="n"/>
      <c r="J818" s="973" t="n"/>
      <c r="K818" s="973" t="n"/>
      <c r="L818" s="973" t="n"/>
      <c r="M818" s="973" t="n"/>
      <c r="N818" s="973" t="n"/>
      <c r="O818" s="973" t="n"/>
      <c r="P818" s="973" t="n"/>
      <c r="Q818" s="973" t="n"/>
      <c r="R818" s="973" t="n"/>
      <c r="S818" s="973" t="n"/>
      <c r="T818" s="973" t="n"/>
      <c r="X818" s="366" t="n"/>
      <c r="Y818" s="232" t="n"/>
      <c r="Z818" s="533" t="n">
        <v>1</v>
      </c>
      <c r="AA818" s="968" t="n"/>
      <c r="AB818" s="967" t="n"/>
      <c r="AC818" s="330" t="n">
        <v>2</v>
      </c>
      <c r="AD818" s="566" t="n">
        <v>3</v>
      </c>
      <c r="AE818" s="533" t="n">
        <v>4</v>
      </c>
      <c r="AF818" s="566" t="n">
        <v>5</v>
      </c>
      <c r="AG818" s="533" t="n">
        <v>6</v>
      </c>
      <c r="AH818" s="566" t="n">
        <v>7</v>
      </c>
      <c r="AI818" s="533" t="n">
        <v>8</v>
      </c>
      <c r="AJ818" s="533" t="n">
        <v>9</v>
      </c>
      <c r="AK818" s="533" t="n">
        <v>10</v>
      </c>
      <c r="AL818" s="566" t="n">
        <v>11</v>
      </c>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X819" s="366" t="n"/>
      <c r="Y819" s="232" t="n"/>
      <c r="Z819" s="533" t="inlineStr">
        <is>
          <t>POLÍTICA DE FRASCOS ABIERTO</t>
        </is>
      </c>
      <c r="AA819" s="968" t="n"/>
      <c r="AB819" s="967" t="n"/>
      <c r="AC819" s="330" t="inlineStr">
        <is>
          <t>INTERRUPCIÓN DE CADENA DE FRÍO</t>
        </is>
      </c>
      <c r="AD819" s="566" t="inlineStr">
        <is>
          <t>CONTAMINACION DEL BIOLÓGICO/DISPOSITIVO MÉDICO</t>
        </is>
      </c>
      <c r="AE819" s="533" t="inlineStr">
        <is>
          <t>VIAL ROTO</t>
        </is>
      </c>
      <c r="AF819" s="566" t="inlineStr">
        <is>
          <t>ERRORES EN LA MANIPULACIÓN</t>
        </is>
      </c>
      <c r="AG819" s="533" t="inlineStr">
        <is>
          <t>VENCIMIENTO DEL BIOLÓGICO O JERINGA</t>
        </is>
      </c>
      <c r="AH819" s="566" t="inlineStr">
        <is>
          <t>FARMACOVIGILANCIA / TECNOVIGILANCIA</t>
        </is>
      </c>
      <c r="AI819" s="533" t="inlineStr">
        <is>
          <t>VOMITO FRANCO</t>
        </is>
      </c>
      <c r="AJ819" s="533" t="inlineStr">
        <is>
          <t>APLICACIÓN FUERA DE LA EDAD</t>
        </is>
      </c>
      <c r="AK819" s="533" t="inlineStr">
        <is>
          <t>POR DECISIÓN FINAL DEL PACIENTE DE NO VACUNACIÓN</t>
        </is>
      </c>
      <c r="AL819" s="566" t="inlineStr">
        <is>
          <t>SINIESTRO O ROBO</t>
        </is>
      </c>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X820" s="366" t="n"/>
      <c r="Y820" s="232" t="n"/>
      <c r="Z820" s="533" t="inlineStr">
        <is>
          <t>INSTITUCIONAL</t>
        </is>
      </c>
      <c r="AA820" s="533" t="inlineStr">
        <is>
          <t>EXTRAMURAL</t>
        </is>
      </c>
      <c r="AB820" s="533" t="inlineStr">
        <is>
          <t>TOTAL</t>
        </is>
      </c>
      <c r="AC820" s="975" t="n"/>
      <c r="AD820" s="975" t="n"/>
      <c r="AE820" s="975" t="n"/>
      <c r="AF820" s="975" t="n"/>
      <c r="AG820" s="975" t="n"/>
      <c r="AH820" s="975" t="n"/>
      <c r="AI820" s="975" t="n"/>
      <c r="AJ820" s="975" t="n"/>
      <c r="AK820" s="975" t="n"/>
      <c r="AL820" s="975" t="n"/>
      <c r="AM820" s="975" t="n"/>
      <c r="AN820" s="333" t="n"/>
      <c r="AO820" s="368" t="n"/>
      <c r="AQ820" s="370" t="inlineStr">
        <is>
          <t>PORCENTAJE DE PERDIDA DEL MES
%</t>
        </is>
      </c>
      <c r="AR820" s="370" t="inlineStr">
        <is>
          <t>FACTOR DE PERDIDA DEL MES</t>
        </is>
      </c>
      <c r="AS820" s="371" t="inlineStr">
        <is>
          <t>% DE PERDIDA DEL MSPS</t>
        </is>
      </c>
      <c r="AT820" s="371" t="inlineStr">
        <is>
          <t>DOSIS POR VIAL</t>
        </is>
      </c>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v>65</v>
      </c>
      <c r="AT821" s="345" t="n">
        <v>10</v>
      </c>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v>0</v>
      </c>
      <c r="AT823" s="345" t="n">
        <v>0</v>
      </c>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v>15</v>
      </c>
      <c r="AT824" s="345" t="n">
        <v>5</v>
      </c>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v>0</v>
      </c>
      <c r="AT825" s="345" t="n">
        <v>0</v>
      </c>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v>0</v>
      </c>
      <c r="AT826" s="345" t="n">
        <v>0</v>
      </c>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v>0</v>
      </c>
      <c r="AT827" s="345" t="n">
        <v>0</v>
      </c>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v>0</v>
      </c>
      <c r="AT829" s="345" t="n">
        <v>1</v>
      </c>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v>0</v>
      </c>
      <c r="AT830" s="345" t="n">
        <v>1</v>
      </c>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v>0</v>
      </c>
      <c r="AT831" s="345" t="n">
        <v>1</v>
      </c>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v>0</v>
      </c>
      <c r="AT832" s="345" t="n">
        <v>1</v>
      </c>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v>0</v>
      </c>
      <c r="AT833" s="345" t="n">
        <v>1</v>
      </c>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v>0</v>
      </c>
      <c r="AT835" s="345" t="n">
        <v>1</v>
      </c>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v>0</v>
      </c>
      <c r="AT836" s="345" t="n">
        <v>1</v>
      </c>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v>0</v>
      </c>
      <c r="AT837" s="345" t="n">
        <v>1</v>
      </c>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v>25</v>
      </c>
      <c r="AT838" s="345" t="n">
        <v>5</v>
      </c>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v>0</v>
      </c>
      <c r="AT839" s="345" t="n">
        <v>1</v>
      </c>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v>70</v>
      </c>
      <c r="AT841" s="345" t="n">
        <v>10</v>
      </c>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v>0</v>
      </c>
      <c r="AT842" s="345" t="n">
        <v>1</v>
      </c>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v>0</v>
      </c>
      <c r="AT843" s="345" t="n">
        <v>1</v>
      </c>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v>0</v>
      </c>
      <c r="AT844" s="345" t="n">
        <v>1</v>
      </c>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v>10</v>
      </c>
      <c r="AT845" s="345" t="n">
        <v>10</v>
      </c>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v>10</v>
      </c>
      <c r="AT847" s="345" t="n">
        <v>20</v>
      </c>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v>10</v>
      </c>
      <c r="AT848" s="345" t="n">
        <v>10</v>
      </c>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v>0</v>
      </c>
      <c r="AT849" s="345" t="n">
        <v>1</v>
      </c>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v>0</v>
      </c>
      <c r="AT850" s="345" t="n">
        <v>1</v>
      </c>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v>0</v>
      </c>
      <c r="AT851" s="345" t="n">
        <v>1</v>
      </c>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v>0</v>
      </c>
      <c r="AT853" s="345" t="n">
        <v>1</v>
      </c>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v>0</v>
      </c>
      <c r="AT854" s="345" t="n">
        <v>1</v>
      </c>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v>0</v>
      </c>
      <c r="AT855" s="345" t="n">
        <v>1</v>
      </c>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v>0</v>
      </c>
      <c r="AT856" s="345" t="n">
        <v>1</v>
      </c>
    </row>
    <row r="857" ht="28.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7"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inlineStr">
        <is>
          <t>SALDO MES ANTERIOR</t>
        </is>
      </c>
      <c r="E889" s="961" t="inlineStr">
        <is>
          <t xml:space="preserve">BIOLÓGICO RECIBIDO POR MSPS O ET </t>
        </is>
      </c>
      <c r="F889" s="545" t="inlineStr">
        <is>
          <t>DOSIS APLICADAS</t>
        </is>
      </c>
      <c r="G889" s="967" t="n"/>
      <c r="H889" s="1232" t="inlineStr">
        <is>
          <t>TOTAL DE DOSIS APLICADAS</t>
        </is>
      </c>
      <c r="I889" s="961" t="inlineStr">
        <is>
          <t>DOSIS PERDIDAS</t>
        </is>
      </c>
      <c r="J889" s="1231" t="inlineStr">
        <is>
          <t>TOTAL DE DOSIS UTILIZADAS EN EL MES</t>
        </is>
      </c>
      <c r="K889" s="961" t="inlineStr">
        <is>
          <t>DOSIS TRASLADADAS A OTROS DEPARTAMENTOS, DISTRITOS O RETORNO AL MSPS</t>
        </is>
      </c>
      <c r="L889" s="1253" t="inlineStr">
        <is>
          <t xml:space="preserve">TOTAL SALDO QUE INICIA EL MES </t>
        </is>
      </c>
      <c r="M889" s="1232" t="inlineStr">
        <is>
          <t xml:space="preserve">SALDO CON QUE EL CA DEPARTAMENTAL INICIA </t>
        </is>
      </c>
      <c r="N889" s="1231" t="inlineStr">
        <is>
          <t xml:space="preserve">SALDO CON QUE LOS MUNICIPIOS O IPS INICIAN </t>
        </is>
      </c>
      <c r="O889" s="1232" t="inlineStr">
        <is>
          <t>MESES DISPONIBLES SEGÚN DOSIS UTILIZADAS EN EL MES</t>
        </is>
      </c>
      <c r="P889" s="544" t="inlineStr">
        <is>
          <t>DOSIS EN CUARENTENA</t>
        </is>
      </c>
      <c r="Q889" s="544" t="inlineStr">
        <is>
          <t>LABORATORIO</t>
        </is>
      </c>
      <c r="R889" s="544" t="inlineStr">
        <is>
          <t>No. LOTE</t>
        </is>
      </c>
      <c r="S889" s="544" t="inlineStr">
        <is>
          <t>FECHA DE VENCIMEINTO</t>
        </is>
      </c>
      <c r="T889" s="544" t="inlineStr">
        <is>
          <t>CONDICIÓN FINAL DEL BIOLÓGICO O INSUMO</t>
        </is>
      </c>
      <c r="U889" s="561" t="n"/>
      <c r="V889" s="1254" t="n"/>
      <c r="Y889" s="232" t="n"/>
      <c r="Z889" s="1221" t="inlineStr">
        <is>
          <t>MOTIVOS DE NO USO DE VACUNAS CONTRA LA COVID-19
RESOLUCIÓN 0118 DEL 27 DE ENERO DE 2026
DISPONIBLE EN EL SIGUIENTE LINK: https://www.minsalud.gov.co/Normatividad_Nuevo/Resolucion%20No%20118%20de%202026.pdf</t>
        </is>
      </c>
      <c r="AA889" s="968" t="n"/>
      <c r="AB889" s="968" t="n"/>
      <c r="AC889" s="968" t="n"/>
      <c r="AD889" s="968" t="n"/>
      <c r="AE889" s="968" t="n"/>
      <c r="AF889" s="968" t="n"/>
      <c r="AG889" s="968" t="n"/>
      <c r="AH889" s="968" t="n"/>
      <c r="AI889" s="968" t="n"/>
      <c r="AJ889" s="968" t="n"/>
      <c r="AK889" s="968" t="n"/>
      <c r="AL889" s="967" t="n"/>
      <c r="AM889" s="532" t="inlineStr">
        <is>
          <t xml:space="preserve">TOTAL DOSIS PERDIDAS        </t>
        </is>
      </c>
      <c r="AP889" s="416" t="n"/>
      <c r="AQ889" s="416" t="n"/>
      <c r="AR889" s="416" t="n"/>
      <c r="AS889" s="416" t="n"/>
      <c r="AT889" s="416" t="n"/>
      <c r="AU889" s="1240" t="n"/>
      <c r="AV889" s="1240" t="n"/>
    </row>
    <row r="890" ht="22.5" customHeight="1">
      <c r="A890" s="971" t="n"/>
      <c r="C890" s="972" t="n"/>
      <c r="D890" s="973" t="n"/>
      <c r="E890" s="973" t="n"/>
      <c r="F890" s="552" t="inlineStr">
        <is>
          <t>DOSIS APLICADAS
COLOMBIANOS</t>
        </is>
      </c>
      <c r="G890" s="552" t="inlineStr">
        <is>
          <t>DOSIS APLICADAS EXTRANJEROS</t>
        </is>
      </c>
      <c r="H890" s="973" t="n"/>
      <c r="I890" s="973" t="n"/>
      <c r="J890" s="973" t="n"/>
      <c r="K890" s="973" t="n"/>
      <c r="L890" s="973" t="n"/>
      <c r="M890" s="973" t="n"/>
      <c r="N890" s="973" t="n"/>
      <c r="O890" s="973" t="n"/>
      <c r="P890" s="973" t="n"/>
      <c r="Q890" s="973" t="n"/>
      <c r="R890" s="973" t="n"/>
      <c r="S890" s="973" t="n"/>
      <c r="T890" s="973" t="n"/>
      <c r="Y890" s="232" t="n"/>
      <c r="Z890" s="533" t="n">
        <v>1</v>
      </c>
      <c r="AA890" s="967" t="n"/>
      <c r="AB890" s="533" t="n">
        <v>2</v>
      </c>
      <c r="AC890" s="533" t="n">
        <v>3</v>
      </c>
      <c r="AD890" s="533" t="n">
        <v>4</v>
      </c>
      <c r="AE890" s="533" t="n">
        <v>5</v>
      </c>
      <c r="AF890" s="533" t="n">
        <v>6</v>
      </c>
      <c r="AG890" s="533" t="n">
        <v>7</v>
      </c>
      <c r="AH890" s="533" t="n">
        <v>8</v>
      </c>
      <c r="AI890" s="533" t="n">
        <v>9</v>
      </c>
      <c r="AJ890" s="533" t="n">
        <v>10</v>
      </c>
      <c r="AK890" s="533" t="n">
        <v>11</v>
      </c>
      <c r="AL890" s="533" t="n">
        <v>12</v>
      </c>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inlineStr">
        <is>
          <t>POLÍTICA DE FRASCOS ABIERTO</t>
        </is>
      </c>
      <c r="AA891" s="967" t="n"/>
      <c r="AB891" s="1222" t="inlineStr">
        <is>
          <t>INTERRUPCIÓN DE LA CADENA DE FRÍO</t>
        </is>
      </c>
      <c r="AC891" s="537" t="inlineStr">
        <is>
          <t>CONTAMINACIÓN DEL BIOLÓGICO</t>
        </is>
      </c>
      <c r="AD891" s="1222" t="inlineStr">
        <is>
          <t>ERROR EN LA MANIPULACIÓN</t>
        </is>
      </c>
      <c r="AE891" s="537" t="inlineStr">
        <is>
          <t>ERROR EN LA RECONSTITUCIÓN/DILUCIÓN</t>
        </is>
      </c>
      <c r="AF891" s="1222" t="inlineStr">
        <is>
          <t>ERROR EN LA DOSIFICACIÓN</t>
        </is>
      </c>
      <c r="AG891" s="537" t="inlineStr">
        <is>
          <t>VACUNA QUE EXCEDE EL TIEMPO DE ALMACENAMIENTO EN REFRIGERACIÓN</t>
        </is>
      </c>
      <c r="AH891" s="1222" t="inlineStr">
        <is>
          <t>VENCIMIENTO DEL BIOLÓGICO</t>
        </is>
      </c>
      <c r="AI891" s="537" t="inlineStr">
        <is>
          <t>FRASCO VIAL ROTO</t>
        </is>
      </c>
      <c r="AJ891" s="1222" t="inlineStr">
        <is>
          <t>FALLAS DE FABRICACIÓN/CALIDAD</t>
        </is>
      </c>
      <c r="AK891" s="537" t="inlineStr">
        <is>
          <t>SINIESTRO / ACCIDENTE</t>
        </is>
      </c>
      <c r="AL891" s="1222" t="inlineStr">
        <is>
          <t>ROBO/HURTO BIOLÓGICO</t>
        </is>
      </c>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inlineStr">
        <is>
          <t>INSTITUCIONAL</t>
        </is>
      </c>
      <c r="AA892" s="497" t="inlineStr">
        <is>
          <t>EXTRAMURAL</t>
        </is>
      </c>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inlineStr">
        <is>
          <t>Observación</t>
        </is>
      </c>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mVXNyv8qrjNAH6hsRE2trg==" formatRows="1" sort="1" spinCount="100000" hashValue="vKDzw0WVPByMird/Egxgn9GOXz2KV6Y/zyi8cIcwmBTq278a6FuTW4eLG6x9+lyXxCWmamhQg3LNivlFBjOjaA=="/>
  <mergeCells count="3720">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AC25:AC29"/>
    <mergeCell ref="I133:I138"/>
    <mergeCell ref="B181:C186"/>
    <mergeCell ref="AI352:AI357"/>
    <mergeCell ref="D413:D416"/>
    <mergeCell ref="AL787:AL788"/>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AH11:AH12"/>
    <mergeCell ref="E31:E36"/>
    <mergeCell ref="I435:I440"/>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Z11:AB11"/>
    <mergeCell ref="AG211:AG215"/>
    <mergeCell ref="W742:W748"/>
    <mergeCell ref="AN163:AN167"/>
    <mergeCell ref="D236:D241"/>
    <mergeCell ref="J465:J470"/>
    <mergeCell ref="AV465:AV469"/>
    <mergeCell ref="B507:C512"/>
    <mergeCell ref="Z223:Z227"/>
    <mergeCell ref="D359:D365"/>
    <mergeCell ref="A525:A530"/>
    <mergeCell ref="B778:C778"/>
    <mergeCell ref="I609:I614"/>
    <mergeCell ref="AF230:AF234"/>
    <mergeCell ref="K115:K119"/>
    <mergeCell ref="AF537:AF541"/>
    <mergeCell ref="AC79:AC83"/>
    <mergeCell ref="U9:U12"/>
    <mergeCell ref="AC73:AC77"/>
    <mergeCell ref="J272:J277"/>
    <mergeCell ref="K543:K547"/>
    <mergeCell ref="F652:F657"/>
    <mergeCell ref="K579:K583"/>
    <mergeCell ref="B37:C42"/>
    <mergeCell ref="AA615:AA619"/>
    <mergeCell ref="AK664:AK668"/>
    <mergeCell ref="AH296:AH300"/>
    <mergeCell ref="AH303:AH308"/>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E61:AE65"/>
    <mergeCell ref="AJ441:AJ445"/>
    <mergeCell ref="AF714:AF719"/>
    <mergeCell ref="B121:C126"/>
    <mergeCell ref="E272:E277"/>
    <mergeCell ref="AH676:AH680"/>
    <mergeCell ref="AD543:AD547"/>
    <mergeCell ref="G459:G464"/>
    <mergeCell ref="E735:E741"/>
    <mergeCell ref="D634:D639"/>
    <mergeCell ref="AE519:AE523"/>
    <mergeCell ref="H441:H446"/>
    <mergeCell ref="J199:J204"/>
    <mergeCell ref="B579:C584"/>
    <mergeCell ref="AG11:AG12"/>
    <mergeCell ref="AE891:AE892"/>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I193:I198"/>
    <mergeCell ref="AG296:AG300"/>
    <mergeCell ref="AG303:AG308"/>
    <mergeCell ref="AD804:AD807"/>
    <mergeCell ref="AI489:AI493"/>
    <mergeCell ref="K513:K517"/>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H85:H90"/>
    <mergeCell ref="AC187:AC191"/>
    <mergeCell ref="I175:I180"/>
    <mergeCell ref="AM809:AM812"/>
    <mergeCell ref="AI405:AI408"/>
    <mergeCell ref="AR441:AR445"/>
    <mergeCell ref="AB555:AB559"/>
    <mergeCell ref="H303:H309"/>
    <mergeCell ref="AB549:AB553"/>
    <mergeCell ref="AM97:AM101"/>
    <mergeCell ref="AE721:AE726"/>
    <mergeCell ref="AD749:AD754"/>
    <mergeCell ref="AL423:AL427"/>
    <mergeCell ref="AE591:AE595"/>
    <mergeCell ref="AV447:AV451"/>
    <mergeCell ref="D103:D108"/>
    <mergeCell ref="H507:H512"/>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AA55:AA59"/>
    <mergeCell ref="AT525:AT529"/>
    <mergeCell ref="B782:C782"/>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J284:J289"/>
    <mergeCell ref="K585:K5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K103:AK107"/>
    <mergeCell ref="AA37:AA41"/>
    <mergeCell ref="AL139:AL143"/>
    <mergeCell ref="J749:J755"/>
    <mergeCell ref="AA73:AA77"/>
    <mergeCell ref="AH338:AH343"/>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AI25:AI29"/>
    <mergeCell ref="K211:K215"/>
    <mergeCell ref="B290:C295"/>
    <mergeCell ref="AI181:AI185"/>
    <mergeCell ref="B826:C826"/>
    <mergeCell ref="AW609:AW613"/>
    <mergeCell ref="I278:I283"/>
    <mergeCell ref="AQ441:AQ445"/>
    <mergeCell ref="F531:F536"/>
    <mergeCell ref="AF756:AF761"/>
    <mergeCell ref="B785:C788"/>
    <mergeCell ref="K763:K768"/>
    <mergeCell ref="A187:A192"/>
    <mergeCell ref="AN290:AN294"/>
    <mergeCell ref="AT477:AT481"/>
    <mergeCell ref="AD591:AD595"/>
    <mergeCell ref="AC794:AC797"/>
    <mergeCell ref="B828:C828"/>
    <mergeCell ref="B853:C853"/>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E352:AE357"/>
    <mergeCell ref="E169:E174"/>
    <mergeCell ref="K331:K336"/>
    <mergeCell ref="D501:D506"/>
    <mergeCell ref="I573:I578"/>
    <mergeCell ref="AM603:AM607"/>
    <mergeCell ref="AL664:AL668"/>
    <mergeCell ref="AB390:AB393"/>
    <mergeCell ref="AH787:AH78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Z139:Z143"/>
    <mergeCell ref="G345:G351"/>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565:C565"/>
    <mergeCell ref="Z799:Z802"/>
    <mergeCell ref="B894:C894"/>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AR447:AR451"/>
    <mergeCell ref="D507:D512"/>
    <mergeCell ref="H205:H210"/>
    <mergeCell ref="AK609:AK613"/>
    <mergeCell ref="A682:A687"/>
    <mergeCell ref="R889:R892"/>
    <mergeCell ref="F413:G413"/>
    <mergeCell ref="AA714:AA719"/>
    <mergeCell ref="K278:K282"/>
    <mergeCell ref="H634:H639"/>
    <mergeCell ref="I735:I741"/>
    <mergeCell ref="AF694:AF698"/>
    <mergeCell ref="H31:H36"/>
    <mergeCell ref="AL272:AL27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AN345:AN350"/>
    <mergeCell ref="Z381:AL381"/>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AC248:AC252"/>
    <mergeCell ref="AA175:AA179"/>
    <mergeCell ref="J447:J452"/>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T561:AT565"/>
    <mergeCell ref="AD700:AD704"/>
    <mergeCell ref="AD891:AD892"/>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A109:A114"/>
    <mergeCell ref="H382:H38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Z609:Z613"/>
    <mergeCell ref="B862:C862"/>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W429:AW433"/>
    <mergeCell ref="AL435:AL439"/>
    <mergeCell ref="AG543:AG547"/>
    <mergeCell ref="AG537:AG541"/>
    <mergeCell ref="AA646:AA650"/>
    <mergeCell ref="J459:J464"/>
    <mergeCell ref="A567:A572"/>
    <mergeCell ref="N817:N820"/>
    <mergeCell ref="A561:A566"/>
    <mergeCell ref="K157:K161"/>
    <mergeCell ref="I91:I96"/>
    <mergeCell ref="Z549:Z553"/>
    <mergeCell ref="AF728:AF733"/>
    <mergeCell ref="AK67:AK71"/>
    <mergeCell ref="AN395:AN398"/>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I417:I422"/>
    <mergeCell ref="B781:C781"/>
    <mergeCell ref="I531:I536"/>
    <mergeCell ref="D317:D323"/>
    <mergeCell ref="D187:D192"/>
    <mergeCell ref="AF794:AF797"/>
    <mergeCell ref="D912:G912"/>
    <mergeCell ref="F103:F108"/>
    <mergeCell ref="B571:C571"/>
    <mergeCell ref="AI199:AI203"/>
    <mergeCell ref="J230:J235"/>
    <mergeCell ref="AE395:AE398"/>
    <mergeCell ref="AH561:AH565"/>
    <mergeCell ref="K501:K505"/>
    <mergeCell ref="Z417:Z421"/>
    <mergeCell ref="B871:C871"/>
    <mergeCell ref="Z199:Z203"/>
    <mergeCell ref="J652:J657"/>
    <mergeCell ref="AL85:AL89"/>
    <mergeCell ref="J400:J404"/>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AK133:AK137"/>
    <mergeCell ref="V817:V820"/>
    <mergeCell ref="I799:I803"/>
    <mergeCell ref="B804:C808"/>
    <mergeCell ref="A199:A204"/>
    <mergeCell ref="AV429:AV433"/>
    <mergeCell ref="Z652:Z656"/>
    <mergeCell ref="Z646:Z650"/>
    <mergeCell ref="B145:C150"/>
    <mergeCell ref="AW555:AW559"/>
    <mergeCell ref="AF211:AF215"/>
    <mergeCell ref="AR423:AR427"/>
    <mergeCell ref="Z43:Z47"/>
    <mergeCell ref="A331:A337"/>
    <mergeCell ref="H91:H96"/>
    <mergeCell ref="G513:G518"/>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AK459:AK463"/>
    <mergeCell ref="I519:I524"/>
    <mergeCell ref="AD621:AD625"/>
    <mergeCell ref="B163:C168"/>
    <mergeCell ref="B794:C798"/>
    <mergeCell ref="K242:K246"/>
    <mergeCell ref="Z61:Z65"/>
    <mergeCell ref="K236:K240"/>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D615:D620"/>
    <mergeCell ref="B413:C416"/>
    <mergeCell ref="B395:C399"/>
    <mergeCell ref="Z889:AL889"/>
    <mergeCell ref="B779:C779"/>
    <mergeCell ref="AL181:AL185"/>
    <mergeCell ref="D272:D277"/>
    <mergeCell ref="B543:C548"/>
    <mergeCell ref="AM447:AM451"/>
    <mergeCell ref="Z818:AB818"/>
    <mergeCell ref="AA483:AA487"/>
    <mergeCell ref="AF609:AF613"/>
    <mergeCell ref="K799:K802"/>
    <mergeCell ref="AA694:AA698"/>
    <mergeCell ref="AJ133:AJ137"/>
    <mergeCell ref="AH646:AH650"/>
    <mergeCell ref="H567:H572"/>
    <mergeCell ref="U817:U820"/>
    <mergeCell ref="H561:H566"/>
    <mergeCell ref="B839:C839"/>
    <mergeCell ref="AM573:AM577"/>
    <mergeCell ref="AB471:AB475"/>
    <mergeCell ref="A573:A578"/>
    <mergeCell ref="AB507:AB511"/>
    <mergeCell ref="E429:E434"/>
    <mergeCell ref="J317:J323"/>
    <mergeCell ref="AL163:AL167"/>
    <mergeCell ref="Q381:Q384"/>
    <mergeCell ref="H465:H470"/>
    <mergeCell ref="E97:E102"/>
    <mergeCell ref="AI345:AI350"/>
    <mergeCell ref="B707:C713"/>
    <mergeCell ref="AT465:AT469"/>
    <mergeCell ref="AL199:AL203"/>
    <mergeCell ref="AK531:AK535"/>
    <mergeCell ref="B378:C378"/>
    <mergeCell ref="AD579:AD583"/>
    <mergeCell ref="AK525:AK529"/>
    <mergeCell ref="B115:C120"/>
    <mergeCell ref="AE809:AE812"/>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Z441:Z445"/>
    <mergeCell ref="H489:H494"/>
    <mergeCell ref="AH61:AH65"/>
    <mergeCell ref="AM284:AM288"/>
    <mergeCell ref="A284:A289"/>
    <mergeCell ref="AF331:AF336"/>
    <mergeCell ref="U413:U416"/>
    <mergeCell ref="AJ459:AJ463"/>
    <mergeCell ref="E151:E156"/>
    <mergeCell ref="H193:H198"/>
    <mergeCell ref="AF296:AF300"/>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AK157:AK161"/>
    <mergeCell ref="G385:G389"/>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C67:AC71"/>
    <mergeCell ref="AL278:AL282"/>
    <mergeCell ref="D682:D687"/>
    <mergeCell ref="AH441:AH445"/>
    <mergeCell ref="U889:U892"/>
    <mergeCell ref="AD317:AD322"/>
    <mergeCell ref="AC97:AC101"/>
    <mergeCell ref="AE290:AE294"/>
    <mergeCell ref="K567:K571"/>
    <mergeCell ref="K561:K565"/>
    <mergeCell ref="E459:E464"/>
    <mergeCell ref="AL115:AL119"/>
    <mergeCell ref="J181:J186"/>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E317:E323"/>
    <mergeCell ref="D97:D102"/>
    <mergeCell ref="G465:G470"/>
    <mergeCell ref="AB447:AB451"/>
    <mergeCell ref="AJ531:AJ535"/>
    <mergeCell ref="K714:K719"/>
    <mergeCell ref="K139:K143"/>
    <mergeCell ref="AF248:AF252"/>
    <mergeCell ref="AL477:AL481"/>
    <mergeCell ref="AM567:AM571"/>
    <mergeCell ref="AT435:AT439"/>
    <mergeCell ref="AC537:AC541"/>
    <mergeCell ref="AN331:AN336"/>
    <mergeCell ref="AW585:AW589"/>
    <mergeCell ref="H217:H222"/>
    <mergeCell ref="A707:A713"/>
    <mergeCell ref="J817:J820"/>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AK395:AK398"/>
    <mergeCell ref="B832:C832"/>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Z127:Z131"/>
    <mergeCell ref="AM763:AM768"/>
    <mergeCell ref="H175:H180"/>
    <mergeCell ref="B845:C845"/>
    <mergeCell ref="AJ447:AJ451"/>
    <mergeCell ref="AL205:AL209"/>
    <mergeCell ref="AE682:AE686"/>
    <mergeCell ref="AH405:AH408"/>
    <mergeCell ref="AC609:AC613"/>
    <mergeCell ref="AR531:AR535"/>
    <mergeCell ref="AR525:AR529"/>
    <mergeCell ref="F525:F530"/>
    <mergeCell ref="W423:W428"/>
    <mergeCell ref="AG19:AG23"/>
    <mergeCell ref="Z181:Z185"/>
    <mergeCell ref="AD272:AD276"/>
    <mergeCell ref="AK537:AK541"/>
    <mergeCell ref="AG133:AG137"/>
    <mergeCell ref="AA447:AA451"/>
    <mergeCell ref="R817:R820"/>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K591:K595"/>
    <mergeCell ref="AF891:AF892"/>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AJ97:AJ101"/>
    <mergeCell ref="I465:I470"/>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M477:AM481"/>
    <mergeCell ref="P9:P12"/>
    <mergeCell ref="A477:A482"/>
    <mergeCell ref="K670:K674"/>
    <mergeCell ref="D809:D813"/>
    <mergeCell ref="AM652:AM656"/>
    <mergeCell ref="AL67:AL71"/>
    <mergeCell ref="A79:A84"/>
    <mergeCell ref="E483:E488"/>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AH447:AH451"/>
    <mergeCell ref="B477:C482"/>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L97:AL101"/>
    <mergeCell ref="A317:A323"/>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W465:AW469"/>
    <mergeCell ref="AL345:AL350"/>
    <mergeCell ref="AG579:AG583"/>
    <mergeCell ref="AD405:AD408"/>
    <mergeCell ref="F91:F96"/>
    <mergeCell ref="AN254:AN258"/>
    <mergeCell ref="B375:C375"/>
    <mergeCell ref="AG423:AG427"/>
    <mergeCell ref="K483:K487"/>
    <mergeCell ref="A290:A295"/>
    <mergeCell ref="AI385:AI388"/>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AN157:AN161"/>
    <mergeCell ref="AA272:AA276"/>
    <mergeCell ref="J385:J389"/>
    <mergeCell ref="D555:D560"/>
    <mergeCell ref="AV417:AV421"/>
    <mergeCell ref="AA735:AA740"/>
    <mergeCell ref="AI688:AI692"/>
    <mergeCell ref="AB248:AB252"/>
    <mergeCell ref="Z31:Z35"/>
    <mergeCell ref="H79:H84"/>
    <mergeCell ref="K400:K403"/>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J109:J114"/>
    <mergeCell ref="AH290:AH29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D181:AD185"/>
    <mergeCell ref="AC366:AC371"/>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AB133:AB137"/>
    <mergeCell ref="M817:M820"/>
    <mergeCell ref="AL799:AL802"/>
    <mergeCell ref="J585:J590"/>
    <mergeCell ref="W646:W651"/>
    <mergeCell ref="J382:J384"/>
    <mergeCell ref="F31:F36"/>
    <mergeCell ref="AH310:AH315"/>
    <mergeCell ref="AB477:AB481"/>
    <mergeCell ref="AG236:AG240"/>
    <mergeCell ref="J789:J793"/>
    <mergeCell ref="AI423:AI427"/>
    <mergeCell ref="AD331:AD336"/>
    <mergeCell ref="AN400:AN403"/>
    <mergeCell ref="J193:J198"/>
    <mergeCell ref="S413:S416"/>
    <mergeCell ref="Z352:Z357"/>
    <mergeCell ref="I390:I394"/>
    <mergeCell ref="AI640:AI644"/>
    <mergeCell ref="B531:C536"/>
    <mergeCell ref="AG664:AG668"/>
    <mergeCell ref="AV483:AV487"/>
    <mergeCell ref="AG707:AG712"/>
    <mergeCell ref="T381:T384"/>
    <mergeCell ref="AD507:AD511"/>
    <mergeCell ref="AH205:AH209"/>
    <mergeCell ref="AM714:AM719"/>
    <mergeCell ref="A714:A720"/>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V435:AV439"/>
    <mergeCell ref="AJ477:AJ481"/>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M400:AM403"/>
    <mergeCell ref="A400:A404"/>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D13:D18"/>
    <mergeCell ref="AM115:AM119"/>
    <mergeCell ref="J175:J180"/>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K794:K797"/>
    <mergeCell ref="P413:P416"/>
    <mergeCell ref="T817:T820"/>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AB310:AB315"/>
    <mergeCell ref="J331:J337"/>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AN49:AN53"/>
    <mergeCell ref="I248:I253"/>
    <mergeCell ref="F809:F813"/>
    <mergeCell ref="B835:C835"/>
    <mergeCell ref="B829:C829"/>
    <mergeCell ref="E85:E90"/>
    <mergeCell ref="AA199:AA203"/>
    <mergeCell ref="AN260:AN264"/>
    <mergeCell ref="AK345:AK350"/>
    <mergeCell ref="AV615:AV619"/>
    <mergeCell ref="J615:J620"/>
    <mergeCell ref="F211:F216"/>
    <mergeCell ref="I676:I681"/>
    <mergeCell ref="AG513:AG517"/>
    <mergeCell ref="AH91:AH95"/>
    <mergeCell ref="AM749:AM754"/>
    <mergeCell ref="AK223:AK227"/>
    <mergeCell ref="AA395:AA398"/>
    <mergeCell ref="AS447:AS451"/>
    <mergeCell ref="A621:A626"/>
    <mergeCell ref="AH385:AH388"/>
    <mergeCell ref="F763:F769"/>
    <mergeCell ref="Z254:Z258"/>
    <mergeCell ref="S889:S892"/>
    <mergeCell ref="AA103:AA107"/>
    <mergeCell ref="Z248:Z252"/>
    <mergeCell ref="AB317:AB322"/>
    <mergeCell ref="AM742:AM747"/>
    <mergeCell ref="B830:C830"/>
    <mergeCell ref="D19:D24"/>
    <mergeCell ref="AB441:AB445"/>
    <mergeCell ref="E109:E114"/>
    <mergeCell ref="AC290:AC294"/>
    <mergeCell ref="J43:J48"/>
    <mergeCell ref="Z465:Z469"/>
    <mergeCell ref="AB223:AB227"/>
    <mergeCell ref="J489:J494"/>
    <mergeCell ref="E145:E150"/>
    <mergeCell ref="W413:W416"/>
    <mergeCell ref="K640:K644"/>
    <mergeCell ref="E139:E144"/>
    <mergeCell ref="O785:O788"/>
    <mergeCell ref="J700:J705"/>
    <mergeCell ref="AM615:AM619"/>
    <mergeCell ref="AJ157:AJ161"/>
    <mergeCell ref="AJ151:AJ155"/>
    <mergeCell ref="AM193:AM197"/>
    <mergeCell ref="AA217:AA221"/>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Z151:Z155"/>
    <mergeCell ref="K366:K371"/>
    <mergeCell ref="AA543:AA547"/>
    <mergeCell ref="AR435:AR439"/>
    <mergeCell ref="B193:C198"/>
    <mergeCell ref="AK236:AK240"/>
    <mergeCell ref="AF477:AF481"/>
    <mergeCell ref="A809:A813"/>
    <mergeCell ref="H817:H820"/>
    <mergeCell ref="AR555:AR559"/>
    <mergeCell ref="E585:E590"/>
    <mergeCell ref="AE67:AE71"/>
    <mergeCell ref="AB242:AB246"/>
    <mergeCell ref="AQ789:AQ792"/>
    <mergeCell ref="AJ597:AJ601"/>
    <mergeCell ref="E789:E793"/>
    <mergeCell ref="AD429:AD433"/>
    <mergeCell ref="I109:I114"/>
    <mergeCell ref="W573:W578"/>
    <mergeCell ref="G352:G358"/>
    <mergeCell ref="AI400:AI403"/>
    <mergeCell ref="E193:E198"/>
    <mergeCell ref="N413:N416"/>
    <mergeCell ref="B570:C570"/>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E400:E404"/>
    <mergeCell ref="D585:D590"/>
    <mergeCell ref="AD67:AD71"/>
    <mergeCell ref="AL640:AL644"/>
    <mergeCell ref="G818:G820"/>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M9:AM12"/>
    <mergeCell ref="AD97:AD101"/>
    <mergeCell ref="AI223:AI227"/>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AJ260:AJ264"/>
    <mergeCell ref="B390:C394"/>
    <mergeCell ref="E676:E681"/>
    <mergeCell ref="J804:J808"/>
    <mergeCell ref="AV471:AV475"/>
    <mergeCell ref="J471:J476"/>
    <mergeCell ref="AD91:AD95"/>
    <mergeCell ref="G13:G18"/>
    <mergeCell ref="AK37:AK41"/>
    <mergeCell ref="I324:I330"/>
    <mergeCell ref="AD385:AD388"/>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G151:G156"/>
    <mergeCell ref="AE230:AE234"/>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AN151:AN155"/>
    <mergeCell ref="E489:E494"/>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AM230:AM234"/>
    <mergeCell ref="E61:E66"/>
    <mergeCell ref="H429:H4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D109:D114"/>
    <mergeCell ref="S381:S38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B841:C841"/>
    <mergeCell ref="AK91:AK95"/>
    <mergeCell ref="H573:H578"/>
    <mergeCell ref="B373:C373"/>
    <mergeCell ref="K804:K807"/>
    <mergeCell ref="AM278:AM282"/>
    <mergeCell ref="A278:A283"/>
    <mergeCell ref="G49:G54"/>
    <mergeCell ref="AK385:AK388"/>
    <mergeCell ref="AC254:AC258"/>
    <mergeCell ref="AJ453:AJ457"/>
    <mergeCell ref="K471:K475"/>
    <mergeCell ref="AE317:AE322"/>
    <mergeCell ref="AL809:AL812"/>
    <mergeCell ref="AW603:AW607"/>
    <mergeCell ref="AC465:AC469"/>
    <mergeCell ref="G303:G309"/>
    <mergeCell ref="Z97:Z101"/>
    <mergeCell ref="AE223:AE227"/>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AD242:AD246"/>
    <mergeCell ref="AD217:AD221"/>
    <mergeCell ref="AL519:AL523"/>
    <mergeCell ref="AG585:AG589"/>
    <mergeCell ref="B846:C846"/>
    <mergeCell ref="AH682:AH686"/>
    <mergeCell ref="A609:A614"/>
    <mergeCell ref="AL891:AL892"/>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F223:F228"/>
    <mergeCell ref="K324:K329"/>
    <mergeCell ref="AE345:AE350"/>
    <mergeCell ref="AK567:AK571"/>
    <mergeCell ref="I591:I596"/>
    <mergeCell ref="Z19:Z23"/>
    <mergeCell ref="A640:A645"/>
    <mergeCell ref="AE670:AE674"/>
    <mergeCell ref="AT794:AT797"/>
    <mergeCell ref="AL405:AL408"/>
    <mergeCell ref="H794:H798"/>
    <mergeCell ref="B849:C849"/>
    <mergeCell ref="AB627:AB631"/>
    <mergeCell ref="G395:G399"/>
    <mergeCell ref="AJ799:AJ802"/>
    <mergeCell ref="AL230:AL234"/>
    <mergeCell ref="AM79:AM83"/>
    <mergeCell ref="AV561:AV565"/>
    <mergeCell ref="H585:H590"/>
    <mergeCell ref="G890:G892"/>
    <mergeCell ref="AI73:AI77"/>
    <mergeCell ref="AE242:AE246"/>
    <mergeCell ref="Z477:Z481"/>
    <mergeCell ref="AE236:AE240"/>
    <mergeCell ref="A633:C633"/>
    <mergeCell ref="H789:H793"/>
    <mergeCell ref="K217:K221"/>
    <mergeCell ref="B303:C309"/>
    <mergeCell ref="D25:D30"/>
    <mergeCell ref="AI187:AI191"/>
    <mergeCell ref="B296:C301"/>
    <mergeCell ref="AG429:AG433"/>
    <mergeCell ref="AB331:AB336"/>
    <mergeCell ref="AB85:AB89"/>
    <mergeCell ref="I284:I289"/>
    <mergeCell ref="J133:J138"/>
    <mergeCell ref="J352:J358"/>
    <mergeCell ref="AG770:AG775"/>
    <mergeCell ref="I785:I788"/>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AA133:AA137"/>
    <mergeCell ref="H413:H416"/>
    <mergeCell ref="B860:C860"/>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K175:AK179"/>
    <mergeCell ref="A248:A253"/>
    <mergeCell ref="AQ501:AQ505"/>
    <mergeCell ref="W489:W494"/>
    <mergeCell ref="AL157:AL161"/>
    <mergeCell ref="AC345:AC350"/>
    <mergeCell ref="AF260:AF264"/>
    <mergeCell ref="H700:H705"/>
    <mergeCell ref="F181:F186"/>
    <mergeCell ref="AA459:AA463"/>
    <mergeCell ref="H115:H120"/>
    <mergeCell ref="AC217:AC221"/>
    <mergeCell ref="B317:C323"/>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AS794:AS797"/>
    <mergeCell ref="Z205:Z209"/>
    <mergeCell ref="G794:G798"/>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AT459:AT463"/>
    <mergeCell ref="F519:F524"/>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AS809:AS812"/>
    <mergeCell ref="AJ465:AJ469"/>
    <mergeCell ref="AL223:AL227"/>
    <mergeCell ref="G809:G813"/>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AE266:AE270"/>
    <mergeCell ref="L785:L788"/>
    <mergeCell ref="AB345:AB350"/>
    <mergeCell ref="AE260:AE264"/>
    <mergeCell ref="AM770:AM775"/>
    <mergeCell ref="E181:E186"/>
    <mergeCell ref="B858:C85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G405:G409"/>
    <mergeCell ref="AK603:AK607"/>
    <mergeCell ref="B817:C820"/>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Z310:Z315"/>
    <mergeCell ref="H331:H337"/>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AK324:AK329"/>
    <mergeCell ref="AF11:AF12"/>
    <mergeCell ref="D513:D518"/>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AL13:AL17"/>
    <mergeCell ref="AM49:AM53"/>
    <mergeCell ref="H248:H253"/>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AK676:AK680"/>
    <mergeCell ref="W555:W560"/>
    <mergeCell ref="AK670:AK674"/>
    <mergeCell ref="B260:C265"/>
    <mergeCell ref="B827:C827"/>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M55:AM59"/>
    <mergeCell ref="AB205:AB20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AK13:AK17"/>
    <mergeCell ref="AL49:AL53"/>
    <mergeCell ref="G248:G253"/>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AG809:AG812"/>
    <mergeCell ref="AR603:AR607"/>
    <mergeCell ref="B895:C895"/>
    <mergeCell ref="AB721:AB726"/>
    <mergeCell ref="AM501:AM505"/>
    <mergeCell ref="G272:G277"/>
    <mergeCell ref="AL400:AL403"/>
    <mergeCell ref="B471:C476"/>
    <mergeCell ref="AK615:AK619"/>
    <mergeCell ref="AH157:AH161"/>
    <mergeCell ref="I459:I464"/>
    <mergeCell ref="D115:D120"/>
    <mergeCell ref="AG519:AG523"/>
    <mergeCell ref="A405:A409"/>
    <mergeCell ref="AC682:AC686"/>
    <mergeCell ref="AJ390:AJ393"/>
    <mergeCell ref="AI11:AI12"/>
    <mergeCell ref="J435:J440"/>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G109:G114"/>
    <mergeCell ref="F324:F330"/>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AH223:AH227"/>
    <mergeCell ref="J303:J309"/>
    <mergeCell ref="AC640:AC644"/>
    <mergeCell ref="I525:I530"/>
    <mergeCell ref="AG591:AG595"/>
    <mergeCell ref="J507:J512"/>
    <mergeCell ref="G489:G494"/>
    <mergeCell ref="B109:C114"/>
    <mergeCell ref="AG217:AG221"/>
    <mergeCell ref="D905:G905"/>
    <mergeCell ref="AD417:AD421"/>
    <mergeCell ref="AA49:AA53"/>
    <mergeCell ref="W567:W572"/>
    <mergeCell ref="AL501:AL505"/>
    <mergeCell ref="B564:C564"/>
    <mergeCell ref="AK400:AK403"/>
    <mergeCell ref="AI383:AI384"/>
    <mergeCell ref="AA266:AA270"/>
    <mergeCell ref="AA260:AA264"/>
    <mergeCell ref="H459:H464"/>
    <mergeCell ref="AN109:AN113"/>
    <mergeCell ref="A181:A186"/>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AG603:AG607"/>
    <mergeCell ref="W721:W727"/>
    <mergeCell ref="F817:G817"/>
    <mergeCell ref="AD145:AD149"/>
    <mergeCell ref="G67:G72"/>
    <mergeCell ref="J395:J399"/>
    <mergeCell ref="J429:J434"/>
    <mergeCell ref="G61:G66"/>
    <mergeCell ref="E756:E762"/>
    <mergeCell ref="AM799:AM802"/>
    <mergeCell ref="A799:A803"/>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K405:K408"/>
    <mergeCell ref="F597:F602"/>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B67:C72"/>
    <mergeCell ref="AG324:AG329"/>
    <mergeCell ref="J573:J578"/>
    <mergeCell ref="W640:W645"/>
    <mergeCell ref="E9:G9"/>
    <mergeCell ref="AJ55:AJ59"/>
    <mergeCell ref="I49:I54"/>
    <mergeCell ref="AM385:AM388"/>
    <mergeCell ref="AE254:AE258"/>
    <mergeCell ref="AN61:AN65"/>
    <mergeCell ref="AB97:AB101"/>
    <mergeCell ref="I303:I309"/>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AH199:AH203"/>
    <mergeCell ref="I181:I186"/>
    <mergeCell ref="H381:J381"/>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G352:AG357"/>
    <mergeCell ref="AL471:AL475"/>
    <mergeCell ref="AJ787:AJ788"/>
    <mergeCell ref="AL145:AL149"/>
    <mergeCell ref="A359:A365"/>
    <mergeCell ref="AE483:AE487"/>
    <mergeCell ref="AB115:AB119"/>
    <mergeCell ref="J163:J168"/>
    <mergeCell ref="J794:J798"/>
    <mergeCell ref="AK507:AK511"/>
    <mergeCell ref="AG676:AG680"/>
    <mergeCell ref="B537:C542"/>
    <mergeCell ref="AG670:AG674"/>
    <mergeCell ref="AN405:AN408"/>
    <mergeCell ref="AW441:AW445"/>
    <mergeCell ref="D735:D741"/>
    <mergeCell ref="F67:F72"/>
    <mergeCell ref="I395:I399"/>
    <mergeCell ref="AN230:AN234"/>
    <mergeCell ref="AD519:AD523"/>
    <mergeCell ref="G435:G440"/>
    <mergeCell ref="AA501:AA505"/>
    <mergeCell ref="AK79:AK83"/>
    <mergeCell ref="AK73:AK77"/>
    <mergeCell ref="AG242:AG246"/>
    <mergeCell ref="AQ573:AQ577"/>
    <mergeCell ref="K459:K463"/>
    <mergeCell ref="A266:A271"/>
    <mergeCell ref="F25:F30"/>
    <mergeCell ref="AI429:AI433"/>
    <mergeCell ref="A260:A265"/>
    <mergeCell ref="D603:D608"/>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Z121:Z125"/>
    <mergeCell ref="J242:J247"/>
    <mergeCell ref="B374:C374"/>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AA242:AA246"/>
    <mergeCell ref="H471:H476"/>
    <mergeCell ref="B609:C614"/>
    <mergeCell ref="B847:C847"/>
    <mergeCell ref="E13:E18"/>
    <mergeCell ref="AB385:AB388"/>
    <mergeCell ref="AF352:AF357"/>
    <mergeCell ref="AI787:AI788"/>
    <mergeCell ref="AC809:AC812"/>
    <mergeCell ref="A664:A669"/>
    <mergeCell ref="AK145:AK149"/>
    <mergeCell ref="I728:I734"/>
    <mergeCell ref="K531:K535"/>
    <mergeCell ref="AA115:AA119"/>
    <mergeCell ref="AI501:AI505"/>
    <mergeCell ref="Z447:Z451"/>
    <mergeCell ref="K525:K529"/>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AC405:AC408"/>
    <mergeCell ref="AN199:AN203"/>
    <mergeCell ref="J728:J734"/>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A187:AA191"/>
    <mergeCell ref="AD555:AD559"/>
    <mergeCell ref="AN248:AN252"/>
    <mergeCell ref="AN352:AN357"/>
    <mergeCell ref="AD400:AD403"/>
    <mergeCell ref="AJ579:AJ583"/>
    <mergeCell ref="AK770:AK775"/>
    <mergeCell ref="AV603:AV607"/>
    <mergeCell ref="AS804:AS807"/>
    <mergeCell ref="AB465:AB469"/>
    <mergeCell ref="AD223:AD227"/>
    <mergeCell ref="F303:F309"/>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AG400:AG403"/>
    <mergeCell ref="L413:L416"/>
    <mergeCell ref="AF615:AF619"/>
    <mergeCell ref="AC157:AC161"/>
    <mergeCell ref="AV627:AV631"/>
    <mergeCell ref="J627:J632"/>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AD278:AD282"/>
    <mergeCell ref="B844:C844"/>
    <mergeCell ref="Z145:Z149"/>
    <mergeCell ref="AM756:AM761"/>
    <mergeCell ref="B838:C838"/>
    <mergeCell ref="AK230:AK234"/>
    <mergeCell ref="F429:F434"/>
    <mergeCell ref="D338:D344"/>
    <mergeCell ref="I290:I295"/>
    <mergeCell ref="AJ163:AJ167"/>
    <mergeCell ref="AK441:AK445"/>
    <mergeCell ref="AH73:AH77"/>
    <mergeCell ref="Q413:Q416"/>
    <mergeCell ref="F890:F892"/>
    <mergeCell ref="AC175:AC179"/>
    <mergeCell ref="D157:D162"/>
    <mergeCell ref="AH400:AH403"/>
    <mergeCell ref="A603:A608"/>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G115:G120"/>
    <mergeCell ref="AB217:AB221"/>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C352:AC357"/>
    <mergeCell ref="AH471:AH475"/>
    <mergeCell ref="AA193:AA197"/>
    <mergeCell ref="AF787:AF788"/>
    <mergeCell ref="AJ664:AJ668"/>
    <mergeCell ref="I756:I762"/>
    <mergeCell ref="K597:K601"/>
    <mergeCell ref="H236:H241"/>
    <mergeCell ref="F163:F168"/>
    <mergeCell ref="AI567:AI571"/>
    <mergeCell ref="F794:F798"/>
    <mergeCell ref="AR794:AR797"/>
    <mergeCell ref="AJ405:AJ408"/>
    <mergeCell ref="AS441:AS445"/>
    <mergeCell ref="AQ525:AQ529"/>
    <mergeCell ref="E525:E530"/>
    <mergeCell ref="AM248:AM252"/>
    <mergeCell ref="AL735:AL740"/>
    <mergeCell ref="E395:E399"/>
    <mergeCell ref="AJ230:AJ234"/>
    <mergeCell ref="AT567:AT571"/>
    <mergeCell ref="B874:C874"/>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B700:C705"/>
    <mergeCell ref="AL296:AL300"/>
    <mergeCell ref="D127:D132"/>
    <mergeCell ref="AL303:AL308"/>
    <mergeCell ref="G495:G500"/>
    <mergeCell ref="AN359:AN364"/>
    <mergeCell ref="I688:I693"/>
    <mergeCell ref="Z786:AA786"/>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7:F713"/>
    <mergeCell ref="F700:F705"/>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B352:AB357"/>
    <mergeCell ref="F573:F578"/>
    <mergeCell ref="AE787:AE78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K303:AK308"/>
    <mergeCell ref="AM338:AM343"/>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I169:I174"/>
    <mergeCell ref="AH284:AH288"/>
    <mergeCell ref="AI133:AI137"/>
    <mergeCell ref="Z414:AB414"/>
    <mergeCell ref="H9:J9"/>
    <mergeCell ref="W597:W602"/>
    <mergeCell ref="AD819:AD820"/>
    <mergeCell ref="AN25:AN29"/>
    <mergeCell ref="B338:C344"/>
    <mergeCell ref="AA296:AA300"/>
    <mergeCell ref="AA303:AA308"/>
    <mergeCell ref="D579:D584"/>
    <mergeCell ref="AQ809:AQ812"/>
    <mergeCell ref="AM405:AM408"/>
    <mergeCell ref="AV441:AV445"/>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AC266:AC270"/>
    <mergeCell ref="AB417:AB421"/>
    <mergeCell ref="H714:H720"/>
    <mergeCell ref="J785:J788"/>
    <mergeCell ref="G382:G384"/>
    <mergeCell ref="AJ352:AJ357"/>
    <mergeCell ref="Z400:Z403"/>
    <mergeCell ref="E413:E416"/>
    <mergeCell ref="AJ127:AJ131"/>
    <mergeCell ref="AG390:AG393"/>
    <mergeCell ref="I495:I500"/>
    <mergeCell ref="E664:E669"/>
    <mergeCell ref="D597:D602"/>
    <mergeCell ref="AH483:AH487"/>
    <mergeCell ref="AL415:AL416"/>
    <mergeCell ref="AD359:AD364"/>
    <mergeCell ref="AI609:AI613"/>
    <mergeCell ref="B79:C84"/>
    <mergeCell ref="I67:I72"/>
    <mergeCell ref="G804:G808"/>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391" operator="containsText" dxfId="325" text="VERDE">
      <formula>NOT(ISERROR(SEARCH("VERDE",D229)))</formula>
    </cfRule>
    <cfRule type="containsText" priority="392" operator="containsText" dxfId="324" text="AMARILLO">
      <formula>NOT(ISERROR(SEARCH("AMARILLO",D229)))</formula>
    </cfRule>
    <cfRule type="containsText" priority="393" operator="containsText" dxfId="323" text="ROJO">
      <formula>NOT(ISERROR(SEARCH("ROJO",D229)))</formula>
    </cfRule>
  </conditionalFormatting>
  <conditionalFormatting sqref="D821:D856">
    <cfRule type="cellIs" priority="389" operator="lessThan" dxfId="0" stopIfTrue="1">
      <formula>0</formula>
    </cfRule>
  </conditionalFormatting>
  <conditionalFormatting sqref="D858:D869">
    <cfRule type="cellIs" priority="388" operator="lessThan" dxfId="0" stopIfTrue="1">
      <formula>0</formula>
    </cfRule>
  </conditionalFormatting>
  <conditionalFormatting sqref="D871:D888">
    <cfRule type="cellIs" priority="387" operator="lessThan" dxfId="0" stopIfTrue="1">
      <formula>0</formula>
    </cfRule>
  </conditionalFormatting>
  <conditionalFormatting sqref="D893:D894">
    <cfRule type="cellIs" priority="390" operator="lessThan" dxfId="0" stopIfTrue="1">
      <formula>0</formula>
    </cfRule>
  </conditionalFormatting>
  <conditionalFormatting sqref="D566">
    <cfRule type="cellIs" priority="386" operator="lessThan" dxfId="384" stopIfTrue="1">
      <formula>0</formula>
    </cfRule>
  </conditionalFormatting>
  <conditionalFormatting sqref="D572">
    <cfRule type="cellIs" priority="385" operator="lessThan" dxfId="384" stopIfTrue="1">
      <formula>0</formula>
    </cfRule>
  </conditionalFormatting>
  <conditionalFormatting sqref="D895:D897">
    <cfRule type="cellIs" priority="384" operator="lessThan" dxfId="0" stopIfTrue="1">
      <formula>0</formula>
    </cfRule>
  </conditionalFormatting>
  <conditionalFormatting sqref="E229 P410">
    <cfRule type="containsText" priority="376" operator="containsText" dxfId="325" text="VERDE">
      <formula>NOT(ISERROR(SEARCH("VERDE",E229)))</formula>
    </cfRule>
    <cfRule type="containsText" priority="377" operator="containsText" dxfId="324" text="AMARILLO">
      <formula>NOT(ISERROR(SEARCH("AMARILLO",E229)))</formula>
    </cfRule>
    <cfRule type="containsText" priority="378" operator="containsText" dxfId="323" text="ROJO">
      <formula>NOT(ISERROR(SEARCH("ROJO",E229)))</formula>
    </cfRule>
  </conditionalFormatting>
  <conditionalFormatting sqref="E821:I856">
    <cfRule type="cellIs" priority="253" operator="lessThan" dxfId="0" stopIfTrue="1">
      <formula>0</formula>
    </cfRule>
  </conditionalFormatting>
  <conditionalFormatting sqref="E858:I869">
    <cfRule type="cellIs" priority="252" operator="lessThan" dxfId="0" stopIfTrue="1">
      <formula>0</formula>
    </cfRule>
  </conditionalFormatting>
  <conditionalFormatting sqref="E871:I888">
    <cfRule type="cellIs" priority="251" operator="lessThan" dxfId="0" stopIfTrue="1">
      <formula>0</formula>
    </cfRule>
  </conditionalFormatting>
  <conditionalFormatting sqref="E893:I893 E894:G894 H894:I897">
    <cfRule type="cellIs" priority="369" operator="lessThan" dxfId="0" stopIfTrue="1">
      <formula>0</formula>
    </cfRule>
  </conditionalFormatting>
  <conditionalFormatting sqref="K13:K17">
    <cfRule type="cellIs" priority="379" operator="lessThan" dxfId="0" stopIfTrue="1">
      <formula>0</formula>
    </cfRule>
  </conditionalFormatting>
  <conditionalFormatting sqref="K303:K308 K777:K783">
    <cfRule type="cellIs" priority="365" operator="lessThan" dxfId="0" stopIfTrue="1">
      <formula>0</formula>
    </cfRule>
  </conditionalFormatting>
  <conditionalFormatting sqref="K309">
    <cfRule type="containsText" priority="375" operator="containsText" dxfId="8" text="Falso">
      <formula>NOT(ISERROR(SEARCH("Falso",K309)))</formula>
    </cfRule>
  </conditionalFormatting>
  <conditionalFormatting sqref="K373:K380">
    <cfRule type="cellIs" priority="372" operator="lessThan" dxfId="0" stopIfTrue="1">
      <formula>0</formula>
    </cfRule>
  </conditionalFormatting>
  <conditionalFormatting sqref="K385:K388">
    <cfRule type="cellIs" priority="380" operator="lessThan" dxfId="0" stopIfTrue="1">
      <formula>0</formula>
    </cfRule>
  </conditionalFormatting>
  <conditionalFormatting sqref="K389">
    <cfRule type="containsText" priority="381" operator="containsText" dxfId="8" text="Falso">
      <formula>NOT(ISERROR(SEARCH("Falso",K389)))</formula>
    </cfRule>
  </conditionalFormatting>
  <conditionalFormatting sqref="K394">
    <cfRule type="containsText" priority="371" operator="containsText" dxfId="8" text="Falso">
      <formula>NOT(ISERROR(SEARCH("Falso",K394)))</formula>
    </cfRule>
  </conditionalFormatting>
  <conditionalFormatting sqref="K399 K404 K409">
    <cfRule type="containsText" priority="370" operator="containsText" dxfId="8" text="Falso">
      <formula>NOT(ISERROR(SEARCH("Falso",K399)))</formula>
    </cfRule>
  </conditionalFormatting>
  <conditionalFormatting sqref="K714:K719 K721:K726">
    <cfRule type="cellIs" priority="273" operator="lessThan" dxfId="0" stopIfTrue="1">
      <formula>0</formula>
    </cfRule>
  </conditionalFormatting>
  <conditionalFormatting sqref="K634:K638">
    <cfRule type="cellIs" priority="279" operator="lessThan" dxfId="0" stopIfTrue="1">
      <formula>0</formula>
    </cfRule>
  </conditionalFormatting>
  <conditionalFormatting sqref="K749:K754 K756:K761">
    <cfRule type="cellIs" priority="271" operator="lessThan" dxfId="0" stopIfTrue="1">
      <formula>0</formula>
    </cfRule>
  </conditionalFormatting>
  <conditionalFormatting sqref="K763:K768">
    <cfRule type="cellIs" priority="270" operator="lessThan" dxfId="0" stopIfTrue="1">
      <formula>0</formula>
    </cfRule>
  </conditionalFormatting>
  <conditionalFormatting sqref="K770:K775">
    <cfRule type="cellIs" priority="269" operator="lessThan" dxfId="0" stopIfTrue="1">
      <formula>0</formula>
    </cfRule>
  </conditionalFormatting>
  <conditionalFormatting sqref="K707:K712">
    <cfRule type="cellIs" priority="278" operator="lessThan" dxfId="0" stopIfTrue="1">
      <formula>0</formula>
    </cfRule>
  </conditionalFormatting>
  <conditionalFormatting sqref="K728:K733 K735:K740 K742:K747">
    <cfRule type="cellIs" priority="272" operator="lessThan" dxfId="0" stopIfTrue="1">
      <formula>0</formula>
    </cfRule>
  </conditionalFormatting>
  <conditionalFormatting sqref="K821:K856 M821:O856">
    <cfRule type="cellIs" priority="250" operator="lessThan" dxfId="0" stopIfTrue="1">
      <formula>0</formula>
    </cfRule>
  </conditionalFormatting>
  <conditionalFormatting sqref="K858:K869 M858:N869">
    <cfRule type="cellIs" priority="249" operator="lessThan" dxfId="0" stopIfTrue="1">
      <formula>0</formula>
    </cfRule>
  </conditionalFormatting>
  <conditionalFormatting sqref="K871:K888 M871:N887 M888:O888">
    <cfRule type="cellIs" priority="248" operator="lessThan" dxfId="0" stopIfTrue="1">
      <formula>0</formula>
    </cfRule>
  </conditionalFormatting>
  <conditionalFormatting sqref="K893:K894 M893:N894">
    <cfRule type="cellIs" priority="247" operator="lessThan" dxfId="0" stopIfTrue="1">
      <formula>0</formula>
    </cfRule>
  </conditionalFormatting>
  <conditionalFormatting sqref="P13:P17 P303:P308">
    <cfRule type="containsText" priority="361" operator="containsText" dxfId="131" text="VENCIDO">
      <formula>NOT(ISERROR(SEARCH("VENCIDO",P13)))</formula>
    </cfRule>
    <cfRule type="containsText" priority="362" operator="containsText" dxfId="130" text="VERDE">
      <formula>NOT(ISERROR(SEARCH("VERDE",P13)))</formula>
    </cfRule>
    <cfRule type="containsText" priority="363" operator="containsText" dxfId="129" stopIfTrue="1" text="AMARILLO">
      <formula>NOT(ISERROR(SEARCH("AMARILLO",P13)))</formula>
    </cfRule>
    <cfRule type="containsText" priority="364" operator="containsText" dxfId="128" text="ROJO">
      <formula>NOT(ISERROR(SEARCH("ROJO",P13)))</formula>
    </cfRule>
  </conditionalFormatting>
  <conditionalFormatting sqref="P373:P379">
    <cfRule type="containsText" priority="357" operator="containsText" dxfId="131" text="VENCIDO">
      <formula>NOT(ISERROR(SEARCH("VENCIDO",P373)))</formula>
    </cfRule>
    <cfRule type="containsText" priority="358" operator="containsText" dxfId="130" text="VERDE">
      <formula>NOT(ISERROR(SEARCH("VERDE",P373)))</formula>
    </cfRule>
    <cfRule type="containsText" priority="359" operator="containsText" dxfId="129" stopIfTrue="1" text="AMARILLO">
      <formula>NOT(ISERROR(SEARCH("AMARILLO",P373)))</formula>
    </cfRule>
    <cfRule type="containsText" priority="360" operator="containsText" dxfId="128" text="ROJO">
      <formula>NOT(ISERROR(SEARCH("ROJO",P373)))</formula>
    </cfRule>
  </conditionalFormatting>
  <conditionalFormatting sqref="P385:P388">
    <cfRule type="containsText" priority="353" operator="containsText" dxfId="131" text="VENCIDO">
      <formula>NOT(ISERROR(SEARCH("VENCIDO",P385)))</formula>
    </cfRule>
    <cfRule type="containsText" priority="354" operator="containsText" dxfId="130" text="VERDE">
      <formula>NOT(ISERROR(SEARCH("VERDE",P385)))</formula>
    </cfRule>
    <cfRule type="containsText" priority="355" operator="containsText" dxfId="129" stopIfTrue="1" text="AMARILLO">
      <formula>NOT(ISERROR(SEARCH("AMARILLO",P385)))</formula>
    </cfRule>
    <cfRule type="containsText" priority="356" operator="containsText" dxfId="128" text="ROJO">
      <formula>NOT(ISERROR(SEARCH("ROJO",P385)))</formula>
    </cfRule>
  </conditionalFormatting>
  <conditionalFormatting sqref="P417:P421">
    <cfRule type="containsText" priority="346" operator="containsText" dxfId="131" text="VENCIDO">
      <formula>NOT(ISERROR(SEARCH("VENCIDO",P417)))</formula>
    </cfRule>
    <cfRule type="containsText" priority="347" operator="containsText" dxfId="130" text="VERDE">
      <formula>NOT(ISERROR(SEARCH("VERDE",P417)))</formula>
    </cfRule>
    <cfRule type="containsText" priority="348" operator="containsText" dxfId="129" stopIfTrue="1" text="AMARILLO">
      <formula>NOT(ISERROR(SEARCH("AMARILLO",P417)))</formula>
    </cfRule>
    <cfRule type="containsText" priority="349" operator="containsText" dxfId="128" text="ROJO">
      <formula>NOT(ISERROR(SEARCH("ROJO",P417)))</formula>
    </cfRule>
  </conditionalFormatting>
  <conditionalFormatting sqref="P561:P565">
    <cfRule type="containsText" priority="342" operator="containsText" dxfId="131" text="VENCIDO">
      <formula>NOT(ISERROR(SEARCH("VENCIDO",P561)))</formula>
    </cfRule>
    <cfRule type="containsText" priority="343" operator="containsText" dxfId="130" text="VERDE">
      <formula>NOT(ISERROR(SEARCH("VERDE",P561)))</formula>
    </cfRule>
    <cfRule type="containsText" priority="344" operator="containsText" dxfId="129" stopIfTrue="1" text="AMARILLO">
      <formula>NOT(ISERROR(SEARCH("AMARILLO",P561)))</formula>
    </cfRule>
    <cfRule type="containsText" priority="345" operator="containsText" dxfId="128" text="ROJO">
      <formula>NOT(ISERROR(SEARCH("ROJO",P561)))</formula>
    </cfRule>
  </conditionalFormatting>
  <conditionalFormatting sqref="P707:P712">
    <cfRule type="containsText" priority="274" operator="containsText" dxfId="131" text="VENCIDO">
      <formula>NOT(ISERROR(SEARCH("VENCIDO",P707)))</formula>
    </cfRule>
    <cfRule type="containsText" priority="275" operator="containsText" dxfId="130" text="VERDE">
      <formula>NOT(ISERROR(SEARCH("VERDE",P707)))</formula>
    </cfRule>
    <cfRule type="containsText" priority="276" operator="containsText" dxfId="129" stopIfTrue="1" text="AMARILLO">
      <formula>NOT(ISERROR(SEARCH("AMARILLO",P707)))</formula>
    </cfRule>
    <cfRule type="containsText" priority="277" operator="containsText" dxfId="128" text="ROJO">
      <formula>NOT(ISERROR(SEARCH("ROJO",P707)))</formula>
    </cfRule>
  </conditionalFormatting>
  <conditionalFormatting sqref="P777:P783">
    <cfRule type="containsText" priority="265" operator="containsText" dxfId="131" text="VENCIDO">
      <formula>NOT(ISERROR(SEARCH("VENCIDO",P777)))</formula>
    </cfRule>
    <cfRule type="containsText" priority="266" operator="containsText" dxfId="130" text="VERDE">
      <formula>NOT(ISERROR(SEARCH("VERDE",P777)))</formula>
    </cfRule>
    <cfRule type="containsText" priority="267" operator="containsText" dxfId="129" stopIfTrue="1" text="AMARILLO">
      <formula>NOT(ISERROR(SEARCH("AMARILLO",P777)))</formula>
    </cfRule>
    <cfRule type="containsText" priority="268" operator="containsText" dxfId="128" text="ROJO">
      <formula>NOT(ISERROR(SEARCH("ROJO",P777)))</formula>
    </cfRule>
  </conditionalFormatting>
  <conditionalFormatting sqref="Q833:Q848">
    <cfRule type="containsText" priority="259" operator="containsText" dxfId="325" text="VERDE">
      <formula>NOT(ISERROR(SEARCH("VERDE",Q833)))</formula>
    </cfRule>
    <cfRule type="containsText" priority="260" operator="containsText" dxfId="324" text="AMARILLO">
      <formula>NOT(ISERROR(SEARCH("AMARILLO",Q833)))</formula>
    </cfRule>
    <cfRule type="containsText" priority="261" operator="containsText" dxfId="323" text="ROJO">
      <formula>NOT(ISERROR(SEARCH("ROJO",Q833)))</formula>
    </cfRule>
  </conditionalFormatting>
  <conditionalFormatting sqref="Q821:R832">
    <cfRule type="containsText" priority="350" operator="containsText" dxfId="325" text="VERDE">
      <formula>NOT(ISERROR(SEARCH("VERDE",Q821)))</formula>
    </cfRule>
    <cfRule type="containsText" priority="351" operator="containsText" dxfId="324" text="AMARILLO">
      <formula>NOT(ISERROR(SEARCH("AMARILLO",Q821)))</formula>
    </cfRule>
    <cfRule type="containsText" priority="352" operator="containsText" dxfId="323" text="ROJO">
      <formula>NOT(ISERROR(SEARCH("ROJO",Q821)))</formula>
    </cfRule>
  </conditionalFormatting>
  <conditionalFormatting sqref="AO821:AO827 AO838:AO860 AO868:AO871 AO873 AO875:AO887">
    <cfRule type="expression" priority="366" dxfId="314">
      <formula>$AO821&lt;&gt;#REF!</formula>
    </cfRule>
  </conditionalFormatting>
  <conditionalFormatting sqref="AO828:AO835">
    <cfRule type="expression" priority="382" dxfId="314">
      <formula>$AO828&lt;&gt;#REF!</formula>
    </cfRule>
  </conditionalFormatting>
  <conditionalFormatting sqref="AO836:AO837">
    <cfRule type="expression" priority="264" dxfId="314">
      <formula>$AO836&lt;&gt;#REF!</formula>
    </cfRule>
  </conditionalFormatting>
  <conditionalFormatting sqref="AO861">
    <cfRule type="expression" priority="258" dxfId="314">
      <formula>$AO861&lt;&gt;#REF!</formula>
    </cfRule>
  </conditionalFormatting>
  <conditionalFormatting sqref="AO862:AO866">
    <cfRule type="expression" priority="257" dxfId="314">
      <formula>$AO862&lt;&gt;#REF!</formula>
    </cfRule>
  </conditionalFormatting>
  <conditionalFormatting sqref="AO867">
    <cfRule type="expression" priority="256" dxfId="314">
      <formula>$AO867&lt;&gt;#REF!</formula>
    </cfRule>
  </conditionalFormatting>
  <conditionalFormatting sqref="AO872">
    <cfRule type="expression" priority="255" dxfId="314">
      <formula>$AO872&lt;&gt;#REF!</formula>
    </cfRule>
  </conditionalFormatting>
  <conditionalFormatting sqref="AO874">
    <cfRule type="expression" priority="254" dxfId="314">
      <formula>$AO874&lt;&gt;#REF!</formula>
    </cfRule>
  </conditionalFormatting>
  <conditionalFormatting sqref="AO888">
    <cfRule type="expression" priority="383" dxfId="314">
      <formula>$AO888&lt;&gt;$L888</formula>
    </cfRule>
  </conditionalFormatting>
  <conditionalFormatting sqref="AS417">
    <cfRule type="cellIs" priority="368" operator="greaterThan" dxfId="8">
      <formula>1</formula>
    </cfRule>
  </conditionalFormatting>
  <conditionalFormatting sqref="AS423">
    <cfRule type="cellIs" priority="341" operator="greaterThan" dxfId="8">
      <formula>1</formula>
    </cfRule>
  </conditionalFormatting>
  <conditionalFormatting sqref="AS429">
    <cfRule type="cellIs" priority="339" operator="greaterThan" dxfId="8">
      <formula>1</formula>
    </cfRule>
  </conditionalFormatting>
  <conditionalFormatting sqref="AS435">
    <cfRule type="cellIs" priority="337" operator="greaterThan" dxfId="8">
      <formula>1</formula>
    </cfRule>
  </conditionalFormatting>
  <conditionalFormatting sqref="AS441">
    <cfRule type="cellIs" priority="335" operator="greaterThan" dxfId="8">
      <formula>1</formula>
    </cfRule>
  </conditionalFormatting>
  <conditionalFormatting sqref="AS447">
    <cfRule type="cellIs" priority="333" operator="greaterThan" dxfId="8">
      <formula>1</formula>
    </cfRule>
  </conditionalFormatting>
  <conditionalFormatting sqref="AS453">
    <cfRule type="cellIs" priority="331" operator="greaterThan" dxfId="8">
      <formula>1</formula>
    </cfRule>
  </conditionalFormatting>
  <conditionalFormatting sqref="AS459">
    <cfRule type="cellIs" priority="329" operator="greaterThan" dxfId="8">
      <formula>1</formula>
    </cfRule>
  </conditionalFormatting>
  <conditionalFormatting sqref="AS465">
    <cfRule type="cellIs" priority="327" operator="greaterThan" dxfId="8">
      <formula>1</formula>
    </cfRule>
  </conditionalFormatting>
  <conditionalFormatting sqref="AS471">
    <cfRule type="cellIs" priority="325" operator="greaterThan" dxfId="8">
      <formula>1</formula>
    </cfRule>
  </conditionalFormatting>
  <conditionalFormatting sqref="AS477">
    <cfRule type="cellIs" priority="323" operator="greaterThan" dxfId="8">
      <formula>1</formula>
    </cfRule>
  </conditionalFormatting>
  <conditionalFormatting sqref="AS483">
    <cfRule type="cellIs" priority="321" operator="greaterThan" dxfId="8">
      <formula>1</formula>
    </cfRule>
  </conditionalFormatting>
  <conditionalFormatting sqref="AS489">
    <cfRule type="cellIs" priority="319" operator="greaterThan" dxfId="8">
      <formula>1</formula>
    </cfRule>
  </conditionalFormatting>
  <conditionalFormatting sqref="AS495">
    <cfRule type="cellIs" priority="317" operator="greaterThan" dxfId="8">
      <formula>1</formula>
    </cfRule>
  </conditionalFormatting>
  <conditionalFormatting sqref="AS501">
    <cfRule type="cellIs" priority="315" operator="greaterThan" dxfId="8">
      <formula>1</formula>
    </cfRule>
  </conditionalFormatting>
  <conditionalFormatting sqref="AS507">
    <cfRule type="cellIs" priority="313" operator="greaterThan" dxfId="8">
      <formula>1</formula>
    </cfRule>
  </conditionalFormatting>
  <conditionalFormatting sqref="AS513">
    <cfRule type="cellIs" priority="311" operator="greaterThan" dxfId="8">
      <formula>1</formula>
    </cfRule>
  </conditionalFormatting>
  <conditionalFormatting sqref="AS519">
    <cfRule type="cellIs" priority="309" operator="greaterThan" dxfId="8">
      <formula>1</formula>
    </cfRule>
  </conditionalFormatting>
  <conditionalFormatting sqref="AS525">
    <cfRule type="cellIs" priority="307" operator="greaterThan" dxfId="8">
      <formula>1</formula>
    </cfRule>
  </conditionalFormatting>
  <conditionalFormatting sqref="AS531">
    <cfRule type="cellIs" priority="305" operator="greaterThan" dxfId="8">
      <formula>1</formula>
    </cfRule>
  </conditionalFormatting>
  <conditionalFormatting sqref="AS537">
    <cfRule type="cellIs" priority="303" operator="greaterThan" dxfId="8">
      <formula>1</formula>
    </cfRule>
  </conditionalFormatting>
  <conditionalFormatting sqref="AS543">
    <cfRule type="cellIs" priority="301" operator="greaterThan" dxfId="8">
      <formula>1</formula>
    </cfRule>
  </conditionalFormatting>
  <conditionalFormatting sqref="AS549">
    <cfRule type="cellIs" priority="299" operator="greaterThan" dxfId="8">
      <formula>1</formula>
    </cfRule>
  </conditionalFormatting>
  <conditionalFormatting sqref="AS555">
    <cfRule type="cellIs" priority="297" operator="greaterThan" dxfId="8">
      <formula>1</formula>
    </cfRule>
  </conditionalFormatting>
  <conditionalFormatting sqref="AS561">
    <cfRule type="cellIs" priority="295" operator="greaterThan" dxfId="8">
      <formula>1</formula>
    </cfRule>
  </conditionalFormatting>
  <conditionalFormatting sqref="AS567">
    <cfRule type="cellIs" priority="293" operator="greaterThan" dxfId="8">
      <formula>1</formula>
    </cfRule>
  </conditionalFormatting>
  <conditionalFormatting sqref="AS573">
    <cfRule type="cellIs" priority="288" operator="greaterThan" dxfId="8">
      <formula>1</formula>
    </cfRule>
  </conditionalFormatting>
  <conditionalFormatting sqref="AS579">
    <cfRule type="cellIs" priority="290" operator="greaterThan" dxfId="8">
      <formula>1</formula>
    </cfRule>
  </conditionalFormatting>
  <conditionalFormatting sqref="AS585">
    <cfRule type="cellIs" priority="287" operator="greaterThan" dxfId="8">
      <formula>1</formula>
    </cfRule>
  </conditionalFormatting>
  <conditionalFormatting sqref="AS591">
    <cfRule type="cellIs" priority="285" operator="greaterThan" dxfId="8">
      <formula>1</formula>
    </cfRule>
  </conditionalFormatting>
  <conditionalFormatting sqref="AS597 AS603">
    <cfRule type="cellIs" priority="283" operator="greaterThan" dxfId="8">
      <formula>1</formula>
    </cfRule>
  </conditionalFormatting>
  <conditionalFormatting sqref="AS609 AS615 AS621 AS627">
    <cfRule type="cellIs" priority="281" operator="greaterThan" dxfId="8">
      <formula>1</formula>
    </cfRule>
  </conditionalFormatting>
  <conditionalFormatting sqref="AS780:AS787">
    <cfRule type="cellIs" priority="374" operator="greaterThan" dxfId="8">
      <formula>1</formula>
    </cfRule>
  </conditionalFormatting>
  <conditionalFormatting sqref="AS821:AS856">
    <cfRule type="cellIs" priority="263" operator="greaterThan" dxfId="8">
      <formula>1</formula>
    </cfRule>
  </conditionalFormatting>
  <conditionalFormatting sqref="AT417">
    <cfRule type="cellIs" priority="367" operator="greaterThan" dxfId="121">
      <formula>1</formula>
    </cfRule>
  </conditionalFormatting>
  <conditionalFormatting sqref="AT423">
    <cfRule type="cellIs" priority="340" operator="greaterThan" dxfId="121">
      <formula>1</formula>
    </cfRule>
  </conditionalFormatting>
  <conditionalFormatting sqref="AT429">
    <cfRule type="cellIs" priority="338" operator="greaterThan" dxfId="121">
      <formula>1</formula>
    </cfRule>
  </conditionalFormatting>
  <conditionalFormatting sqref="AT435">
    <cfRule type="cellIs" priority="336" operator="greaterThan" dxfId="121">
      <formula>1</formula>
    </cfRule>
  </conditionalFormatting>
  <conditionalFormatting sqref="AT441">
    <cfRule type="cellIs" priority="334" operator="greaterThan" dxfId="121">
      <formula>1</formula>
    </cfRule>
  </conditionalFormatting>
  <conditionalFormatting sqref="AT447">
    <cfRule type="cellIs" priority="332" operator="greaterThan" dxfId="121">
      <formula>1</formula>
    </cfRule>
  </conditionalFormatting>
  <conditionalFormatting sqref="AT453">
    <cfRule type="cellIs" priority="330" operator="greaterThan" dxfId="121">
      <formula>1</formula>
    </cfRule>
  </conditionalFormatting>
  <conditionalFormatting sqref="AT459">
    <cfRule type="cellIs" priority="328" operator="greaterThan" dxfId="121">
      <formula>1</formula>
    </cfRule>
  </conditionalFormatting>
  <conditionalFormatting sqref="AT465">
    <cfRule type="cellIs" priority="326" operator="greaterThan" dxfId="121">
      <formula>1</formula>
    </cfRule>
  </conditionalFormatting>
  <conditionalFormatting sqref="AT471">
    <cfRule type="cellIs" priority="324" operator="greaterThan" dxfId="121">
      <formula>1</formula>
    </cfRule>
  </conditionalFormatting>
  <conditionalFormatting sqref="AT477">
    <cfRule type="cellIs" priority="322" operator="greaterThan" dxfId="121">
      <formula>1</formula>
    </cfRule>
  </conditionalFormatting>
  <conditionalFormatting sqref="AT483">
    <cfRule type="cellIs" priority="320" operator="greaterThan" dxfId="121">
      <formula>1</formula>
    </cfRule>
  </conditionalFormatting>
  <conditionalFormatting sqref="AT489">
    <cfRule type="cellIs" priority="318" operator="greaterThan" dxfId="121">
      <formula>1</formula>
    </cfRule>
  </conditionalFormatting>
  <conditionalFormatting sqref="AT495">
    <cfRule type="cellIs" priority="316" operator="greaterThan" dxfId="121">
      <formula>1</formula>
    </cfRule>
  </conditionalFormatting>
  <conditionalFormatting sqref="AT501">
    <cfRule type="cellIs" priority="314" operator="greaterThan" dxfId="121">
      <formula>1</formula>
    </cfRule>
  </conditionalFormatting>
  <conditionalFormatting sqref="AT507">
    <cfRule type="cellIs" priority="312" operator="greaterThan" dxfId="121">
      <formula>1</formula>
    </cfRule>
  </conditionalFormatting>
  <conditionalFormatting sqref="AT513">
    <cfRule type="cellIs" priority="310" operator="greaterThan" dxfId="121">
      <formula>1</formula>
    </cfRule>
  </conditionalFormatting>
  <conditionalFormatting sqref="AT519">
    <cfRule type="cellIs" priority="308" operator="greaterThan" dxfId="121">
      <formula>1</formula>
    </cfRule>
  </conditionalFormatting>
  <conditionalFormatting sqref="AT525">
    <cfRule type="cellIs" priority="306" operator="greaterThan" dxfId="121">
      <formula>1</formula>
    </cfRule>
  </conditionalFormatting>
  <conditionalFormatting sqref="AT531">
    <cfRule type="cellIs" priority="304" operator="greaterThan" dxfId="121">
      <formula>1</formula>
    </cfRule>
  </conditionalFormatting>
  <conditionalFormatting sqref="AT537">
    <cfRule type="cellIs" priority="302" operator="greaterThan" dxfId="121">
      <formula>1</formula>
    </cfRule>
  </conditionalFormatting>
  <conditionalFormatting sqref="AT543">
    <cfRule type="cellIs" priority="300" operator="greaterThan" dxfId="121">
      <formula>1</formula>
    </cfRule>
  </conditionalFormatting>
  <conditionalFormatting sqref="AT549">
    <cfRule type="cellIs" priority="298" operator="greaterThan" dxfId="121">
      <formula>1</formula>
    </cfRule>
  </conditionalFormatting>
  <conditionalFormatting sqref="AT555">
    <cfRule type="cellIs" priority="296" operator="greaterThan" dxfId="121">
      <formula>1</formula>
    </cfRule>
  </conditionalFormatting>
  <conditionalFormatting sqref="AT561">
    <cfRule type="cellIs" priority="294" operator="greaterThan" dxfId="121">
      <formula>1</formula>
    </cfRule>
  </conditionalFormatting>
  <conditionalFormatting sqref="AT567">
    <cfRule type="cellIs" priority="292" operator="greaterThan" dxfId="121">
      <formula>1</formula>
    </cfRule>
  </conditionalFormatting>
  <conditionalFormatting sqref="AT573">
    <cfRule type="cellIs" priority="291" operator="greaterThan" dxfId="121">
      <formula>1</formula>
    </cfRule>
  </conditionalFormatting>
  <conditionalFormatting sqref="AT579">
    <cfRule type="cellIs" priority="289" operator="greaterThan" dxfId="121">
      <formula>1</formula>
    </cfRule>
  </conditionalFormatting>
  <conditionalFormatting sqref="AT585">
    <cfRule type="cellIs" priority="286" operator="greaterThan" dxfId="121">
      <formula>1</formula>
    </cfRule>
  </conditionalFormatting>
  <conditionalFormatting sqref="AT591">
    <cfRule type="cellIs" priority="284" operator="greaterThan" dxfId="121">
      <formula>1</formula>
    </cfRule>
  </conditionalFormatting>
  <conditionalFormatting sqref="AT597 AT603">
    <cfRule type="cellIs" priority="282" operator="greaterThan" dxfId="121">
      <formula>1</formula>
    </cfRule>
  </conditionalFormatting>
  <conditionalFormatting sqref="AT609 AT615 AT621 AT627">
    <cfRule type="cellIs" priority="280" operator="greaterThan" dxfId="121">
      <formula>1</formula>
    </cfRule>
  </conditionalFormatting>
  <conditionalFormatting sqref="AT780:AT787">
    <cfRule type="cellIs" priority="373" operator="greaterThan" dxfId="121">
      <formula>1</formula>
    </cfRule>
  </conditionalFormatting>
  <conditionalFormatting sqref="AT821:AT856">
    <cfRule type="cellIs" priority="262" operator="greaterThan" dxfId="121">
      <formula>1</formula>
    </cfRule>
  </conditionalFormatting>
  <conditionalFormatting sqref="K561:K565">
    <cfRule type="cellIs" priority="246" operator="lessThan" dxfId="0" stopIfTrue="1">
      <formula>0</formula>
    </cfRule>
  </conditionalFormatting>
  <conditionalFormatting sqref="K417:K421">
    <cfRule type="cellIs" priority="245" operator="lessThan" dxfId="0" stopIfTrue="1">
      <formula>0</formula>
    </cfRule>
  </conditionalFormatting>
  <conditionalFormatting sqref="K405:K408">
    <cfRule type="cellIs" priority="244" operator="lessThan" dxfId="0" stopIfTrue="1">
      <formula>0</formula>
    </cfRule>
  </conditionalFormatting>
  <conditionalFormatting sqref="K395:K398">
    <cfRule type="cellIs" priority="243" operator="lessThan" dxfId="0" stopIfTrue="1">
      <formula>0</formula>
    </cfRule>
  </conditionalFormatting>
  <conditionalFormatting sqref="K400:K403">
    <cfRule type="cellIs" priority="242" operator="lessThan" dxfId="0" stopIfTrue="1">
      <formula>0</formula>
    </cfRule>
  </conditionalFormatting>
  <conditionalFormatting sqref="K390:K393">
    <cfRule type="cellIs" priority="241" operator="lessThan" dxfId="0" stopIfTrue="1">
      <formula>0</formula>
    </cfRule>
  </conditionalFormatting>
  <conditionalFormatting sqref="P390:P393">
    <cfRule type="containsText" priority="237" operator="containsText" dxfId="131" text="VENCIDO">
      <formula>NOT(ISERROR(SEARCH("VENCIDO",P390)))</formula>
    </cfRule>
    <cfRule type="containsText" priority="238" operator="containsText" dxfId="130" text="VERDE">
      <formula>NOT(ISERROR(SEARCH("VERDE",P390)))</formula>
    </cfRule>
    <cfRule type="containsText" priority="239" operator="containsText" dxfId="129" stopIfTrue="1" text="AMARILLO">
      <formula>NOT(ISERROR(SEARCH("AMARILLO",P390)))</formula>
    </cfRule>
    <cfRule type="containsText" priority="240" operator="containsText" dxfId="128" text="ROJO">
      <formula>NOT(ISERROR(SEARCH("ROJO",P390)))</formula>
    </cfRule>
  </conditionalFormatting>
  <conditionalFormatting sqref="P395:P398">
    <cfRule type="containsText" priority="233" operator="containsText" dxfId="131" text="VENCIDO">
      <formula>NOT(ISERROR(SEARCH("VENCIDO",P395)))</formula>
    </cfRule>
    <cfRule type="containsText" priority="234" operator="containsText" dxfId="130" text="VERDE">
      <formula>NOT(ISERROR(SEARCH("VERDE",P395)))</formula>
    </cfRule>
    <cfRule type="containsText" priority="235" operator="containsText" dxfId="129" stopIfTrue="1" text="AMARILLO">
      <formula>NOT(ISERROR(SEARCH("AMARILLO",P395)))</formula>
    </cfRule>
    <cfRule type="containsText" priority="236" operator="containsText" dxfId="128" text="ROJO">
      <formula>NOT(ISERROR(SEARCH("ROJO",P395)))</formula>
    </cfRule>
  </conditionalFormatting>
  <conditionalFormatting sqref="P400:P403">
    <cfRule type="containsText" priority="229" operator="containsText" dxfId="131" text="VENCIDO">
      <formula>NOT(ISERROR(SEARCH("VENCIDO",P400)))</formula>
    </cfRule>
    <cfRule type="containsText" priority="230" operator="containsText" dxfId="130" text="VERDE">
      <formula>NOT(ISERROR(SEARCH("VERDE",P400)))</formula>
    </cfRule>
    <cfRule type="containsText" priority="231" operator="containsText" dxfId="129" stopIfTrue="1" text="AMARILLO">
      <formula>NOT(ISERROR(SEARCH("AMARILLO",P400)))</formula>
    </cfRule>
    <cfRule type="containsText" priority="232" operator="containsText" dxfId="128" text="ROJO">
      <formula>NOT(ISERROR(SEARCH("ROJO",P400)))</formula>
    </cfRule>
  </conditionalFormatting>
  <conditionalFormatting sqref="P405:P408">
    <cfRule type="containsText" priority="225" operator="containsText" dxfId="131" text="VENCIDO">
      <formula>NOT(ISERROR(SEARCH("VENCIDO",P405)))</formula>
    </cfRule>
    <cfRule type="containsText" priority="226" operator="containsText" dxfId="130" text="VERDE">
      <formula>NOT(ISERROR(SEARCH("VERDE",P405)))</formula>
    </cfRule>
    <cfRule type="containsText" priority="227" operator="containsText" dxfId="129" stopIfTrue="1" text="AMARILLO">
      <formula>NOT(ISERROR(SEARCH("AMARILLO",P405)))</formula>
    </cfRule>
    <cfRule type="containsText" priority="228" operator="containsText" dxfId="128" text="ROJO">
      <formula>NOT(ISERROR(SEARCH("ROJO",P405)))</formula>
    </cfRule>
  </conditionalFormatting>
  <conditionalFormatting sqref="K640:K644 K646:K650 K652:K656 K658:K662 K664:K668 K670:K674 K676:K680 K682:K686 K688:K692 K694:K698 K700:K704">
    <cfRule type="cellIs" priority="181"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24"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20" operator="containsText" dxfId="131" text="VENCIDO">
      <formula>NOT(ISERROR(SEARCH("VENCIDO",P19)))</formula>
    </cfRule>
    <cfRule type="containsText" priority="221" operator="containsText" dxfId="130" text="VERDE">
      <formula>NOT(ISERROR(SEARCH("VERDE",P19)))</formula>
    </cfRule>
    <cfRule type="containsText" priority="222" operator="containsText" dxfId="129" stopIfTrue="1" text="AMARILLO">
      <formula>NOT(ISERROR(SEARCH("AMARILLO",P19)))</formula>
    </cfRule>
    <cfRule type="containsText" priority="223" operator="containsText" dxfId="128" text="ROJO">
      <formula>NOT(ISERROR(SEARCH("ROJO",P19)))</formula>
    </cfRule>
  </conditionalFormatting>
  <conditionalFormatting sqref="K230:K234 K236:K240 K242:K246 K248:K252 K254:K258 K260:K264 K266:K270 K272:K276 K278:K282 K284:K288 K290:K294 K296:K300">
    <cfRule type="cellIs" priority="219" operator="lessThan" dxfId="0" stopIfTrue="1">
      <formula>0</formula>
    </cfRule>
  </conditionalFormatting>
  <conditionalFormatting sqref="P230:P234 P236:P240 P242:P246 P248:P252 P254:P258 P260:P264 P266:P270 P272:P276 P278:P282 P284:P288 P290:P294 P296:P300">
    <cfRule type="containsText" priority="215" operator="containsText" dxfId="131" text="VENCIDO">
      <formula>NOT(ISERROR(SEARCH("VENCIDO",P230)))</formula>
    </cfRule>
    <cfRule type="containsText" priority="216" operator="containsText" dxfId="130" text="VERDE">
      <formula>NOT(ISERROR(SEARCH("VERDE",P230)))</formula>
    </cfRule>
    <cfRule type="containsText" priority="217" operator="containsText" dxfId="129" stopIfTrue="1" text="AMARILLO">
      <formula>NOT(ISERROR(SEARCH("AMARILLO",P230)))</formula>
    </cfRule>
    <cfRule type="containsText" priority="218" operator="containsText" dxfId="128" text="ROJO">
      <formula>NOT(ISERROR(SEARCH("ROJO",P230)))</formula>
    </cfRule>
  </conditionalFormatting>
  <conditionalFormatting sqref="K316 K323 K330 K337 K344 K351 K358 K365 K372">
    <cfRule type="containsText" priority="214" operator="containsText" dxfId="8" text="Falso">
      <formula>NOT(ISERROR(SEARCH("Falso",K316)))</formula>
    </cfRule>
  </conditionalFormatting>
  <conditionalFormatting sqref="P310:P315 P317:P322 P324:P329 P331:P336 P338:P343 P345:P350 P352:P357 P359:P364 P366:P371">
    <cfRule type="containsText" priority="210" operator="containsText" dxfId="131" text="VENCIDO">
      <formula>NOT(ISERROR(SEARCH("VENCIDO",P310)))</formula>
    </cfRule>
    <cfRule type="containsText" priority="211" operator="containsText" dxfId="130" text="VERDE">
      <formula>NOT(ISERROR(SEARCH("VERDE",P310)))</formula>
    </cfRule>
    <cfRule type="containsText" priority="212" operator="containsText" dxfId="129" stopIfTrue="1" text="AMARILLO">
      <formula>NOT(ISERROR(SEARCH("AMARILLO",P310)))</formula>
    </cfRule>
    <cfRule type="containsText" priority="213" operator="containsText" dxfId="128" text="ROJO">
      <formula>NOT(ISERROR(SEARCH("ROJO",P310)))</formula>
    </cfRule>
  </conditionalFormatting>
  <conditionalFormatting sqref="K310:K315">
    <cfRule type="cellIs" priority="209" operator="lessThan" dxfId="0" stopIfTrue="1">
      <formula>0</formula>
    </cfRule>
  </conditionalFormatting>
  <conditionalFormatting sqref="K317:K322">
    <cfRule type="cellIs" priority="208" operator="lessThan" dxfId="0" stopIfTrue="1">
      <formula>0</formula>
    </cfRule>
  </conditionalFormatting>
  <conditionalFormatting sqref="K324:K329">
    <cfRule type="cellIs" priority="207" operator="lessThan" dxfId="0" stopIfTrue="1">
      <formula>0</formula>
    </cfRule>
  </conditionalFormatting>
  <conditionalFormatting sqref="K331:K336">
    <cfRule type="cellIs" priority="206" operator="lessThan" dxfId="0" stopIfTrue="1">
      <formula>0</formula>
    </cfRule>
  </conditionalFormatting>
  <conditionalFormatting sqref="K338:K343">
    <cfRule type="cellIs" priority="205" operator="lessThan" dxfId="0" stopIfTrue="1">
      <formula>0</formula>
    </cfRule>
  </conditionalFormatting>
  <conditionalFormatting sqref="K345:K350">
    <cfRule type="cellIs" priority="204" operator="lessThan" dxfId="0" stopIfTrue="1">
      <formula>0</formula>
    </cfRule>
  </conditionalFormatting>
  <conditionalFormatting sqref="K352:K357">
    <cfRule type="cellIs" priority="203" operator="lessThan" dxfId="0" stopIfTrue="1">
      <formula>0</formula>
    </cfRule>
  </conditionalFormatting>
  <conditionalFormatting sqref="K359:K364">
    <cfRule type="cellIs" priority="202" operator="lessThan" dxfId="0" stopIfTrue="1">
      <formula>0</formula>
    </cfRule>
  </conditionalFormatting>
  <conditionalFormatting sqref="K366:K371">
    <cfRule type="cellIs" priority="201"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197" operator="containsText" dxfId="131" text="VENCIDO">
      <formula>NOT(ISERROR(SEARCH("VENCIDO",P423)))</formula>
    </cfRule>
    <cfRule type="containsText" priority="198" operator="containsText" dxfId="130" text="VERDE">
      <formula>NOT(ISERROR(SEARCH("VERDE",P423)))</formula>
    </cfRule>
    <cfRule type="containsText" priority="199" operator="containsText" dxfId="129" stopIfTrue="1" text="AMARILLO">
      <formula>NOT(ISERROR(SEARCH("AMARILLO",P423)))</formula>
    </cfRule>
    <cfRule type="containsText" priority="200"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196" operator="lessThan" dxfId="0" stopIfTrue="1">
      <formula>0</formula>
    </cfRule>
  </conditionalFormatting>
  <conditionalFormatting sqref="P567:P571">
    <cfRule type="containsText" priority="192" operator="containsText" dxfId="131" text="VENCIDO">
      <formula>NOT(ISERROR(SEARCH("VENCIDO",P567)))</formula>
    </cfRule>
    <cfRule type="containsText" priority="193" operator="containsText" dxfId="130" text="VERDE">
      <formula>NOT(ISERROR(SEARCH("VERDE",P567)))</formula>
    </cfRule>
    <cfRule type="containsText" priority="194" operator="containsText" dxfId="129" stopIfTrue="1" text="AMARILLO">
      <formula>NOT(ISERROR(SEARCH("AMARILLO",P567)))</formula>
    </cfRule>
    <cfRule type="containsText" priority="195" operator="containsText" dxfId="128" text="ROJO">
      <formula>NOT(ISERROR(SEARCH("ROJO",P567)))</formula>
    </cfRule>
  </conditionalFormatting>
  <conditionalFormatting sqref="K567:K571">
    <cfRule type="cellIs" priority="191" operator="lessThan" dxfId="0" stopIfTrue="1">
      <formula>0</formula>
    </cfRule>
  </conditionalFormatting>
  <conditionalFormatting sqref="P573:P577 P579:P583 P585:P589 P591:P595 P597:P601 P603:P607 P609:P613 P615:P619 P621:P625 P627:P631">
    <cfRule type="containsText" priority="187" operator="containsText" dxfId="131" text="VENCIDO">
      <formula>NOT(ISERROR(SEARCH("VENCIDO",P573)))</formula>
    </cfRule>
    <cfRule type="containsText" priority="188" operator="containsText" dxfId="130" text="VERDE">
      <formula>NOT(ISERROR(SEARCH("VERDE",P573)))</formula>
    </cfRule>
    <cfRule type="containsText" priority="189" operator="containsText" dxfId="129" stopIfTrue="1" text="AMARILLO">
      <formula>NOT(ISERROR(SEARCH("AMARILLO",P573)))</formula>
    </cfRule>
    <cfRule type="containsText" priority="190" operator="containsText" dxfId="128" text="ROJO">
      <formula>NOT(ISERROR(SEARCH("ROJO",P573)))</formula>
    </cfRule>
  </conditionalFormatting>
  <conditionalFormatting sqref="K573:K577 K579:K583 K585:K589 K591:K595 K597:K601 K603:K607 K609:K613 K615:K619 K621:K625 K627:K631">
    <cfRule type="cellIs" priority="186" operator="lessThan" dxfId="0" stopIfTrue="1">
      <formula>0</formula>
    </cfRule>
  </conditionalFormatting>
  <conditionalFormatting sqref="P634:P638">
    <cfRule type="containsText" priority="182" operator="containsText" dxfId="131" text="VENCIDO">
      <formula>NOT(ISERROR(SEARCH("VENCIDO",P634)))</formula>
    </cfRule>
    <cfRule type="containsText" priority="183" operator="containsText" dxfId="130" text="VERDE">
      <formula>NOT(ISERROR(SEARCH("VERDE",P634)))</formula>
    </cfRule>
    <cfRule type="containsText" priority="184" operator="containsText" dxfId="129" stopIfTrue="1" text="AMARILLO">
      <formula>NOT(ISERROR(SEARCH("AMARILLO",P634)))</formula>
    </cfRule>
    <cfRule type="containsText" priority="185" operator="containsText" dxfId="128" text="ROJO">
      <formula>NOT(ISERROR(SEARCH("ROJO",P634)))</formula>
    </cfRule>
  </conditionalFormatting>
  <conditionalFormatting sqref="P640:P644 P646:P650 P652:P656 P658:P662 P664:P668 P670:P674 P676:P680 P682:P686 P688:P692 P694:P698 P700:P704">
    <cfRule type="containsText" priority="177" operator="containsText" dxfId="131" text="VENCIDO">
      <formula>NOT(ISERROR(SEARCH("VENCIDO",P640)))</formula>
    </cfRule>
    <cfRule type="containsText" priority="178" operator="containsText" dxfId="130" text="VERDE">
      <formula>NOT(ISERROR(SEARCH("VERDE",P640)))</formula>
    </cfRule>
    <cfRule type="containsText" priority="179" operator="containsText" dxfId="129" stopIfTrue="1" text="AMARILLO">
      <formula>NOT(ISERROR(SEARCH("AMARILLO",P640)))</formula>
    </cfRule>
    <cfRule type="containsText" priority="180" operator="containsText" dxfId="128" text="ROJO">
      <formula>NOT(ISERROR(SEARCH("ROJO",P640)))</formula>
    </cfRule>
  </conditionalFormatting>
  <conditionalFormatting sqref="P714:P719">
    <cfRule type="containsText" priority="173" operator="containsText" dxfId="131" text="VENCIDO">
      <formula>NOT(ISERROR(SEARCH("VENCIDO",P714)))</formula>
    </cfRule>
    <cfRule type="containsText" priority="174" operator="containsText" dxfId="130" text="VERDE">
      <formula>NOT(ISERROR(SEARCH("VERDE",P714)))</formula>
    </cfRule>
    <cfRule type="containsText" priority="175" operator="containsText" dxfId="129" stopIfTrue="1" text="AMARILLO">
      <formula>NOT(ISERROR(SEARCH("AMARILLO",P714)))</formula>
    </cfRule>
    <cfRule type="containsText" priority="176" operator="containsText" dxfId="128" text="ROJO">
      <formula>NOT(ISERROR(SEARCH("ROJO",P714)))</formula>
    </cfRule>
  </conditionalFormatting>
  <conditionalFormatting sqref="P721:P726">
    <cfRule type="containsText" priority="169" operator="containsText" dxfId="131" text="VENCIDO">
      <formula>NOT(ISERROR(SEARCH("VENCIDO",P721)))</formula>
    </cfRule>
    <cfRule type="containsText" priority="170" operator="containsText" dxfId="130" text="VERDE">
      <formula>NOT(ISERROR(SEARCH("VERDE",P721)))</formula>
    </cfRule>
    <cfRule type="containsText" priority="171" operator="containsText" dxfId="129" stopIfTrue="1" text="AMARILLO">
      <formula>NOT(ISERROR(SEARCH("AMARILLO",P721)))</formula>
    </cfRule>
    <cfRule type="containsText" priority="172" operator="containsText" dxfId="128" text="ROJO">
      <formula>NOT(ISERROR(SEARCH("ROJO",P721)))</formula>
    </cfRule>
  </conditionalFormatting>
  <conditionalFormatting sqref="P728:P733">
    <cfRule type="containsText" priority="165" operator="containsText" dxfId="131" text="VENCIDO">
      <formula>NOT(ISERROR(SEARCH("VENCIDO",P728)))</formula>
    </cfRule>
    <cfRule type="containsText" priority="166" operator="containsText" dxfId="130" text="VERDE">
      <formula>NOT(ISERROR(SEARCH("VERDE",P728)))</formula>
    </cfRule>
    <cfRule type="containsText" priority="167" operator="containsText" dxfId="129" stopIfTrue="1" text="AMARILLO">
      <formula>NOT(ISERROR(SEARCH("AMARILLO",P728)))</formula>
    </cfRule>
    <cfRule type="containsText" priority="168" operator="containsText" dxfId="128" text="ROJO">
      <formula>NOT(ISERROR(SEARCH("ROJO",P728)))</formula>
    </cfRule>
  </conditionalFormatting>
  <conditionalFormatting sqref="P735:P740">
    <cfRule type="containsText" priority="161" operator="containsText" dxfId="131" text="VENCIDO">
      <formula>NOT(ISERROR(SEARCH("VENCIDO",P735)))</formula>
    </cfRule>
    <cfRule type="containsText" priority="162" operator="containsText" dxfId="130" text="VERDE">
      <formula>NOT(ISERROR(SEARCH("VERDE",P735)))</formula>
    </cfRule>
    <cfRule type="containsText" priority="163" operator="containsText" dxfId="129" stopIfTrue="1" text="AMARILLO">
      <formula>NOT(ISERROR(SEARCH("AMARILLO",P735)))</formula>
    </cfRule>
    <cfRule type="containsText" priority="164" operator="containsText" dxfId="128" text="ROJO">
      <formula>NOT(ISERROR(SEARCH("ROJO",P735)))</formula>
    </cfRule>
  </conditionalFormatting>
  <conditionalFormatting sqref="P742:P747">
    <cfRule type="containsText" priority="157" operator="containsText" dxfId="131" text="VENCIDO">
      <formula>NOT(ISERROR(SEARCH("VENCIDO",P742)))</formula>
    </cfRule>
    <cfRule type="containsText" priority="158" operator="containsText" dxfId="130" text="VERDE">
      <formula>NOT(ISERROR(SEARCH("VERDE",P742)))</formula>
    </cfRule>
    <cfRule type="containsText" priority="159" operator="containsText" dxfId="129" stopIfTrue="1" text="AMARILLO">
      <formula>NOT(ISERROR(SEARCH("AMARILLO",P742)))</formula>
    </cfRule>
    <cfRule type="containsText" priority="160" operator="containsText" dxfId="128" text="ROJO">
      <formula>NOT(ISERROR(SEARCH("ROJO",P742)))</formula>
    </cfRule>
  </conditionalFormatting>
  <conditionalFormatting sqref="P749:P754">
    <cfRule type="containsText" priority="153" operator="containsText" dxfId="131" text="VENCIDO">
      <formula>NOT(ISERROR(SEARCH("VENCIDO",P749)))</formula>
    </cfRule>
    <cfRule type="containsText" priority="154" operator="containsText" dxfId="130" text="VERDE">
      <formula>NOT(ISERROR(SEARCH("VERDE",P749)))</formula>
    </cfRule>
    <cfRule type="containsText" priority="155" operator="containsText" dxfId="129" stopIfTrue="1" text="AMARILLO">
      <formula>NOT(ISERROR(SEARCH("AMARILLO",P749)))</formula>
    </cfRule>
    <cfRule type="containsText" priority="156" operator="containsText" dxfId="128" text="ROJO">
      <formula>NOT(ISERROR(SEARCH("ROJO",P749)))</formula>
    </cfRule>
  </conditionalFormatting>
  <conditionalFormatting sqref="P756:P761">
    <cfRule type="containsText" priority="149" operator="containsText" dxfId="131" text="VENCIDO">
      <formula>NOT(ISERROR(SEARCH("VENCIDO",P756)))</formula>
    </cfRule>
    <cfRule type="containsText" priority="150" operator="containsText" dxfId="130" text="VERDE">
      <formula>NOT(ISERROR(SEARCH("VERDE",P756)))</formula>
    </cfRule>
    <cfRule type="containsText" priority="151" operator="containsText" dxfId="129" stopIfTrue="1" text="AMARILLO">
      <formula>NOT(ISERROR(SEARCH("AMARILLO",P756)))</formula>
    </cfRule>
    <cfRule type="containsText" priority="152" operator="containsText" dxfId="128" text="ROJO">
      <formula>NOT(ISERROR(SEARCH("ROJO",P756)))</formula>
    </cfRule>
  </conditionalFormatting>
  <conditionalFormatting sqref="P763:P768">
    <cfRule type="containsText" priority="145" operator="containsText" dxfId="131" text="VENCIDO">
      <formula>NOT(ISERROR(SEARCH("VENCIDO",P763)))</formula>
    </cfRule>
    <cfRule type="containsText" priority="146" operator="containsText" dxfId="130" text="VERDE">
      <formula>NOT(ISERROR(SEARCH("VERDE",P763)))</formula>
    </cfRule>
    <cfRule type="containsText" priority="147" operator="containsText" dxfId="129" stopIfTrue="1" text="AMARILLO">
      <formula>NOT(ISERROR(SEARCH("AMARILLO",P763)))</formula>
    </cfRule>
    <cfRule type="containsText" priority="148" operator="containsText" dxfId="128" text="ROJO">
      <formula>NOT(ISERROR(SEARCH("ROJO",P763)))</formula>
    </cfRule>
  </conditionalFormatting>
  <conditionalFormatting sqref="P770:P775">
    <cfRule type="containsText" priority="141" operator="containsText" dxfId="131" text="VENCIDO">
      <formula>NOT(ISERROR(SEARCH("VENCIDO",P770)))</formula>
    </cfRule>
    <cfRule type="containsText" priority="142" operator="containsText" dxfId="130" text="VERDE">
      <formula>NOT(ISERROR(SEARCH("VERDE",P770)))</formula>
    </cfRule>
    <cfRule type="containsText" priority="143" operator="containsText" dxfId="129" stopIfTrue="1" text="AMARILLO">
      <formula>NOT(ISERROR(SEARCH("AMARILLO",P770)))</formula>
    </cfRule>
    <cfRule type="containsText" priority="144" operator="containsText" dxfId="128" text="ROJO">
      <formula>NOT(ISERROR(SEARCH("ROJO",P770)))</formula>
    </cfRule>
  </conditionalFormatting>
  <conditionalFormatting sqref="P789:P792">
    <cfRule type="containsText" priority="137" operator="containsText" dxfId="131" text="VENCIDO">
      <formula>NOT(ISERROR(SEARCH("VENCIDO",P789)))</formula>
    </cfRule>
    <cfRule type="containsText" priority="138" operator="containsText" dxfId="130" text="VERDE">
      <formula>NOT(ISERROR(SEARCH("VERDE",P789)))</formula>
    </cfRule>
    <cfRule type="containsText" priority="139" operator="containsText" dxfId="129" stopIfTrue="1" text="AMARILLO">
      <formula>NOT(ISERROR(SEARCH("AMARILLO",P789)))</formula>
    </cfRule>
    <cfRule type="containsText" priority="140" operator="containsText" dxfId="128" text="ROJO">
      <formula>NOT(ISERROR(SEARCH("ROJO",P789)))</formula>
    </cfRule>
  </conditionalFormatting>
  <conditionalFormatting sqref="P794:P797">
    <cfRule type="containsText" priority="133" operator="containsText" dxfId="131" text="VENCIDO">
      <formula>NOT(ISERROR(SEARCH("VENCIDO",P794)))</formula>
    </cfRule>
    <cfRule type="containsText" priority="134" operator="containsText" dxfId="130" text="VERDE">
      <formula>NOT(ISERROR(SEARCH("VERDE",P794)))</formula>
    </cfRule>
    <cfRule type="containsText" priority="135" operator="containsText" dxfId="129" stopIfTrue="1" text="AMARILLO">
      <formula>NOT(ISERROR(SEARCH("AMARILLO",P794)))</formula>
    </cfRule>
    <cfRule type="containsText" priority="136" operator="containsText" dxfId="128" text="ROJO">
      <formula>NOT(ISERROR(SEARCH("ROJO",P794)))</formula>
    </cfRule>
  </conditionalFormatting>
  <conditionalFormatting sqref="P799:P802 P804:P807 P809:P812">
    <cfRule type="containsText" priority="129" operator="containsText" dxfId="131" text="VENCIDO">
      <formula>NOT(ISERROR(SEARCH("VENCIDO",P799)))</formula>
    </cfRule>
    <cfRule type="containsText" priority="130" operator="containsText" dxfId="130" text="VERDE">
      <formula>NOT(ISERROR(SEARCH("VERDE",P799)))</formula>
    </cfRule>
    <cfRule type="containsText" priority="131" operator="containsText" dxfId="129" stopIfTrue="1" text="AMARILLO">
      <formula>NOT(ISERROR(SEARCH("AMARILLO",P799)))</formula>
    </cfRule>
    <cfRule type="containsText" priority="132" operator="containsText" dxfId="128" text="ROJO">
      <formula>NOT(ISERROR(SEARCH("ROJO",P799)))</formula>
    </cfRule>
  </conditionalFormatting>
  <conditionalFormatting sqref="K789:K792">
    <cfRule type="cellIs" priority="128" operator="lessThan" dxfId="0" stopIfTrue="1">
      <formula>0</formula>
    </cfRule>
  </conditionalFormatting>
  <conditionalFormatting sqref="K794:K797">
    <cfRule type="cellIs" priority="127" operator="lessThan" dxfId="0" stopIfTrue="1">
      <formula>0</formula>
    </cfRule>
  </conditionalFormatting>
  <conditionalFormatting sqref="K799:K802">
    <cfRule type="cellIs" priority="126" operator="lessThan" dxfId="0" stopIfTrue="1">
      <formula>0</formula>
    </cfRule>
  </conditionalFormatting>
  <conditionalFormatting sqref="K804:K807">
    <cfRule type="cellIs" priority="125" operator="lessThan" dxfId="0" stopIfTrue="1">
      <formula>0</formula>
    </cfRule>
  </conditionalFormatting>
  <conditionalFormatting sqref="K809:K812">
    <cfRule type="cellIs" priority="124" operator="lessThan" dxfId="0" stopIfTrue="1">
      <formula>0</formula>
    </cfRule>
  </conditionalFormatting>
  <conditionalFormatting sqref="AT789">
    <cfRule type="cellIs" priority="123" operator="greaterThan" dxfId="121">
      <formula>1</formula>
    </cfRule>
  </conditionalFormatting>
  <conditionalFormatting sqref="AT794 AT799 AT804 AT809">
    <cfRule type="cellIs" priority="122" operator="greaterThan" dxfId="121">
      <formula>1</formula>
    </cfRule>
  </conditionalFormatting>
  <conditionalFormatting sqref="E895:G897">
    <cfRule type="cellIs" priority="121" operator="lessThan" dxfId="0" stopIfTrue="1">
      <formula>0</formula>
    </cfRule>
  </conditionalFormatting>
  <conditionalFormatting sqref="K895:K897 M895:N897">
    <cfRule type="cellIs" priority="120" operator="lessThan" dxfId="0" stopIfTrue="1">
      <formula>0</formula>
    </cfRule>
  </conditionalFormatting>
  <conditionalFormatting sqref="K301">
    <cfRule type="containsText" priority="119" operator="containsText" dxfId="8" text="Falso">
      <formula>NOT(ISERROR(SEARCH("Falso",K301)))</formula>
    </cfRule>
  </conditionalFormatting>
  <conditionalFormatting sqref="K295">
    <cfRule type="containsText" priority="118" operator="containsText" dxfId="8" text="Falso">
      <formula>NOT(ISERROR(SEARCH("Falso",K295)))</formula>
    </cfRule>
  </conditionalFormatting>
  <conditionalFormatting sqref="K289">
    <cfRule type="containsText" priority="117" operator="containsText" dxfId="8" text="Falso">
      <formula>NOT(ISERROR(SEARCH("Falso",K289)))</formula>
    </cfRule>
  </conditionalFormatting>
  <conditionalFormatting sqref="K283">
    <cfRule type="containsText" priority="116" operator="containsText" dxfId="8" text="Falso">
      <formula>NOT(ISERROR(SEARCH("Falso",K283)))</formula>
    </cfRule>
  </conditionalFormatting>
  <conditionalFormatting sqref="K277">
    <cfRule type="containsText" priority="115" operator="containsText" dxfId="8" text="Falso">
      <formula>NOT(ISERROR(SEARCH("Falso",K277)))</formula>
    </cfRule>
  </conditionalFormatting>
  <conditionalFormatting sqref="K271">
    <cfRule type="containsText" priority="114" operator="containsText" dxfId="8" text="Falso">
      <formula>NOT(ISERROR(SEARCH("Falso",K271)))</formula>
    </cfRule>
  </conditionalFormatting>
  <conditionalFormatting sqref="K265">
    <cfRule type="containsText" priority="113" operator="containsText" dxfId="8" text="Falso">
      <formula>NOT(ISERROR(SEARCH("Falso",K265)))</formula>
    </cfRule>
  </conditionalFormatting>
  <conditionalFormatting sqref="K259">
    <cfRule type="containsText" priority="112" operator="containsText" dxfId="8" text="Falso">
      <formula>NOT(ISERROR(SEARCH("Falso",K259)))</formula>
    </cfRule>
  </conditionalFormatting>
  <conditionalFormatting sqref="K253">
    <cfRule type="containsText" priority="111" operator="containsText" dxfId="8" text="Falso">
      <formula>NOT(ISERROR(SEARCH("Falso",K253)))</formula>
    </cfRule>
  </conditionalFormatting>
  <conditionalFormatting sqref="K247">
    <cfRule type="containsText" priority="110" operator="containsText" dxfId="8" text="Falso">
      <formula>NOT(ISERROR(SEARCH("Falso",K247)))</formula>
    </cfRule>
  </conditionalFormatting>
  <conditionalFormatting sqref="K235">
    <cfRule type="containsText" priority="109" operator="containsText" dxfId="8" text="Falso">
      <formula>NOT(ISERROR(SEARCH("Falso",K235)))</formula>
    </cfRule>
  </conditionalFormatting>
  <conditionalFormatting sqref="K241">
    <cfRule type="containsText" priority="108" operator="containsText" dxfId="8" text="Falso">
      <formula>NOT(ISERROR(SEARCH("Falso",K241)))</formula>
    </cfRule>
  </conditionalFormatting>
  <conditionalFormatting sqref="K228">
    <cfRule type="containsText" priority="107" operator="containsText" dxfId="8" text="Falso">
      <formula>NOT(ISERROR(SEARCH("Falso",K228)))</formula>
    </cfRule>
  </conditionalFormatting>
  <conditionalFormatting sqref="K222">
    <cfRule type="containsText" priority="106" operator="containsText" dxfId="8" text="Falso">
      <formula>NOT(ISERROR(SEARCH("Falso",K222)))</formula>
    </cfRule>
  </conditionalFormatting>
  <conditionalFormatting sqref="K216">
    <cfRule type="containsText" priority="105" operator="containsText" dxfId="8" text="Falso">
      <formula>NOT(ISERROR(SEARCH("Falso",K216)))</formula>
    </cfRule>
  </conditionalFormatting>
  <conditionalFormatting sqref="K210">
    <cfRule type="containsText" priority="104" operator="containsText" dxfId="8" text="Falso">
      <formula>NOT(ISERROR(SEARCH("Falso",K210)))</formula>
    </cfRule>
  </conditionalFormatting>
  <conditionalFormatting sqref="K204">
    <cfRule type="containsText" priority="103" operator="containsText" dxfId="8" text="Falso">
      <formula>NOT(ISERROR(SEARCH("Falso",K204)))</formula>
    </cfRule>
  </conditionalFormatting>
  <conditionalFormatting sqref="K198">
    <cfRule type="containsText" priority="102" operator="containsText" dxfId="8" text="Falso">
      <formula>NOT(ISERROR(SEARCH("Falso",K198)))</formula>
    </cfRule>
  </conditionalFormatting>
  <conditionalFormatting sqref="K192">
    <cfRule type="containsText" priority="101" operator="containsText" dxfId="8" text="Falso">
      <formula>NOT(ISERROR(SEARCH("Falso",K192)))</formula>
    </cfRule>
  </conditionalFormatting>
  <conditionalFormatting sqref="K186">
    <cfRule type="containsText" priority="100" operator="containsText" dxfId="8" text="Falso">
      <formula>NOT(ISERROR(SEARCH("Falso",K186)))</formula>
    </cfRule>
  </conditionalFormatting>
  <conditionalFormatting sqref="K180">
    <cfRule type="containsText" priority="99" operator="containsText" dxfId="8" text="Falso">
      <formula>NOT(ISERROR(SEARCH("Falso",K180)))</formula>
    </cfRule>
  </conditionalFormatting>
  <conditionalFormatting sqref="K174">
    <cfRule type="containsText" priority="98" operator="containsText" dxfId="8" text="Falso">
      <formula>NOT(ISERROR(SEARCH("Falso",K174)))</formula>
    </cfRule>
  </conditionalFormatting>
  <conditionalFormatting sqref="K168">
    <cfRule type="containsText" priority="97" operator="containsText" dxfId="8" text="Falso">
      <formula>NOT(ISERROR(SEARCH("Falso",K168)))</formula>
    </cfRule>
  </conditionalFormatting>
  <conditionalFormatting sqref="K162">
    <cfRule type="containsText" priority="96" operator="containsText" dxfId="8" text="Falso">
      <formula>NOT(ISERROR(SEARCH("Falso",K162)))</formula>
    </cfRule>
  </conditionalFormatting>
  <conditionalFormatting sqref="K156">
    <cfRule type="containsText" priority="95" operator="containsText" dxfId="8" text="Falso">
      <formula>NOT(ISERROR(SEARCH("Falso",K156)))</formula>
    </cfRule>
  </conditionalFormatting>
  <conditionalFormatting sqref="K150">
    <cfRule type="containsText" priority="94" operator="containsText" dxfId="8" text="Falso">
      <formula>NOT(ISERROR(SEARCH("Falso",K150)))</formula>
    </cfRule>
  </conditionalFormatting>
  <conditionalFormatting sqref="K144">
    <cfRule type="containsText" priority="93" operator="containsText" dxfId="8" text="Falso">
      <formula>NOT(ISERROR(SEARCH("Falso",K144)))</formula>
    </cfRule>
  </conditionalFormatting>
  <conditionalFormatting sqref="K138">
    <cfRule type="containsText" priority="92" operator="containsText" dxfId="8" text="Falso">
      <formula>NOT(ISERROR(SEARCH("Falso",K138)))</formula>
    </cfRule>
  </conditionalFormatting>
  <conditionalFormatting sqref="K132">
    <cfRule type="containsText" priority="91" operator="containsText" dxfId="8" text="Falso">
      <formula>NOT(ISERROR(SEARCH("Falso",K132)))</formula>
    </cfRule>
  </conditionalFormatting>
  <conditionalFormatting sqref="K126">
    <cfRule type="containsText" priority="90" operator="containsText" dxfId="8" text="Falso">
      <formula>NOT(ISERROR(SEARCH("Falso",K126)))</formula>
    </cfRule>
  </conditionalFormatting>
  <conditionalFormatting sqref="K120">
    <cfRule type="containsText" priority="89" operator="containsText" dxfId="8" text="Falso">
      <formula>NOT(ISERROR(SEARCH("Falso",K120)))</formula>
    </cfRule>
  </conditionalFormatting>
  <conditionalFormatting sqref="K114">
    <cfRule type="containsText" priority="88" operator="containsText" dxfId="8" text="Falso">
      <formula>NOT(ISERROR(SEARCH("Falso",K114)))</formula>
    </cfRule>
  </conditionalFormatting>
  <conditionalFormatting sqref="K108">
    <cfRule type="containsText" priority="87" operator="containsText" dxfId="8" text="Falso">
      <formula>NOT(ISERROR(SEARCH("Falso",K108)))</formula>
    </cfRule>
  </conditionalFormatting>
  <conditionalFormatting sqref="K102">
    <cfRule type="containsText" priority="86" operator="containsText" dxfId="8" text="Falso">
      <formula>NOT(ISERROR(SEARCH("Falso",K102)))</formula>
    </cfRule>
  </conditionalFormatting>
  <conditionalFormatting sqref="K96">
    <cfRule type="containsText" priority="85" operator="containsText" dxfId="8" text="Falso">
      <formula>NOT(ISERROR(SEARCH("Falso",K96)))</formula>
    </cfRule>
  </conditionalFormatting>
  <conditionalFormatting sqref="K90">
    <cfRule type="containsText" priority="84" operator="containsText" dxfId="8" text="Falso">
      <formula>NOT(ISERROR(SEARCH("Falso",K90)))</formula>
    </cfRule>
  </conditionalFormatting>
  <conditionalFormatting sqref="K84">
    <cfRule type="containsText" priority="83" operator="containsText" dxfId="8" text="Falso">
      <formula>NOT(ISERROR(SEARCH("Falso",K84)))</formula>
    </cfRule>
  </conditionalFormatting>
  <conditionalFormatting sqref="K78">
    <cfRule type="containsText" priority="82" operator="containsText" dxfId="8" text="Falso">
      <formula>NOT(ISERROR(SEARCH("Falso",K78)))</formula>
    </cfRule>
  </conditionalFormatting>
  <conditionalFormatting sqref="K72">
    <cfRule type="containsText" priority="81" operator="containsText" dxfId="8" text="Falso">
      <formula>NOT(ISERROR(SEARCH("Falso",K72)))</formula>
    </cfRule>
  </conditionalFormatting>
  <conditionalFormatting sqref="K66">
    <cfRule type="containsText" priority="80" operator="containsText" dxfId="8" text="Falso">
      <formula>NOT(ISERROR(SEARCH("Falso",K66)))</formula>
    </cfRule>
  </conditionalFormatting>
  <conditionalFormatting sqref="K60">
    <cfRule type="containsText" priority="79" operator="containsText" dxfId="8" text="Falso">
      <formula>NOT(ISERROR(SEARCH("Falso",K60)))</formula>
    </cfRule>
  </conditionalFormatting>
  <conditionalFormatting sqref="K54">
    <cfRule type="containsText" priority="78" operator="containsText" dxfId="8" text="Falso">
      <formula>NOT(ISERROR(SEARCH("Falso",K54)))</formula>
    </cfRule>
  </conditionalFormatting>
  <conditionalFormatting sqref="K48">
    <cfRule type="containsText" priority="77" operator="containsText" dxfId="8" text="Falso">
      <formula>NOT(ISERROR(SEARCH("Falso",K48)))</formula>
    </cfRule>
  </conditionalFormatting>
  <conditionalFormatting sqref="K42">
    <cfRule type="containsText" priority="76" operator="containsText" dxfId="8" text="Falso">
      <formula>NOT(ISERROR(SEARCH("Falso",K42)))</formula>
    </cfRule>
  </conditionalFormatting>
  <conditionalFormatting sqref="K36">
    <cfRule type="containsText" priority="75" operator="containsText" dxfId="8" text="Falso">
      <formula>NOT(ISERROR(SEARCH("Falso",K36)))</formula>
    </cfRule>
  </conditionalFormatting>
  <conditionalFormatting sqref="K30">
    <cfRule type="containsText" priority="74" operator="containsText" dxfId="8" text="Falso">
      <formula>NOT(ISERROR(SEARCH("Falso",K30)))</formula>
    </cfRule>
  </conditionalFormatting>
  <conditionalFormatting sqref="K24">
    <cfRule type="containsText" priority="73" operator="containsText" dxfId="8" text="Falso">
      <formula>NOT(ISERROR(SEARCH("Falso",K24)))</formula>
    </cfRule>
  </conditionalFormatting>
  <conditionalFormatting sqref="K18">
    <cfRule type="containsText" priority="72" operator="containsText" dxfId="8" text="Falso">
      <formula>NOT(ISERROR(SEARCH("Falso",K18)))</formula>
    </cfRule>
  </conditionalFormatting>
  <conditionalFormatting sqref="K422">
    <cfRule type="containsText" priority="71" operator="containsText" dxfId="8" text="Falso">
      <formula>NOT(ISERROR(SEARCH("Falso",K422)))</formula>
    </cfRule>
  </conditionalFormatting>
  <conditionalFormatting sqref="K428">
    <cfRule type="containsText" priority="70" operator="containsText" dxfId="8" text="Falso">
      <formula>NOT(ISERROR(SEARCH("Falso",K428)))</formula>
    </cfRule>
  </conditionalFormatting>
  <conditionalFormatting sqref="K434">
    <cfRule type="containsText" priority="69" operator="containsText" dxfId="8" text="Falso">
      <formula>NOT(ISERROR(SEARCH("Falso",K434)))</formula>
    </cfRule>
  </conditionalFormatting>
  <conditionalFormatting sqref="K440">
    <cfRule type="containsText" priority="68" operator="containsText" dxfId="8" text="Falso">
      <formula>NOT(ISERROR(SEARCH("Falso",K440)))</formula>
    </cfRule>
  </conditionalFormatting>
  <conditionalFormatting sqref="K446">
    <cfRule type="containsText" priority="67" operator="containsText" dxfId="8" text="Falso">
      <formula>NOT(ISERROR(SEARCH("Falso",K446)))</formula>
    </cfRule>
  </conditionalFormatting>
  <conditionalFormatting sqref="K452">
    <cfRule type="containsText" priority="66" operator="containsText" dxfId="8" text="Falso">
      <formula>NOT(ISERROR(SEARCH("Falso",K452)))</formula>
    </cfRule>
  </conditionalFormatting>
  <conditionalFormatting sqref="K458">
    <cfRule type="containsText" priority="65" operator="containsText" dxfId="8" text="Falso">
      <formula>NOT(ISERROR(SEARCH("Falso",K458)))</formula>
    </cfRule>
  </conditionalFormatting>
  <conditionalFormatting sqref="K464">
    <cfRule type="containsText" priority="64" operator="containsText" dxfId="8" text="Falso">
      <formula>NOT(ISERROR(SEARCH("Falso",K464)))</formula>
    </cfRule>
  </conditionalFormatting>
  <conditionalFormatting sqref="K470">
    <cfRule type="containsText" priority="63" operator="containsText" dxfId="8" text="Falso">
      <formula>NOT(ISERROR(SEARCH("Falso",K470)))</formula>
    </cfRule>
  </conditionalFormatting>
  <conditionalFormatting sqref="K476">
    <cfRule type="containsText" priority="62" operator="containsText" dxfId="8" text="Falso">
      <formula>NOT(ISERROR(SEARCH("Falso",K476)))</formula>
    </cfRule>
  </conditionalFormatting>
  <conditionalFormatting sqref="K482">
    <cfRule type="containsText" priority="61" operator="containsText" dxfId="8" text="Falso">
      <formula>NOT(ISERROR(SEARCH("Falso",K482)))</formula>
    </cfRule>
  </conditionalFormatting>
  <conditionalFormatting sqref="K488">
    <cfRule type="containsText" priority="60" operator="containsText" dxfId="8" text="Falso">
      <formula>NOT(ISERROR(SEARCH("Falso",K488)))</formula>
    </cfRule>
  </conditionalFormatting>
  <conditionalFormatting sqref="K494">
    <cfRule type="containsText" priority="59" operator="containsText" dxfId="8" text="Falso">
      <formula>NOT(ISERROR(SEARCH("Falso",K494)))</formula>
    </cfRule>
  </conditionalFormatting>
  <conditionalFormatting sqref="K500">
    <cfRule type="containsText" priority="58" operator="containsText" dxfId="8" text="Falso">
      <formula>NOT(ISERROR(SEARCH("Falso",K500)))</formula>
    </cfRule>
  </conditionalFormatting>
  <conditionalFormatting sqref="K506">
    <cfRule type="containsText" priority="57" operator="containsText" dxfId="8" text="Falso">
      <formula>NOT(ISERROR(SEARCH("Falso",K506)))</formula>
    </cfRule>
  </conditionalFormatting>
  <conditionalFormatting sqref="K512">
    <cfRule type="containsText" priority="56" operator="containsText" dxfId="8" text="Falso">
      <formula>NOT(ISERROR(SEARCH("Falso",K512)))</formula>
    </cfRule>
  </conditionalFormatting>
  <conditionalFormatting sqref="K518">
    <cfRule type="containsText" priority="55" operator="containsText" dxfId="8" text="Falso">
      <formula>NOT(ISERROR(SEARCH("Falso",K518)))</formula>
    </cfRule>
  </conditionalFormatting>
  <conditionalFormatting sqref="K524">
    <cfRule type="containsText" priority="54" operator="containsText" dxfId="8" text="Falso">
      <formula>NOT(ISERROR(SEARCH("Falso",K524)))</formula>
    </cfRule>
  </conditionalFormatting>
  <conditionalFormatting sqref="K530">
    <cfRule type="containsText" priority="53" operator="containsText" dxfId="8" text="Falso">
      <formula>NOT(ISERROR(SEARCH("Falso",K530)))</formula>
    </cfRule>
  </conditionalFormatting>
  <conditionalFormatting sqref="K536">
    <cfRule type="containsText" priority="52" operator="containsText" dxfId="8" text="Falso">
      <formula>NOT(ISERROR(SEARCH("Falso",K536)))</formula>
    </cfRule>
  </conditionalFormatting>
  <conditionalFormatting sqref="K542">
    <cfRule type="containsText" priority="51" operator="containsText" dxfId="8" text="Falso">
      <formula>NOT(ISERROR(SEARCH("Falso",K542)))</formula>
    </cfRule>
  </conditionalFormatting>
  <conditionalFormatting sqref="K548">
    <cfRule type="containsText" priority="50" operator="containsText" dxfId="8" text="Falso">
      <formula>NOT(ISERROR(SEARCH("Falso",K548)))</formula>
    </cfRule>
  </conditionalFormatting>
  <conditionalFormatting sqref="K554">
    <cfRule type="containsText" priority="49" operator="containsText" dxfId="8" text="Falso">
      <formula>NOT(ISERROR(SEARCH("Falso",K554)))</formula>
    </cfRule>
  </conditionalFormatting>
  <conditionalFormatting sqref="K560">
    <cfRule type="containsText" priority="48" operator="containsText" dxfId="8" text="Falso">
      <formula>NOT(ISERROR(SEARCH("Falso",K560)))</formula>
    </cfRule>
  </conditionalFormatting>
  <conditionalFormatting sqref="K566">
    <cfRule type="containsText" priority="47" operator="containsText" dxfId="8" text="Falso">
      <formula>NOT(ISERROR(SEARCH("Falso",K566)))</formula>
    </cfRule>
  </conditionalFormatting>
  <conditionalFormatting sqref="K572">
    <cfRule type="containsText" priority="46" operator="containsText" dxfId="8" text="Falso">
      <formula>NOT(ISERROR(SEARCH("Falso",K572)))</formula>
    </cfRule>
  </conditionalFormatting>
  <conditionalFormatting sqref="K578">
    <cfRule type="containsText" priority="45" operator="containsText" dxfId="8" text="Falso">
      <formula>NOT(ISERROR(SEARCH("Falso",K578)))</formula>
    </cfRule>
  </conditionalFormatting>
  <conditionalFormatting sqref="K584">
    <cfRule type="containsText" priority="44" operator="containsText" dxfId="8" text="Falso">
      <formula>NOT(ISERROR(SEARCH("Falso",K584)))</formula>
    </cfRule>
  </conditionalFormatting>
  <conditionalFormatting sqref="K590">
    <cfRule type="containsText" priority="43" operator="containsText" dxfId="8" text="Falso">
      <formula>NOT(ISERROR(SEARCH("Falso",K590)))</formula>
    </cfRule>
  </conditionalFormatting>
  <conditionalFormatting sqref="K596">
    <cfRule type="containsText" priority="42" operator="containsText" dxfId="8" text="Falso">
      <formula>NOT(ISERROR(SEARCH("Falso",K596)))</formula>
    </cfRule>
  </conditionalFormatting>
  <conditionalFormatting sqref="K602">
    <cfRule type="containsText" priority="41" operator="containsText" dxfId="8" text="Falso">
      <formula>NOT(ISERROR(SEARCH("Falso",K602)))</formula>
    </cfRule>
  </conditionalFormatting>
  <conditionalFormatting sqref="K608">
    <cfRule type="containsText" priority="40" operator="containsText" dxfId="8" text="Falso">
      <formula>NOT(ISERROR(SEARCH("Falso",K608)))</formula>
    </cfRule>
  </conditionalFormatting>
  <conditionalFormatting sqref="K614">
    <cfRule type="containsText" priority="39" operator="containsText" dxfId="8" text="Falso">
      <formula>NOT(ISERROR(SEARCH("Falso",K614)))</formula>
    </cfRule>
  </conditionalFormatting>
  <conditionalFormatting sqref="K620">
    <cfRule type="containsText" priority="38" operator="containsText" dxfId="8" text="Falso">
      <formula>NOT(ISERROR(SEARCH("Falso",K620)))</formula>
    </cfRule>
  </conditionalFormatting>
  <conditionalFormatting sqref="K626">
    <cfRule type="containsText" priority="37" operator="containsText" dxfId="8" text="Falso">
      <formula>NOT(ISERROR(SEARCH("Falso",K626)))</formula>
    </cfRule>
  </conditionalFormatting>
  <conditionalFormatting sqref="K632">
    <cfRule type="containsText" priority="36" operator="containsText" dxfId="8" text="Falso">
      <formula>NOT(ISERROR(SEARCH("Falso",K632)))</formula>
    </cfRule>
  </conditionalFormatting>
  <conditionalFormatting sqref="K639">
    <cfRule type="containsText" priority="35" operator="containsText" dxfId="8" text="Falso">
      <formula>NOT(ISERROR(SEARCH("Falso",K639)))</formula>
    </cfRule>
  </conditionalFormatting>
  <conditionalFormatting sqref="K645">
    <cfRule type="containsText" priority="34" operator="containsText" dxfId="8" text="Falso">
      <formula>NOT(ISERROR(SEARCH("Falso",K645)))</formula>
    </cfRule>
  </conditionalFormatting>
  <conditionalFormatting sqref="K651">
    <cfRule type="containsText" priority="33" operator="containsText" dxfId="8" text="Falso">
      <formula>NOT(ISERROR(SEARCH("Falso",K651)))</formula>
    </cfRule>
  </conditionalFormatting>
  <conditionalFormatting sqref="K657">
    <cfRule type="containsText" priority="32" operator="containsText" dxfId="8" text="Falso">
      <formula>NOT(ISERROR(SEARCH("Falso",K657)))</formula>
    </cfRule>
  </conditionalFormatting>
  <conditionalFormatting sqref="K663">
    <cfRule type="containsText" priority="31" operator="containsText" dxfId="8" text="Falso">
      <formula>NOT(ISERROR(SEARCH("Falso",K663)))</formula>
    </cfRule>
  </conditionalFormatting>
  <conditionalFormatting sqref="K669">
    <cfRule type="containsText" priority="30" operator="containsText" dxfId="8" text="Falso">
      <formula>NOT(ISERROR(SEARCH("Falso",K669)))</formula>
    </cfRule>
  </conditionalFormatting>
  <conditionalFormatting sqref="K675">
    <cfRule type="containsText" priority="29" operator="containsText" dxfId="8" text="Falso">
      <formula>NOT(ISERROR(SEARCH("Falso",K675)))</formula>
    </cfRule>
  </conditionalFormatting>
  <conditionalFormatting sqref="K681">
    <cfRule type="containsText" priority="28" operator="containsText" dxfId="8" text="Falso">
      <formula>NOT(ISERROR(SEARCH("Falso",K681)))</formula>
    </cfRule>
  </conditionalFormatting>
  <conditionalFormatting sqref="K687">
    <cfRule type="containsText" priority="27" operator="containsText" dxfId="8" text="Falso">
      <formula>NOT(ISERROR(SEARCH("Falso",K687)))</formula>
    </cfRule>
  </conditionalFormatting>
  <conditionalFormatting sqref="K693">
    <cfRule type="containsText" priority="26" operator="containsText" dxfId="8" text="Falso">
      <formula>NOT(ISERROR(SEARCH("Falso",K693)))</formula>
    </cfRule>
  </conditionalFormatting>
  <conditionalFormatting sqref="K699">
    <cfRule type="containsText" priority="25" operator="containsText" dxfId="8" text="Falso">
      <formula>NOT(ISERROR(SEARCH("Falso",K699)))</formula>
    </cfRule>
  </conditionalFormatting>
  <conditionalFormatting sqref="K705">
    <cfRule type="containsText" priority="24" operator="containsText" dxfId="8" text="Falso">
      <formula>NOT(ISERROR(SEARCH("Falso",K705)))</formula>
    </cfRule>
  </conditionalFormatting>
  <conditionalFormatting sqref="K713">
    <cfRule type="containsText" priority="23" operator="containsText" dxfId="8" text="Falso">
      <formula>NOT(ISERROR(SEARCH("Falso",K713)))</formula>
    </cfRule>
  </conditionalFormatting>
  <conditionalFormatting sqref="K720">
    <cfRule type="containsText" priority="22" operator="containsText" dxfId="8" text="Falso">
      <formula>NOT(ISERROR(SEARCH("Falso",K720)))</formula>
    </cfRule>
  </conditionalFormatting>
  <conditionalFormatting sqref="K727">
    <cfRule type="containsText" priority="21" operator="containsText" dxfId="8" text="Falso">
      <formula>NOT(ISERROR(SEARCH("Falso",K727)))</formula>
    </cfRule>
  </conditionalFormatting>
  <conditionalFormatting sqref="K734">
    <cfRule type="containsText" priority="20" operator="containsText" dxfId="8" text="Falso">
      <formula>NOT(ISERROR(SEARCH("Falso",K734)))</formula>
    </cfRule>
  </conditionalFormatting>
  <conditionalFormatting sqref="K741">
    <cfRule type="containsText" priority="19" operator="containsText" dxfId="8" text="Falso">
      <formula>NOT(ISERROR(SEARCH("Falso",K741)))</formula>
    </cfRule>
  </conditionalFormatting>
  <conditionalFormatting sqref="K748">
    <cfRule type="containsText" priority="18" operator="containsText" dxfId="8" text="Falso">
      <formula>NOT(ISERROR(SEARCH("Falso",K748)))</formula>
    </cfRule>
  </conditionalFormatting>
  <conditionalFormatting sqref="K755">
    <cfRule type="containsText" priority="17" operator="containsText" dxfId="8" text="Falso">
      <formula>NOT(ISERROR(SEARCH("Falso",K755)))</formula>
    </cfRule>
  </conditionalFormatting>
  <conditionalFormatting sqref="K762">
    <cfRule type="containsText" priority="16" operator="containsText" dxfId="8" text="Falso">
      <formula>NOT(ISERROR(SEARCH("Falso",K762)))</formula>
    </cfRule>
  </conditionalFormatting>
  <conditionalFormatting sqref="K769">
    <cfRule type="containsText" priority="15" operator="containsText" dxfId="8" text="Falso">
      <formula>NOT(ISERROR(SEARCH("Falso",K769)))</formula>
    </cfRule>
  </conditionalFormatting>
  <conditionalFormatting sqref="K776">
    <cfRule type="containsText" priority="14" operator="containsText" dxfId="8" text="Falso">
      <formula>NOT(ISERROR(SEARCH("Falso",K776)))</formula>
    </cfRule>
  </conditionalFormatting>
  <conditionalFormatting sqref="K793">
    <cfRule type="containsText" priority="13" operator="containsText" dxfId="8" text="Falso">
      <formula>NOT(ISERROR(SEARCH("Falso",K793)))</formula>
    </cfRule>
  </conditionalFormatting>
  <conditionalFormatting sqref="K798">
    <cfRule type="containsText" priority="12" operator="containsText" dxfId="8" text="Falso">
      <formula>NOT(ISERROR(SEARCH("Falso",K798)))</formula>
    </cfRule>
  </conditionalFormatting>
  <conditionalFormatting sqref="K803">
    <cfRule type="containsText" priority="11" operator="containsText" dxfId="8" text="Falso">
      <formula>NOT(ISERROR(SEARCH("Falso",K803)))</formula>
    </cfRule>
  </conditionalFormatting>
  <conditionalFormatting sqref="K808">
    <cfRule type="containsText" priority="10" operator="containsText" dxfId="8" text="Falso">
      <formula>NOT(ISERROR(SEARCH("Falso",K808)))</formula>
    </cfRule>
  </conditionalFormatting>
  <conditionalFormatting sqref="K813">
    <cfRule type="containsText" priority="9" operator="containsText" dxfId="8" text="Falso">
      <formula>NOT(ISERROR(SEARCH("Falso",K813)))</formula>
    </cfRule>
  </conditionalFormatting>
  <conditionalFormatting sqref="O858:O869">
    <cfRule type="cellIs" priority="8" operator="lessThan" dxfId="0" stopIfTrue="1">
      <formula>0</formula>
    </cfRule>
  </conditionalFormatting>
  <conditionalFormatting sqref="O871:O887">
    <cfRule type="cellIs" priority="7" operator="lessThan" dxfId="0" stopIfTrue="1">
      <formula>0</formula>
    </cfRule>
  </conditionalFormatting>
  <conditionalFormatting sqref="O893:O897">
    <cfRule type="cellIs" priority="6" operator="lessThan" dxfId="0" stopIfTrue="1">
      <formula>0</formula>
    </cfRule>
  </conditionalFormatting>
  <conditionalFormatting sqref="L888">
    <cfRule type="cellIs" priority="5" operator="lessThan" dxfId="0" stopIfTrue="1">
      <formula>0</formula>
    </cfRule>
  </conditionalFormatting>
  <conditionalFormatting sqref="L821:L856">
    <cfRule type="cellIs" priority="4" operator="lessThan" dxfId="0" stopIfTrue="1">
      <formula>0</formula>
    </cfRule>
  </conditionalFormatting>
  <conditionalFormatting sqref="L858:L869">
    <cfRule type="cellIs" priority="3" operator="lessThan" dxfId="0" stopIfTrue="1">
      <formula>0</formula>
    </cfRule>
  </conditionalFormatting>
  <conditionalFormatting sqref="L871:L887">
    <cfRule type="cellIs" priority="2" operator="lessThan" dxfId="0" stopIfTrue="1">
      <formula>0</formula>
    </cfRule>
  </conditionalFormatting>
  <conditionalFormatting sqref="L893:L897">
    <cfRule type="cellIs" priority="1" operator="lessThan" dxfId="0" stopIfTrue="1">
      <formula>0</formula>
    </cfRule>
  </conditionalFormatting>
  <dataValidations disablePrompts="1" count="3">
    <dataValidation sqref="O278:O279 O284:O285 O292" showDropDown="0" showInputMessage="1" showErrorMessage="1" allowBlank="1" errorTitle="INGRESE LA FECHA" error="FECHA DE VENCIMIENTO" type="date" operator="greaterThan">
      <formula1>39083</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C903:C907 C912:C913" showDropDown="0" showInputMessage="1" showErrorMessage="1" allowBlank="1" type="list">
      <formula1>"SI,NO"</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xl/worksheets/sheet13.xml><?xml version="1.0" encoding="utf-8"?>
<worksheet xmlns="http://schemas.openxmlformats.org/spreadsheetml/2006/main">
  <sheetPr codeName="Hoja23">
    <tabColor theme="9" tint="0.3999755851924192"/>
    <outlinePr summaryBelow="1" summaryRight="1"/>
    <pageSetUpPr/>
  </sheetPr>
  <dimension ref="A1:AZ919"/>
  <sheetViews>
    <sheetView topLeftCell="A40" zoomScale="70" zoomScaleNormal="70" workbookViewId="0">
      <selection activeCell="D25" sqref="D25:D30"/>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AGOSTO</t>
        </is>
      </c>
      <c r="F6" s="242" t="n"/>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748"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496">
        <f>JULIO!K13</f>
        <v/>
      </c>
      <c r="E13" s="731" t="n"/>
      <c r="F13" s="731" t="n"/>
      <c r="G13" s="730">
        <f>E13+F13</f>
        <v/>
      </c>
      <c r="H13" s="731" t="n"/>
      <c r="I13" s="731" t="n"/>
      <c r="J13" s="732">
        <f>AM13</f>
        <v/>
      </c>
      <c r="K13" s="738">
        <f>+(D13+G13)-(H13+I13+J13)</f>
        <v/>
      </c>
      <c r="L13" s="253" t="n"/>
      <c r="M13" s="254" t="n"/>
      <c r="N13" s="254" t="n"/>
      <c r="O13" s="1183" t="n"/>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inlineStr">
        <is>
          <t>AMAZONAS</t>
        </is>
      </c>
      <c r="AZ13" s="231" t="inlineStr">
        <is>
          <t>ENERO</t>
        </is>
      </c>
    </row>
    <row r="14" ht="18.75" customHeight="1">
      <c r="A14" s="973" t="n"/>
      <c r="B14" s="971" t="n"/>
      <c r="C14" s="972" t="n"/>
      <c r="D14" s="973" t="n"/>
      <c r="E14" s="994" t="n"/>
      <c r="F14" s="994" t="n"/>
      <c r="G14" s="973" t="n"/>
      <c r="H14" s="994" t="n"/>
      <c r="I14" s="994" t="n"/>
      <c r="J14" s="973" t="n"/>
      <c r="K14" s="973" t="n"/>
      <c r="L14" s="253" t="n"/>
      <c r="M14" s="254" t="n"/>
      <c r="N14" s="254" t="n"/>
      <c r="O14" s="1183" t="n"/>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inlineStr">
        <is>
          <t>ANTIOQUIA</t>
        </is>
      </c>
      <c r="AZ14" s="231" t="inlineStr">
        <is>
          <t>JULIO</t>
        </is>
      </c>
    </row>
    <row r="15" ht="18.75" customHeight="1">
      <c r="A15" s="973" t="n"/>
      <c r="B15" s="971" t="n"/>
      <c r="C15" s="972" t="n"/>
      <c r="D15" s="973" t="n"/>
      <c r="E15" s="994" t="n"/>
      <c r="F15" s="994" t="n"/>
      <c r="G15" s="973" t="n"/>
      <c r="H15" s="994" t="n"/>
      <c r="I15" s="994" t="n"/>
      <c r="J15" s="973" t="n"/>
      <c r="K15" s="973" t="n"/>
      <c r="L15" s="253" t="n"/>
      <c r="M15" s="254" t="n"/>
      <c r="N15" s="254" t="n"/>
      <c r="O15" s="1183" t="n"/>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73"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inlineStr">
        <is>
          <t>ATLANTICO</t>
        </is>
      </c>
      <c r="AZ16" s="231" t="inlineStr">
        <is>
          <t>ABRIL</t>
        </is>
      </c>
    </row>
    <row r="17" ht="18.75" customHeight="1">
      <c r="A17" s="973" t="n"/>
      <c r="B17" s="971" t="n"/>
      <c r="C17" s="972" t="n"/>
      <c r="D17" s="973"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inlineStr">
        <is>
          <t>BARRANQUILLA</t>
        </is>
      </c>
      <c r="AZ17" s="231" t="inlineStr">
        <is>
          <t>MAYO</t>
        </is>
      </c>
    </row>
    <row r="18" ht="18.75" customHeight="1">
      <c r="A18" s="975" t="n"/>
      <c r="B18" s="1182" t="n"/>
      <c r="C18" s="1103" t="n"/>
      <c r="D18" s="975"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JULIO</t>
        </is>
      </c>
    </row>
    <row r="19" ht="18.75" customHeight="1">
      <c r="A19" s="741">
        <f>A13+1</f>
        <v/>
      </c>
      <c r="B19" s="733" t="inlineStr">
        <is>
          <t>Vacuna de Hepatitis B Recombinante Pediátrica - Liquida</t>
        </is>
      </c>
      <c r="C19" s="965" t="n"/>
      <c r="D19" s="496">
        <f>JULIO!K19</f>
        <v/>
      </c>
      <c r="E19" s="731" t="n"/>
      <c r="F19" s="731" t="n"/>
      <c r="G19" s="730">
        <f>E19+F19</f>
        <v/>
      </c>
      <c r="H19" s="731" t="n"/>
      <c r="I19" s="731" t="n"/>
      <c r="J19" s="732">
        <f>AM19</f>
        <v/>
      </c>
      <c r="K19" s="738">
        <f>+(D19+G19)-(H19+I19+J19)</f>
        <v/>
      </c>
      <c r="L19" s="253" t="n"/>
      <c r="M19" s="254" t="n"/>
      <c r="N19" s="254" t="n"/>
      <c r="O19" s="1183" t="n"/>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inlineStr">
        <is>
          <t>BOLIVAR</t>
        </is>
      </c>
      <c r="AZ19" s="231" t="inlineStr">
        <is>
          <t>JULIO</t>
        </is>
      </c>
    </row>
    <row r="20" ht="18.75" customHeight="1">
      <c r="A20" s="973" t="n"/>
      <c r="B20" s="971" t="n"/>
      <c r="C20" s="972" t="n"/>
      <c r="D20" s="973" t="n"/>
      <c r="E20" s="994" t="n"/>
      <c r="F20" s="994" t="n"/>
      <c r="G20" s="973" t="n"/>
      <c r="H20" s="994" t="n"/>
      <c r="I20" s="994" t="n"/>
      <c r="J20" s="973" t="n"/>
      <c r="K20" s="973" t="n"/>
      <c r="L20" s="253" t="n"/>
      <c r="M20" s="254" t="n"/>
      <c r="N20" s="254" t="n"/>
      <c r="O20" s="1183" t="n"/>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73" t="n"/>
      <c r="E21" s="994" t="n"/>
      <c r="F21" s="994" t="n"/>
      <c r="G21" s="973" t="n"/>
      <c r="H21" s="994" t="n"/>
      <c r="I21" s="994" t="n"/>
      <c r="J21" s="973" t="n"/>
      <c r="K21" s="973" t="n"/>
      <c r="L21" s="253" t="n"/>
      <c r="M21" s="254" t="n"/>
      <c r="N21" s="254" t="n"/>
      <c r="O21" s="1183" t="n"/>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inlineStr">
        <is>
          <t>CARTAGENA</t>
        </is>
      </c>
      <c r="AZ21" s="231" t="inlineStr">
        <is>
          <t>AGOSTO</t>
        </is>
      </c>
    </row>
    <row r="22" ht="18.75" customHeight="1">
      <c r="A22" s="973" t="n"/>
      <c r="B22" s="971" t="n"/>
      <c r="C22" s="972" t="n"/>
      <c r="D22" s="973" t="n"/>
      <c r="E22" s="994" t="n"/>
      <c r="F22" s="994" t="n"/>
      <c r="G22" s="973" t="n"/>
      <c r="H22" s="994" t="n"/>
      <c r="I22" s="994" t="n"/>
      <c r="J22" s="973" t="n"/>
      <c r="K22" s="973" t="n"/>
      <c r="L22" s="253" t="n"/>
      <c r="M22" s="254" t="n"/>
      <c r="N22" s="254" t="n"/>
      <c r="O22" s="1183" t="n"/>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inlineStr">
        <is>
          <t>BOYACA</t>
        </is>
      </c>
      <c r="AZ22" s="231" t="inlineStr">
        <is>
          <t>SEPTIEMBRE</t>
        </is>
      </c>
    </row>
    <row r="23" ht="18.75" customHeight="1">
      <c r="A23" s="973" t="n"/>
      <c r="B23" s="971" t="n"/>
      <c r="C23" s="972" t="n"/>
      <c r="D23" s="973"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inlineStr">
        <is>
          <t>CAQUETA</t>
        </is>
      </c>
      <c r="AZ23" s="231" t="inlineStr">
        <is>
          <t>NOVIEMBRE</t>
        </is>
      </c>
    </row>
    <row r="24" ht="18.75" customHeight="1">
      <c r="A24" s="975" t="n"/>
      <c r="B24" s="1182" t="n"/>
      <c r="C24" s="1103" t="n"/>
      <c r="D24" s="975"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496">
        <f>JULIO!K25</f>
        <v/>
      </c>
      <c r="E25" s="731" t="n"/>
      <c r="F25" s="731" t="n"/>
      <c r="G25" s="730">
        <f>E25+F25</f>
        <v/>
      </c>
      <c r="H25" s="731" t="n"/>
      <c r="I25" s="731" t="n"/>
      <c r="J25" s="732">
        <f>AM25</f>
        <v/>
      </c>
      <c r="K25" s="738">
        <f>+(D25+G25)-(H25+I25+J25)</f>
        <v/>
      </c>
      <c r="L25" s="253" t="n"/>
      <c r="M25" s="254" t="n"/>
      <c r="N25" s="254" t="n"/>
      <c r="O25" s="1183" t="n"/>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inlineStr">
        <is>
          <t>BOLIVAR</t>
        </is>
      </c>
    </row>
    <row r="26" ht="18.75" customHeight="1">
      <c r="A26" s="973" t="n"/>
      <c r="B26" s="971" t="n"/>
      <c r="C26" s="972" t="n"/>
      <c r="D26" s="973"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73"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inlineStr">
        <is>
          <t>CARTAGENA</t>
        </is>
      </c>
    </row>
    <row r="28" ht="18.75" customHeight="1">
      <c r="A28" s="973" t="n"/>
      <c r="B28" s="971" t="n"/>
      <c r="C28" s="972" t="n"/>
      <c r="D28" s="973"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inlineStr">
        <is>
          <t>BOYACA</t>
        </is>
      </c>
    </row>
    <row r="29" ht="18.75" customHeight="1">
      <c r="A29" s="973" t="n"/>
      <c r="B29" s="971" t="n"/>
      <c r="C29" s="972" t="n"/>
      <c r="D29" s="973"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inlineStr">
        <is>
          <t>CAQUETA</t>
        </is>
      </c>
    </row>
    <row r="30" ht="18.75" customHeight="1">
      <c r="A30" s="975" t="n"/>
      <c r="B30" s="1182" t="n"/>
      <c r="C30" s="1103" t="n"/>
      <c r="D30" s="975"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496">
        <f>JULIO!K31</f>
        <v/>
      </c>
      <c r="E31" s="731" t="n"/>
      <c r="F31" s="731" t="n"/>
      <c r="G31" s="730">
        <f>E31+F31</f>
        <v/>
      </c>
      <c r="H31" s="731" t="n"/>
      <c r="I31" s="731" t="n"/>
      <c r="J31" s="732">
        <f>AM31</f>
        <v/>
      </c>
      <c r="K31" s="738">
        <f>+(D31+G31)-(H31+I31+J31)</f>
        <v/>
      </c>
      <c r="L31" s="253" t="n"/>
      <c r="M31" s="254" t="n"/>
      <c r="N31" s="254" t="n"/>
      <c r="O31" s="1183" t="n"/>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inlineStr">
        <is>
          <t>CAUCA</t>
        </is>
      </c>
    </row>
    <row r="32" ht="18.75" customHeight="1">
      <c r="A32" s="973" t="n"/>
      <c r="B32" s="971" t="n"/>
      <c r="C32" s="972" t="n"/>
      <c r="D32" s="973" t="n"/>
      <c r="E32" s="994" t="n"/>
      <c r="F32" s="994" t="n"/>
      <c r="G32" s="973" t="n"/>
      <c r="H32" s="994" t="n"/>
      <c r="I32" s="994" t="n"/>
      <c r="J32" s="973" t="n"/>
      <c r="K32" s="973" t="n"/>
      <c r="L32" s="253" t="n"/>
      <c r="M32" s="254" t="n"/>
      <c r="N32" s="254" t="n"/>
      <c r="O32" s="1183" t="n"/>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73" t="n"/>
      <c r="E33" s="994" t="n"/>
      <c r="F33" s="994" t="n"/>
      <c r="G33" s="973" t="n"/>
      <c r="H33" s="994" t="n"/>
      <c r="I33" s="994" t="n"/>
      <c r="J33" s="973" t="n"/>
      <c r="K33" s="973" t="n"/>
      <c r="L33" s="253" t="n"/>
      <c r="M33" s="254" t="n"/>
      <c r="N33" s="254" t="n"/>
      <c r="O33" s="1183" t="n"/>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inlineStr">
        <is>
          <t>CESAR</t>
        </is>
      </c>
    </row>
    <row r="34" ht="18.75" customHeight="1">
      <c r="A34" s="973" t="n"/>
      <c r="B34" s="971" t="n"/>
      <c r="C34" s="972" t="n"/>
      <c r="D34" s="973"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inlineStr">
        <is>
          <t>CHOCO</t>
        </is>
      </c>
    </row>
    <row r="35" ht="18.75" customHeight="1">
      <c r="A35" s="973" t="n"/>
      <c r="B35" s="971" t="n"/>
      <c r="C35" s="972" t="n"/>
      <c r="D35" s="973"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inlineStr">
        <is>
          <t>CORDOBA</t>
        </is>
      </c>
    </row>
    <row r="36" ht="18.75" customHeight="1">
      <c r="A36" s="975" t="n"/>
      <c r="B36" s="1182" t="n"/>
      <c r="C36" s="1103" t="n"/>
      <c r="D36" s="975"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496">
        <f>JULIO!K37</f>
        <v/>
      </c>
      <c r="E37" s="731" t="n"/>
      <c r="F37" s="731" t="n"/>
      <c r="G37" s="730">
        <f>E37+F37</f>
        <v/>
      </c>
      <c r="H37" s="731" t="n"/>
      <c r="I37" s="731" t="n"/>
      <c r="J37" s="732">
        <f>AM37</f>
        <v/>
      </c>
      <c r="K37" s="738">
        <f>+(D37+G37)-(H37+I37+J37)</f>
        <v/>
      </c>
      <c r="L37" s="253" t="n"/>
      <c r="M37" s="254" t="n"/>
      <c r="N37" s="254" t="n"/>
      <c r="O37" s="1183" t="n"/>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inlineStr">
        <is>
          <t>NARIÑO</t>
        </is>
      </c>
    </row>
    <row r="38" ht="19.5" customHeight="1">
      <c r="A38" s="973" t="n"/>
      <c r="B38" s="971" t="n"/>
      <c r="C38" s="972" t="n"/>
      <c r="D38" s="973" t="n"/>
      <c r="E38" s="994" t="n"/>
      <c r="F38" s="994" t="n"/>
      <c r="G38" s="973" t="n"/>
      <c r="H38" s="994" t="n"/>
      <c r="I38" s="994" t="n"/>
      <c r="J38" s="973" t="n"/>
      <c r="K38" s="973" t="n"/>
      <c r="L38" s="253" t="n"/>
      <c r="M38" s="254" t="n"/>
      <c r="N38" s="254" t="n"/>
      <c r="O38" s="1183" t="n"/>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73" t="n"/>
      <c r="E39" s="994" t="n"/>
      <c r="F39" s="994" t="n"/>
      <c r="G39" s="973" t="n"/>
      <c r="H39" s="994" t="n"/>
      <c r="I39" s="994" t="n"/>
      <c r="J39" s="973" t="n"/>
      <c r="K39" s="973" t="n"/>
      <c r="L39" s="253" t="n"/>
      <c r="M39" s="254" t="n"/>
      <c r="N39" s="254" t="n"/>
      <c r="O39" s="1183" t="n"/>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inlineStr">
        <is>
          <t>NORTE DE SANTANDER</t>
        </is>
      </c>
    </row>
    <row r="40" ht="19.5" customHeight="1">
      <c r="A40" s="973" t="n"/>
      <c r="B40" s="971" t="n"/>
      <c r="C40" s="972" t="n"/>
      <c r="D40" s="973"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73"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inlineStr">
        <is>
          <t>PUTUMAYO</t>
        </is>
      </c>
    </row>
    <row r="42" ht="19.5" customHeight="1">
      <c r="A42" s="975" t="n"/>
      <c r="B42" s="1182" t="n"/>
      <c r="C42" s="1103" t="n"/>
      <c r="D42" s="975"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496">
        <f>JULIO!K43</f>
        <v/>
      </c>
      <c r="E43" s="731" t="n"/>
      <c r="F43" s="731" t="n"/>
      <c r="G43" s="730">
        <f>E43+F43</f>
        <v/>
      </c>
      <c r="H43" s="731" t="n"/>
      <c r="I43" s="731" t="n"/>
      <c r="J43" s="732">
        <f>AM43</f>
        <v/>
      </c>
      <c r="K43" s="706">
        <f>+(D43+G43)-(H43+I43+J43)</f>
        <v/>
      </c>
      <c r="L43" s="253" t="n"/>
      <c r="M43" s="254" t="n"/>
      <c r="N43" s="254" t="n"/>
      <c r="O43" s="1183" t="n"/>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inlineStr">
        <is>
          <t>NARIÑO</t>
        </is>
      </c>
    </row>
    <row r="44" ht="19.5" customHeight="1">
      <c r="A44" s="973" t="n"/>
      <c r="B44" s="971" t="n"/>
      <c r="C44" s="972" t="n"/>
      <c r="D44" s="973"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73"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inlineStr">
        <is>
          <t>NORTE DE SANTANDER</t>
        </is>
      </c>
    </row>
    <row r="46" ht="19.5" customHeight="1">
      <c r="A46" s="973" t="n"/>
      <c r="B46" s="971" t="n"/>
      <c r="C46" s="972" t="n"/>
      <c r="D46" s="973"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inlineStr">
        <is>
          <t>PUTUMAYO</t>
        </is>
      </c>
    </row>
    <row r="47" ht="19.5" customHeight="1">
      <c r="A47" s="973" t="n"/>
      <c r="B47" s="971" t="n"/>
      <c r="C47" s="972" t="n"/>
      <c r="D47" s="973"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inlineStr">
        <is>
          <t>QUINDIO</t>
        </is>
      </c>
    </row>
    <row r="48" ht="19.5" customHeight="1">
      <c r="A48" s="975" t="n"/>
      <c r="B48" s="1182" t="n"/>
      <c r="C48" s="1103" t="n"/>
      <c r="D48" s="975"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496">
        <f>JULIO!K49</f>
        <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inlineStr">
        <is>
          <t>NARIÑO</t>
        </is>
      </c>
    </row>
    <row r="50" ht="19.5" customHeight="1">
      <c r="A50" s="973" t="n"/>
      <c r="B50" s="971" t="n"/>
      <c r="C50" s="972" t="n"/>
      <c r="D50" s="973"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73"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inlineStr">
        <is>
          <t>NORTE DE SANTANDER</t>
        </is>
      </c>
    </row>
    <row r="52" ht="19.5" customHeight="1">
      <c r="A52" s="973" t="n"/>
      <c r="B52" s="971" t="n"/>
      <c r="C52" s="972" t="n"/>
      <c r="D52" s="973"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inlineStr">
        <is>
          <t>PUTUMAYO</t>
        </is>
      </c>
    </row>
    <row r="53" ht="19.5" customHeight="1">
      <c r="A53" s="973" t="n"/>
      <c r="B53" s="971" t="n"/>
      <c r="C53" s="972" t="n"/>
      <c r="D53" s="973"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inlineStr">
        <is>
          <t>QUINDIO</t>
        </is>
      </c>
    </row>
    <row r="54" ht="19.5" customHeight="1">
      <c r="A54" s="975" t="n"/>
      <c r="B54" s="1182" t="n"/>
      <c r="C54" s="1103" t="n"/>
      <c r="D54" s="975"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496">
        <f>JULIO!K55</f>
        <v/>
      </c>
      <c r="E55" s="731" t="n"/>
      <c r="F55" s="731" t="n"/>
      <c r="G55" s="730">
        <f>E55+F55</f>
        <v/>
      </c>
      <c r="H55" s="731" t="n"/>
      <c r="I55" s="731" t="n"/>
      <c r="J55" s="732">
        <f>AM55</f>
        <v/>
      </c>
      <c r="K55" s="738">
        <f>+(D55+G55)-(H55+I55+J55)</f>
        <v/>
      </c>
      <c r="L55" s="253" t="n"/>
      <c r="M55" s="254" t="n"/>
      <c r="N55" s="254" t="n"/>
      <c r="O55" s="1183" t="n"/>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inlineStr">
        <is>
          <t>SANTANDER</t>
        </is>
      </c>
    </row>
    <row r="56" ht="19.5" customHeight="1">
      <c r="A56" s="973" t="n"/>
      <c r="B56" s="971" t="n"/>
      <c r="C56" s="972" t="n"/>
      <c r="D56" s="973" t="n"/>
      <c r="E56" s="994" t="n"/>
      <c r="F56" s="994" t="n"/>
      <c r="G56" s="973" t="n"/>
      <c r="H56" s="994" t="n"/>
      <c r="I56" s="994" t="n"/>
      <c r="J56" s="973" t="n"/>
      <c r="K56" s="973" t="n"/>
      <c r="L56" s="253" t="n"/>
      <c r="M56" s="254" t="n"/>
      <c r="N56" s="254" t="n"/>
      <c r="O56" s="1183" t="n"/>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73"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inlineStr">
        <is>
          <t>SUCRE</t>
        </is>
      </c>
    </row>
    <row r="58" ht="19.5" customHeight="1">
      <c r="A58" s="973" t="n"/>
      <c r="B58" s="971" t="n"/>
      <c r="C58" s="972" t="n"/>
      <c r="D58" s="973"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inlineStr">
        <is>
          <t>TOLIMA</t>
        </is>
      </c>
    </row>
    <row r="59" ht="19.5" customHeight="1">
      <c r="A59" s="973" t="n"/>
      <c r="B59" s="971" t="n"/>
      <c r="C59" s="972" t="n"/>
      <c r="D59" s="973"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inlineStr">
        <is>
          <t>VALLE</t>
        </is>
      </c>
    </row>
    <row r="60" ht="19.5" customHeight="1">
      <c r="A60" s="975" t="n"/>
      <c r="B60" s="971" t="n"/>
      <c r="C60" s="972" t="n"/>
      <c r="D60" s="975"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496">
        <f>JULIO!K61</f>
        <v/>
      </c>
      <c r="E61" s="731" t="n"/>
      <c r="F61" s="731" t="n"/>
      <c r="G61" s="730">
        <f>E61+F61</f>
        <v/>
      </c>
      <c r="H61" s="731" t="n"/>
      <c r="I61" s="731" t="n"/>
      <c r="J61" s="732">
        <f>AM61</f>
        <v/>
      </c>
      <c r="K61" s="738">
        <f>+(D61+G61)-(H61+I61+J61)</f>
        <v/>
      </c>
      <c r="L61" s="253" t="n"/>
      <c r="M61" s="254" t="n"/>
      <c r="N61" s="254" t="n"/>
      <c r="O61" s="1183" t="n"/>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inlineStr">
        <is>
          <t>VICHADA</t>
        </is>
      </c>
    </row>
    <row r="62" ht="19.5" customHeight="1">
      <c r="A62" s="973" t="n"/>
      <c r="B62" s="971" t="n"/>
      <c r="C62" s="972" t="n"/>
      <c r="D62" s="973"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73"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73"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73"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75"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496">
        <f>JULIO!K67</f>
        <v/>
      </c>
      <c r="E67" s="731" t="n"/>
      <c r="F67" s="731" t="n"/>
      <c r="G67" s="730">
        <f>E67+F67</f>
        <v/>
      </c>
      <c r="H67" s="731" t="n"/>
      <c r="I67" s="731" t="n"/>
      <c r="J67" s="732">
        <f>AM67</f>
        <v/>
      </c>
      <c r="K67" s="738">
        <f>+(D67+G67)-(H67+I67+J67)</f>
        <v/>
      </c>
      <c r="L67" s="253" t="n"/>
      <c r="M67" s="254" t="n"/>
      <c r="N67" s="254" t="n"/>
      <c r="O67" s="1183" t="n"/>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73" t="n"/>
      <c r="E68" s="994" t="n"/>
      <c r="F68" s="994" t="n"/>
      <c r="G68" s="973" t="n"/>
      <c r="H68" s="994" t="n"/>
      <c r="I68" s="994" t="n"/>
      <c r="J68" s="973" t="n"/>
      <c r="K68" s="973" t="n"/>
      <c r="L68" s="253" t="n"/>
      <c r="M68" s="254" t="n"/>
      <c r="N68" s="254" t="n"/>
      <c r="O68" s="1183" t="n"/>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73" t="n"/>
      <c r="E69" s="994" t="n"/>
      <c r="F69" s="994" t="n"/>
      <c r="G69" s="973" t="n"/>
      <c r="H69" s="994" t="n"/>
      <c r="I69" s="994" t="n"/>
      <c r="J69" s="973" t="n"/>
      <c r="K69" s="973" t="n"/>
      <c r="L69" s="253" t="n"/>
      <c r="M69" s="254" t="n"/>
      <c r="N69" s="254" t="n"/>
      <c r="O69" s="1183" t="n"/>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73"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73"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75"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496">
        <f>JULIO!K73</f>
        <v/>
      </c>
      <c r="E73" s="731" t="n"/>
      <c r="F73" s="731" t="n"/>
      <c r="G73" s="730">
        <f>E73+F73</f>
        <v/>
      </c>
      <c r="H73" s="731" t="n"/>
      <c r="I73" s="731" t="n"/>
      <c r="J73" s="732">
        <f>AM73</f>
        <v/>
      </c>
      <c r="K73" s="738">
        <f>+(D73+G73)-(H73+I73+J73)</f>
        <v/>
      </c>
      <c r="L73" s="253" t="n"/>
      <c r="M73" s="254" t="n"/>
      <c r="N73" s="254" t="n"/>
      <c r="O73" s="1183" t="n"/>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73" t="n"/>
      <c r="E74" s="994" t="n"/>
      <c r="F74" s="994" t="n"/>
      <c r="G74" s="973" t="n"/>
      <c r="H74" s="994" t="n"/>
      <c r="I74" s="994" t="n"/>
      <c r="J74" s="973" t="n"/>
      <c r="K74" s="973" t="n"/>
      <c r="L74" s="253" t="n"/>
      <c r="M74" s="254" t="n"/>
      <c r="N74" s="254" t="n"/>
      <c r="O74" s="1183" t="n"/>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73" t="n"/>
      <c r="E75" s="994" t="n"/>
      <c r="F75" s="994" t="n"/>
      <c r="G75" s="973" t="n"/>
      <c r="H75" s="994" t="n"/>
      <c r="I75" s="994" t="n"/>
      <c r="J75" s="973" t="n"/>
      <c r="K75" s="973" t="n"/>
      <c r="L75" s="253" t="n"/>
      <c r="M75" s="254" t="n"/>
      <c r="N75" s="254" t="n"/>
      <c r="O75" s="1183" t="n"/>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73"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73"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75"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496">
        <f>JULIO!K79</f>
        <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73"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73"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73"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73"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75"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496">
        <f>JULIO!K85</f>
        <v/>
      </c>
      <c r="E85" s="731" t="n"/>
      <c r="F85" s="731" t="n"/>
      <c r="G85" s="730">
        <f>E85+F85</f>
        <v/>
      </c>
      <c r="H85" s="731" t="n"/>
      <c r="I85" s="731" t="n"/>
      <c r="J85" s="732">
        <f>AM85</f>
        <v/>
      </c>
      <c r="K85" s="738">
        <f>+(D85+G85)-(H85+I85+J85)</f>
        <v/>
      </c>
      <c r="L85" s="253" t="n"/>
      <c r="M85" s="254" t="n"/>
      <c r="N85" s="254" t="n"/>
      <c r="O85" s="1183" t="n"/>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73" t="n"/>
      <c r="E86" s="994" t="n"/>
      <c r="F86" s="994" t="n"/>
      <c r="G86" s="973" t="n"/>
      <c r="H86" s="994" t="n"/>
      <c r="I86" s="994" t="n"/>
      <c r="J86" s="973" t="n"/>
      <c r="K86" s="973" t="n"/>
      <c r="L86" s="253" t="n"/>
      <c r="M86" s="254" t="n"/>
      <c r="N86" s="254" t="n"/>
      <c r="O86" s="1183" t="n"/>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73" t="n"/>
      <c r="E87" s="994" t="n"/>
      <c r="F87" s="994" t="n"/>
      <c r="G87" s="973" t="n"/>
      <c r="H87" s="994" t="n"/>
      <c r="I87" s="994" t="n"/>
      <c r="J87" s="973" t="n"/>
      <c r="K87" s="973" t="n"/>
      <c r="L87" s="253" t="n"/>
      <c r="M87" s="254" t="n"/>
      <c r="N87" s="254" t="n"/>
      <c r="O87" s="1183" t="n"/>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73" t="n"/>
      <c r="E88" s="994" t="n"/>
      <c r="F88" s="994" t="n"/>
      <c r="G88" s="973" t="n"/>
      <c r="H88" s="994" t="n"/>
      <c r="I88" s="994" t="n"/>
      <c r="J88" s="973" t="n"/>
      <c r="K88" s="973" t="n"/>
      <c r="L88" s="253" t="n"/>
      <c r="M88" s="254" t="n"/>
      <c r="N88" s="254" t="n"/>
      <c r="O88" s="1183" t="n"/>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73"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75"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496">
        <f>JULIO!K91</f>
        <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73"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73"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73"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73"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75"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496">
        <f>JULIO!K97</f>
        <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73"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73"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73"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73"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75"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496">
        <f>JULIO!K103</f>
        <v/>
      </c>
      <c r="E103" s="731" t="n"/>
      <c r="F103" s="731" t="n"/>
      <c r="G103" s="730">
        <f>E103+F103</f>
        <v/>
      </c>
      <c r="H103" s="731" t="n"/>
      <c r="I103" s="731" t="n"/>
      <c r="J103" s="732">
        <f>AM103</f>
        <v/>
      </c>
      <c r="K103" s="738">
        <f>+(D103+G103)-(H103+I103+J103)</f>
        <v/>
      </c>
      <c r="L103" s="253" t="n"/>
      <c r="M103" s="254" t="n"/>
      <c r="N103" s="254" t="n"/>
      <c r="O103" s="1183" t="n"/>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73" t="n"/>
      <c r="E104" s="994" t="n"/>
      <c r="F104" s="994" t="n"/>
      <c r="G104" s="973" t="n"/>
      <c r="H104" s="994" t="n"/>
      <c r="I104" s="994" t="n"/>
      <c r="J104" s="973" t="n"/>
      <c r="K104" s="973" t="n"/>
      <c r="L104" s="253" t="n"/>
      <c r="M104" s="254" t="n"/>
      <c r="N104" s="254" t="n"/>
      <c r="O104" s="1183" t="n"/>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73"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73"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73"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75"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496">
        <f>JULIO!K109</f>
        <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73"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73"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73"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73"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75"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496">
        <f>JULIO!K115</f>
        <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73"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73"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73"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73"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75"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496">
        <f>JULIO!K121</f>
        <v/>
      </c>
      <c r="E121" s="731" t="n"/>
      <c r="F121" s="731" t="n"/>
      <c r="G121" s="730">
        <f>E121+F121</f>
        <v/>
      </c>
      <c r="H121" s="731" t="n"/>
      <c r="I121" s="731" t="n"/>
      <c r="J121" s="732">
        <f>AM121</f>
        <v/>
      </c>
      <c r="K121" s="738">
        <f>+(D121+G121)-(H121+I121+J121)</f>
        <v/>
      </c>
      <c r="L121" s="253" t="n"/>
      <c r="M121" s="254" t="n"/>
      <c r="N121" s="254" t="n"/>
      <c r="O121" s="1183" t="n"/>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73" t="n"/>
      <c r="E122" s="994" t="n"/>
      <c r="F122" s="994" t="n"/>
      <c r="G122" s="973" t="n"/>
      <c r="H122" s="994" t="n"/>
      <c r="I122" s="994" t="n"/>
      <c r="J122" s="973" t="n"/>
      <c r="K122" s="973" t="n"/>
      <c r="L122" s="253" t="n"/>
      <c r="M122" s="254" t="n"/>
      <c r="N122" s="254" t="n"/>
      <c r="O122" s="1183" t="n"/>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73" t="n"/>
      <c r="E123" s="994" t="n"/>
      <c r="F123" s="994" t="n"/>
      <c r="G123" s="973" t="n"/>
      <c r="H123" s="994" t="n"/>
      <c r="I123" s="994" t="n"/>
      <c r="J123" s="973" t="n"/>
      <c r="K123" s="973" t="n"/>
      <c r="L123" s="253" t="n"/>
      <c r="M123" s="254" t="n"/>
      <c r="N123" s="254" t="n"/>
      <c r="O123" s="1183" t="n"/>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73"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73"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75"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496">
        <f>JULIO!K127</f>
        <v/>
      </c>
      <c r="E127" s="731" t="n"/>
      <c r="F127" s="731" t="n"/>
      <c r="G127" s="730">
        <f>E127+F127</f>
        <v/>
      </c>
      <c r="H127" s="731" t="n"/>
      <c r="I127" s="731" t="n"/>
      <c r="J127" s="732">
        <f>AM127</f>
        <v/>
      </c>
      <c r="K127" s="738">
        <f>+(D127+G127)-(H127+I127+J127)</f>
        <v/>
      </c>
      <c r="L127" s="253" t="n"/>
      <c r="M127" s="254" t="n"/>
      <c r="N127" s="254" t="n"/>
      <c r="O127" s="1183" t="n"/>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73" t="n"/>
      <c r="E128" s="994" t="n"/>
      <c r="F128" s="994" t="n"/>
      <c r="G128" s="973" t="n"/>
      <c r="H128" s="994" t="n"/>
      <c r="I128" s="994" t="n"/>
      <c r="J128" s="973" t="n"/>
      <c r="K128" s="973" t="n"/>
      <c r="L128" s="253" t="n"/>
      <c r="M128" s="254" t="n"/>
      <c r="N128" s="254" t="n"/>
      <c r="O128" s="1183" t="n"/>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73" t="n"/>
      <c r="E129" s="994" t="n"/>
      <c r="F129" s="994" t="n"/>
      <c r="G129" s="973" t="n"/>
      <c r="H129" s="994" t="n"/>
      <c r="I129" s="994" t="n"/>
      <c r="J129" s="973" t="n"/>
      <c r="K129" s="973" t="n"/>
      <c r="L129" s="253" t="n"/>
      <c r="M129" s="254" t="n"/>
      <c r="N129" s="254" t="n"/>
      <c r="O129" s="1183" t="n"/>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73"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73"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75"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496">
        <f>JULIO!K133</f>
        <v/>
      </c>
      <c r="E133" s="731" t="n"/>
      <c r="F133" s="731" t="n"/>
      <c r="G133" s="730">
        <f>E133+F133</f>
        <v/>
      </c>
      <c r="H133" s="731" t="n"/>
      <c r="I133" s="731" t="n"/>
      <c r="J133" s="732">
        <f>AM133</f>
        <v/>
      </c>
      <c r="K133" s="738">
        <f>+(D133+G133)-(H133+I133+J133)</f>
        <v/>
      </c>
      <c r="L133" s="253" t="n"/>
      <c r="M133" s="254" t="n"/>
      <c r="N133" s="254" t="n"/>
      <c r="O133" s="1183" t="n"/>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73" t="n"/>
      <c r="E134" s="994" t="n"/>
      <c r="F134" s="994" t="n"/>
      <c r="G134" s="973" t="n"/>
      <c r="H134" s="994" t="n"/>
      <c r="I134" s="994" t="n"/>
      <c r="J134" s="973" t="n"/>
      <c r="K134" s="973" t="n"/>
      <c r="L134" s="253" t="n"/>
      <c r="M134" s="254" t="n"/>
      <c r="N134" s="254" t="n"/>
      <c r="O134" s="1183" t="n"/>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73" t="n"/>
      <c r="E135" s="994" t="n"/>
      <c r="F135" s="994" t="n"/>
      <c r="G135" s="973" t="n"/>
      <c r="H135" s="994" t="n"/>
      <c r="I135" s="994" t="n"/>
      <c r="J135" s="973" t="n"/>
      <c r="K135" s="973" t="n"/>
      <c r="L135" s="253" t="n"/>
      <c r="M135" s="254" t="n"/>
      <c r="N135" s="254" t="n"/>
      <c r="O135" s="1183" t="n"/>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73"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73"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75"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496">
        <f>JULIO!K139</f>
        <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73"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73"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73"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73"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75"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496">
        <f>JULIO!K145</f>
        <v/>
      </c>
      <c r="E145" s="731" t="n"/>
      <c r="F145" s="731" t="n"/>
      <c r="G145" s="730">
        <f>E145+F145</f>
        <v/>
      </c>
      <c r="H145" s="731" t="n"/>
      <c r="I145" s="731" t="n"/>
      <c r="J145" s="732">
        <f>AM145</f>
        <v/>
      </c>
      <c r="K145" s="738">
        <f>+(D145+G145)-(H145+I145+J145)</f>
        <v/>
      </c>
      <c r="L145" s="253" t="n"/>
      <c r="M145" s="254" t="n"/>
      <c r="N145" s="254" t="n"/>
      <c r="O145" s="1183" t="n"/>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73" t="n"/>
      <c r="E146" s="994" t="n"/>
      <c r="F146" s="994" t="n"/>
      <c r="G146" s="973" t="n"/>
      <c r="H146" s="994" t="n"/>
      <c r="I146" s="994" t="n"/>
      <c r="J146" s="973" t="n"/>
      <c r="K146" s="973" t="n"/>
      <c r="L146" s="253" t="n"/>
      <c r="M146" s="254" t="n"/>
      <c r="N146" s="254" t="n"/>
      <c r="O146" s="1183" t="n"/>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73"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73"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73"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75"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496">
        <f>JULIO!K151</f>
        <v/>
      </c>
      <c r="E151" s="731" t="n"/>
      <c r="F151" s="731" t="n"/>
      <c r="G151" s="730">
        <f>E151+F151</f>
        <v/>
      </c>
      <c r="H151" s="731" t="n"/>
      <c r="I151" s="731" t="n"/>
      <c r="J151" s="732">
        <f>AM151</f>
        <v/>
      </c>
      <c r="K151" s="738">
        <f>+(D151+G151)-(H151+I151+J151)</f>
        <v/>
      </c>
      <c r="L151" s="253" t="n"/>
      <c r="M151" s="254" t="n"/>
      <c r="N151" s="254" t="n"/>
      <c r="O151" s="1183" t="n"/>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73" t="n"/>
      <c r="E152" s="994" t="n"/>
      <c r="F152" s="994" t="n"/>
      <c r="G152" s="973" t="n"/>
      <c r="H152" s="994" t="n"/>
      <c r="I152" s="994" t="n"/>
      <c r="J152" s="973" t="n"/>
      <c r="K152" s="973" t="n"/>
      <c r="L152" s="253" t="n"/>
      <c r="M152" s="254" t="n"/>
      <c r="N152" s="254" t="n"/>
      <c r="O152" s="1183" t="n"/>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73"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73"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73"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75"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496">
        <f>JULIO!K157</f>
        <v/>
      </c>
      <c r="E157" s="731" t="n"/>
      <c r="F157" s="731" t="n"/>
      <c r="G157" s="730">
        <f>E157+F157</f>
        <v/>
      </c>
      <c r="H157" s="731" t="n"/>
      <c r="I157" s="731" t="n"/>
      <c r="J157" s="732">
        <f>AM157</f>
        <v/>
      </c>
      <c r="K157" s="738">
        <f>+(D157+G157)-(H157+I157+J157)</f>
        <v/>
      </c>
      <c r="L157" s="253" t="n"/>
      <c r="M157" s="254" t="n"/>
      <c r="N157" s="254" t="n"/>
      <c r="O157" s="1183" t="n"/>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73"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73"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73"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73"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75"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496">
        <f>JULIO!K163</f>
        <v/>
      </c>
      <c r="E163" s="731" t="n"/>
      <c r="F163" s="731" t="n"/>
      <c r="G163" s="730">
        <f>E163+F163</f>
        <v/>
      </c>
      <c r="H163" s="731" t="n"/>
      <c r="I163" s="731" t="n"/>
      <c r="J163" s="732">
        <f>AM163</f>
        <v/>
      </c>
      <c r="K163" s="738">
        <f>+(D163+G163)-(H163+I163+J163)</f>
        <v/>
      </c>
      <c r="L163" s="253" t="n"/>
      <c r="M163" s="254" t="n"/>
      <c r="N163" s="254" t="n"/>
      <c r="O163" s="1183" t="n"/>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73" t="n"/>
      <c r="E164" s="994" t="n"/>
      <c r="F164" s="994" t="n"/>
      <c r="G164" s="973" t="n"/>
      <c r="H164" s="994" t="n"/>
      <c r="I164" s="994" t="n"/>
      <c r="J164" s="973" t="n"/>
      <c r="K164" s="973" t="n"/>
      <c r="L164" s="253" t="n"/>
      <c r="M164" s="254" t="n"/>
      <c r="N164" s="254" t="n"/>
      <c r="O164" s="1183" t="n"/>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73" t="n"/>
      <c r="E165" s="994" t="n"/>
      <c r="F165" s="994" t="n"/>
      <c r="G165" s="973" t="n"/>
      <c r="H165" s="994" t="n"/>
      <c r="I165" s="994" t="n"/>
      <c r="J165" s="973" t="n"/>
      <c r="K165" s="973" t="n"/>
      <c r="L165" s="253" t="n"/>
      <c r="M165" s="254" t="n"/>
      <c r="N165" s="254" t="n"/>
      <c r="O165" s="1183" t="n"/>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73"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73"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75"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496">
        <f>JULIO!K169</f>
        <v/>
      </c>
      <c r="E169" s="731" t="n"/>
      <c r="F169" s="731" t="n"/>
      <c r="G169" s="730">
        <f>E169+F169</f>
        <v/>
      </c>
      <c r="H169" s="731" t="n"/>
      <c r="I169" s="731" t="n"/>
      <c r="J169" s="732">
        <f>AM169</f>
        <v/>
      </c>
      <c r="K169" s="738">
        <f>+(D169+G169)-(H169+I169+J169)</f>
        <v/>
      </c>
      <c r="L169" s="253" t="n"/>
      <c r="M169" s="254" t="n"/>
      <c r="N169" s="254" t="n"/>
      <c r="O169" s="1183" t="n"/>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73" t="n"/>
      <c r="E170" s="994" t="n"/>
      <c r="F170" s="994" t="n"/>
      <c r="G170" s="973" t="n"/>
      <c r="H170" s="994" t="n"/>
      <c r="I170" s="994" t="n"/>
      <c r="J170" s="973" t="n"/>
      <c r="K170" s="973" t="n"/>
      <c r="L170" s="253" t="n"/>
      <c r="M170" s="254"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73"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73"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73"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75"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496">
        <f>JULIO!K175</f>
        <v/>
      </c>
      <c r="E175" s="731" t="n"/>
      <c r="F175" s="731" t="n"/>
      <c r="G175" s="730">
        <f>E175+F175</f>
        <v/>
      </c>
      <c r="H175" s="731" t="n"/>
      <c r="I175" s="731" t="n"/>
      <c r="J175" s="732">
        <f>AM175</f>
        <v/>
      </c>
      <c r="K175" s="738">
        <f>+(D175+G175)-(H175+I175+J175)</f>
        <v/>
      </c>
      <c r="L175" s="253" t="n"/>
      <c r="M175" s="254" t="n"/>
      <c r="N175" s="254" t="n"/>
      <c r="O175" s="1183" t="n"/>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73" t="n"/>
      <c r="E176" s="994" t="n"/>
      <c r="F176" s="994" t="n"/>
      <c r="G176" s="973" t="n"/>
      <c r="H176" s="994" t="n"/>
      <c r="I176" s="994" t="n"/>
      <c r="J176" s="973" t="n"/>
      <c r="K176" s="973" t="n"/>
      <c r="L176" s="253" t="n"/>
      <c r="M176" s="254" t="n"/>
      <c r="N176" s="254" t="n"/>
      <c r="O176" s="1183" t="n"/>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73" t="n"/>
      <c r="E177" s="994" t="n"/>
      <c r="F177" s="994" t="n"/>
      <c r="G177" s="973" t="n"/>
      <c r="H177" s="994" t="n"/>
      <c r="I177" s="994" t="n"/>
      <c r="J177" s="973" t="n"/>
      <c r="K177" s="973" t="n"/>
      <c r="L177" s="253" t="n"/>
      <c r="M177" s="254" t="n"/>
      <c r="N177" s="254" t="n"/>
      <c r="O177" s="1183" t="n"/>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73"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73"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75"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496">
        <f>JULIO!K181</f>
        <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73"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73"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73"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73"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75"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496">
        <f>JULIO!K187</f>
        <v/>
      </c>
      <c r="E187" s="731" t="n"/>
      <c r="F187" s="731" t="n"/>
      <c r="G187" s="730">
        <f>E187+F187</f>
        <v/>
      </c>
      <c r="H187" s="731" t="n"/>
      <c r="I187" s="731" t="n"/>
      <c r="J187" s="732">
        <f>AM187</f>
        <v/>
      </c>
      <c r="K187" s="738">
        <f>+(D187+G187)-(H187+I187+J187)</f>
        <v/>
      </c>
      <c r="L187" s="253" t="n"/>
      <c r="M187" s="254" t="n"/>
      <c r="N187" s="254" t="n"/>
      <c r="O187" s="1183" t="n"/>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73" t="n"/>
      <c r="E188" s="994" t="n"/>
      <c r="F188" s="994" t="n"/>
      <c r="G188" s="973" t="n"/>
      <c r="H188" s="994" t="n"/>
      <c r="I188" s="994" t="n"/>
      <c r="J188" s="973" t="n"/>
      <c r="K188" s="973" t="n"/>
      <c r="L188" s="253" t="n"/>
      <c r="M188" s="254" t="n"/>
      <c r="N188" s="254" t="n"/>
      <c r="O188" s="1183" t="n"/>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73"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73"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73"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75"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496">
        <f>JULIO!K193</f>
        <v/>
      </c>
      <c r="E193" s="731" t="n"/>
      <c r="F193" s="731" t="n"/>
      <c r="G193" s="730">
        <f>E193+F193</f>
        <v/>
      </c>
      <c r="H193" s="731" t="n"/>
      <c r="I193" s="731" t="n"/>
      <c r="J193" s="732">
        <f>AM193</f>
        <v/>
      </c>
      <c r="K193" s="738">
        <f>+(D193+G193)-(H193+I193+J193)</f>
        <v/>
      </c>
      <c r="L193" s="253" t="n"/>
      <c r="M193" s="254" t="n"/>
      <c r="N193" s="254" t="n"/>
      <c r="O193" s="1183" t="n"/>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73"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73"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73"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73"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75"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496">
        <f>JULIO!K199</f>
        <v/>
      </c>
      <c r="E199" s="731" t="n"/>
      <c r="F199" s="731" t="n"/>
      <c r="G199" s="730">
        <f>E199+F199</f>
        <v/>
      </c>
      <c r="H199" s="731" t="n"/>
      <c r="I199" s="731" t="n"/>
      <c r="J199" s="732">
        <f>AM199</f>
        <v/>
      </c>
      <c r="K199" s="738">
        <f>+(D199+G199)-(H199+I199+J199)</f>
        <v/>
      </c>
      <c r="L199" s="253" t="n"/>
      <c r="M199" s="254" t="n"/>
      <c r="N199" s="254" t="n"/>
      <c r="O199" s="1183" t="n"/>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73" t="n"/>
      <c r="E200" s="994" t="n"/>
      <c r="F200" s="994" t="n"/>
      <c r="G200" s="973" t="n"/>
      <c r="H200" s="994" t="n"/>
      <c r="I200" s="994" t="n"/>
      <c r="J200" s="973" t="n"/>
      <c r="K200" s="973" t="n"/>
      <c r="L200" s="253" t="n"/>
      <c r="M200" s="254" t="n"/>
      <c r="N200" s="254" t="n"/>
      <c r="O200" s="1183" t="n"/>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73"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73"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73"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75"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496">
        <f>JULIO!K205</f>
        <v/>
      </c>
      <c r="E205" s="731" t="n"/>
      <c r="F205" s="731" t="n"/>
      <c r="G205" s="730">
        <f>E205+F205</f>
        <v/>
      </c>
      <c r="H205" s="731" t="n"/>
      <c r="I205" s="731" t="n"/>
      <c r="J205" s="732">
        <f>AM205</f>
        <v/>
      </c>
      <c r="K205" s="738">
        <f>+(D205+G205)-(H205+I205+J205)</f>
        <v/>
      </c>
      <c r="L205" s="253" t="n"/>
      <c r="M205" s="254" t="n"/>
      <c r="N205" s="254" t="n"/>
      <c r="O205" s="1183" t="n"/>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73"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73"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73"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73"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75"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496">
        <f>JULIO!K211</f>
        <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73"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73"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73"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73"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75"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496">
        <f>JULIO!K217</f>
        <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73"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73"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73"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73"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75"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496">
        <f>JULIO!K223</f>
        <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73"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73"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73"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73"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75"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496">
        <f>JULIO!K230</f>
        <v/>
      </c>
      <c r="E230" s="731" t="n"/>
      <c r="F230" s="731" t="n"/>
      <c r="G230" s="730">
        <f>E230+F230</f>
        <v/>
      </c>
      <c r="H230" s="731" t="n"/>
      <c r="I230" s="731" t="n"/>
      <c r="J230" s="732">
        <f>AM230</f>
        <v/>
      </c>
      <c r="K230" s="738">
        <f>+(D230+G230)-(H230+I230+J230)</f>
        <v/>
      </c>
      <c r="L230" s="253" t="n"/>
      <c r="M230" s="254" t="n"/>
      <c r="N230" s="254" t="n"/>
      <c r="O230" s="1183" t="n"/>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73" t="n"/>
      <c r="E231" s="994" t="n"/>
      <c r="F231" s="994" t="n"/>
      <c r="G231" s="973" t="n"/>
      <c r="H231" s="994" t="n"/>
      <c r="I231" s="994" t="n"/>
      <c r="J231" s="973" t="n"/>
      <c r="K231" s="973" t="n"/>
      <c r="L231" s="253" t="n"/>
      <c r="M231" s="254" t="n"/>
      <c r="N231" s="254" t="n"/>
      <c r="O231" s="1183" t="n"/>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73" t="n"/>
      <c r="E232" s="994" t="n"/>
      <c r="F232" s="994" t="n"/>
      <c r="G232" s="973" t="n"/>
      <c r="H232" s="994" t="n"/>
      <c r="I232" s="994" t="n"/>
      <c r="J232" s="973" t="n"/>
      <c r="K232" s="973" t="n"/>
      <c r="L232" s="253" t="n"/>
      <c r="M232" s="254" t="n"/>
      <c r="N232" s="254" t="n"/>
      <c r="O232" s="1183" t="n"/>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73"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73"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75" t="n"/>
      <c r="E235" s="998" t="n"/>
      <c r="F235" s="998" t="n"/>
      <c r="G235" s="975" t="n"/>
      <c r="H235" s="998" t="n"/>
      <c r="I235" s="998" t="n"/>
      <c r="J235" s="975" t="n"/>
      <c r="K235" s="1189">
        <f>K230=L235</f>
        <v/>
      </c>
      <c r="L235" s="491">
        <f>SUM(L230:L234)</f>
        <v/>
      </c>
      <c r="M235" s="1190" t="inlineStr">
        <is>
          <t xml:space="preserve">“Verdadero” indica que la cantidad por lote, coincide con el saldo que inicia al mes siguiente. "Falso" no coinicide. </t>
        </is>
      </c>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496">
        <f>JULIO!K236</f>
        <v/>
      </c>
      <c r="E236" s="731" t="n"/>
      <c r="F236" s="731" t="n"/>
      <c r="G236" s="730">
        <f>E236+F236</f>
        <v/>
      </c>
      <c r="H236" s="731" t="n"/>
      <c r="I236" s="731" t="n"/>
      <c r="J236" s="732">
        <f>AM236</f>
        <v/>
      </c>
      <c r="K236" s="738">
        <f>+(D236+G236)-(H236+I236+J236)</f>
        <v/>
      </c>
      <c r="L236" s="253" t="n"/>
      <c r="M236" s="254" t="n"/>
      <c r="N236" s="254" t="n"/>
      <c r="O236" s="1183" t="n"/>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73" t="n"/>
      <c r="E237" s="994" t="n"/>
      <c r="F237" s="994" t="n"/>
      <c r="G237" s="973" t="n"/>
      <c r="H237" s="994" t="n"/>
      <c r="I237" s="994" t="n"/>
      <c r="J237" s="973" t="n"/>
      <c r="K237" s="973" t="n"/>
      <c r="L237" s="253" t="n"/>
      <c r="M237" s="254" t="n"/>
      <c r="N237" s="254" t="n"/>
      <c r="O237" s="1183" t="n"/>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73" t="n"/>
      <c r="E238" s="994" t="n"/>
      <c r="F238" s="994" t="n"/>
      <c r="G238" s="973" t="n"/>
      <c r="H238" s="994" t="n"/>
      <c r="I238" s="994" t="n"/>
      <c r="J238" s="973" t="n"/>
      <c r="K238" s="973" t="n"/>
      <c r="L238" s="253" t="n"/>
      <c r="M238" s="254" t="n"/>
      <c r="N238" s="254" t="n"/>
      <c r="O238" s="1183" t="n"/>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73"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73"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75" t="n"/>
      <c r="E241" s="998" t="n"/>
      <c r="F241" s="998" t="n"/>
      <c r="G241" s="975" t="n"/>
      <c r="H241" s="998" t="n"/>
      <c r="I241" s="998" t="n"/>
      <c r="J241" s="975" t="n"/>
      <c r="K241" s="1189">
        <f>K236=L241</f>
        <v/>
      </c>
      <c r="L241" s="491">
        <f>SUM(L236:L240)</f>
        <v/>
      </c>
      <c r="M241" s="1190" t="inlineStr">
        <is>
          <t xml:space="preserve">“Verdadero” indica que la cantidad por lote, coincide con el saldo que inicia al mes siguiente. "Falso" no coinicide. </t>
        </is>
      </c>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496">
        <f>JULIO!K242</f>
        <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73"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73"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73"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73"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75" t="n"/>
      <c r="E247" s="998" t="n"/>
      <c r="F247" s="998" t="n"/>
      <c r="G247" s="975" t="n"/>
      <c r="H247" s="998" t="n"/>
      <c r="I247" s="998" t="n"/>
      <c r="J247" s="975" t="n"/>
      <c r="K247" s="1189">
        <f>K242=L247</f>
        <v/>
      </c>
      <c r="L247" s="491">
        <f>SUM(L242:L246)</f>
        <v/>
      </c>
      <c r="M247" s="1190" t="inlineStr">
        <is>
          <t xml:space="preserve">“Verdadero” indica que la cantidad por lote, coincide con el saldo que inicia al mes siguiente. "Falso" no coinicide. </t>
        </is>
      </c>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496">
        <f>JULIO!K248</f>
        <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73"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73"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73"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73"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75" t="n"/>
      <c r="E253" s="998" t="n"/>
      <c r="F253" s="998" t="n"/>
      <c r="G253" s="975" t="n"/>
      <c r="H253" s="998" t="n"/>
      <c r="I253" s="998" t="n"/>
      <c r="J253" s="975" t="n"/>
      <c r="K253" s="1189">
        <f>K248=L253</f>
        <v/>
      </c>
      <c r="L253" s="491">
        <f>SUM(L248:L252)</f>
        <v/>
      </c>
      <c r="M253" s="1190" t="inlineStr">
        <is>
          <t xml:space="preserve">“Verdadero” indica que la cantidad por lote, coincide con el saldo que inicia al mes siguiente. "Falso" no coinicide. </t>
        </is>
      </c>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496">
        <f>JULIO!K254</f>
        <v/>
      </c>
      <c r="E254" s="731" t="n"/>
      <c r="F254" s="731" t="n"/>
      <c r="G254" s="730">
        <f>E254+F254</f>
        <v/>
      </c>
      <c r="H254" s="731" t="n"/>
      <c r="I254" s="731" t="n"/>
      <c r="J254" s="732">
        <f>AM254</f>
        <v/>
      </c>
      <c r="K254" s="738">
        <f>+(D254+G254)-(H254+I254+J254)</f>
        <v/>
      </c>
      <c r="L254" s="253" t="n"/>
      <c r="M254" s="254" t="n"/>
      <c r="N254" s="254" t="n"/>
      <c r="O254" s="1183" t="n"/>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73" t="n"/>
      <c r="E255" s="994" t="n"/>
      <c r="F255" s="994" t="n"/>
      <c r="G255" s="973" t="n"/>
      <c r="H255" s="994" t="n"/>
      <c r="I255" s="994" t="n"/>
      <c r="J255" s="973" t="n"/>
      <c r="K255" s="973" t="n"/>
      <c r="L255" s="253" t="n"/>
      <c r="M255" s="254" t="n"/>
      <c r="N255" s="254" t="n"/>
      <c r="O255" s="1183" t="n"/>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73" t="n"/>
      <c r="E256" s="994" t="n"/>
      <c r="F256" s="994" t="n"/>
      <c r="G256" s="973" t="n"/>
      <c r="H256" s="994" t="n"/>
      <c r="I256" s="994" t="n"/>
      <c r="J256" s="973" t="n"/>
      <c r="K256" s="973" t="n"/>
      <c r="L256" s="253" t="n"/>
      <c r="M256" s="254" t="n"/>
      <c r="N256" s="254" t="n"/>
      <c r="O256" s="1183" t="n"/>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73" t="n"/>
      <c r="E257" s="994" t="n"/>
      <c r="F257" s="994" t="n"/>
      <c r="G257" s="973" t="n"/>
      <c r="H257" s="994" t="n"/>
      <c r="I257" s="994" t="n"/>
      <c r="J257" s="973" t="n"/>
      <c r="K257" s="973" t="n"/>
      <c r="L257" s="253" t="n"/>
      <c r="M257" s="254" t="n"/>
      <c r="N257" s="254" t="n"/>
      <c r="O257" s="1183" t="n"/>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73"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75" t="n"/>
      <c r="E259" s="998" t="n"/>
      <c r="F259" s="998" t="n"/>
      <c r="G259" s="975" t="n"/>
      <c r="H259" s="998" t="n"/>
      <c r="I259" s="998" t="n"/>
      <c r="J259" s="975" t="n"/>
      <c r="K259" s="1189">
        <f>K254=L259</f>
        <v/>
      </c>
      <c r="L259" s="491">
        <f>SUM(L254:L258)</f>
        <v/>
      </c>
      <c r="M259" s="1190" t="inlineStr">
        <is>
          <t xml:space="preserve">“Verdadero” indica que la cantidad por lote, coincide con el saldo que inicia al mes siguiente. "Falso" no coinicide. </t>
        </is>
      </c>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496">
        <f>JULIO!K260</f>
        <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73"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73"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73"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73"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75" t="n"/>
      <c r="E265" s="998" t="n"/>
      <c r="F265" s="998" t="n"/>
      <c r="G265" s="975" t="n"/>
      <c r="H265" s="998" t="n"/>
      <c r="I265" s="998" t="n"/>
      <c r="J265" s="975" t="n"/>
      <c r="K265" s="1189">
        <f>K260=L265</f>
        <v/>
      </c>
      <c r="L265" s="491">
        <f>SUM(L260:L264)</f>
        <v/>
      </c>
      <c r="M265" s="1190" t="inlineStr">
        <is>
          <t xml:space="preserve">“Verdadero” indica que la cantidad por lote, coincide con el saldo que inicia al mes siguiente. "Falso" no coinicide. </t>
        </is>
      </c>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496">
        <f>JULIO!K266</f>
        <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73"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73"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73"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73"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75" t="n"/>
      <c r="E271" s="998" t="n"/>
      <c r="F271" s="998" t="n"/>
      <c r="G271" s="975" t="n"/>
      <c r="H271" s="998" t="n"/>
      <c r="I271" s="998" t="n"/>
      <c r="J271" s="975" t="n"/>
      <c r="K271" s="1189">
        <f>K266=L271</f>
        <v/>
      </c>
      <c r="L271" s="491">
        <f>SUM(L266:L270)</f>
        <v/>
      </c>
      <c r="M271" s="1190" t="inlineStr">
        <is>
          <t xml:space="preserve">“Verdadero” indica que la cantidad por lote, coincide con el saldo que inicia al mes siguiente. "Falso" no coinicide. </t>
        </is>
      </c>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496">
        <f>JULIO!K272</f>
        <v/>
      </c>
      <c r="E272" s="731" t="n"/>
      <c r="F272" s="731" t="n"/>
      <c r="G272" s="730">
        <f>E272+F272</f>
        <v/>
      </c>
      <c r="H272" s="731" t="n"/>
      <c r="I272" s="731" t="n"/>
      <c r="J272" s="732">
        <f>AM272</f>
        <v/>
      </c>
      <c r="K272" s="738">
        <f>+(D272+G272)-(H272+I272+J272)</f>
        <v/>
      </c>
      <c r="L272" s="253" t="n"/>
      <c r="M272" s="254" t="n"/>
      <c r="N272" s="254" t="n"/>
      <c r="O272" s="1183" t="n"/>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73" t="n"/>
      <c r="E273" s="994" t="n"/>
      <c r="F273" s="994" t="n"/>
      <c r="G273" s="973" t="n"/>
      <c r="H273" s="994" t="n"/>
      <c r="I273" s="994" t="n"/>
      <c r="J273" s="973" t="n"/>
      <c r="K273" s="973" t="n"/>
      <c r="L273" s="253" t="n"/>
      <c r="M273" s="254" t="n"/>
      <c r="N273" s="254" t="n"/>
      <c r="O273" s="1183" t="n"/>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73" t="n"/>
      <c r="E274" s="994" t="n"/>
      <c r="F274" s="994" t="n"/>
      <c r="G274" s="973" t="n"/>
      <c r="H274" s="994" t="n"/>
      <c r="I274" s="994" t="n"/>
      <c r="J274" s="973" t="n"/>
      <c r="K274" s="973" t="n"/>
      <c r="L274" s="253" t="n"/>
      <c r="M274" s="254" t="n"/>
      <c r="N274" s="254" t="n"/>
      <c r="O274" s="1183" t="n"/>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73"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73"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75" t="n"/>
      <c r="E277" s="998" t="n"/>
      <c r="F277" s="998" t="n"/>
      <c r="G277" s="975" t="n"/>
      <c r="H277" s="998" t="n"/>
      <c r="I277" s="998" t="n"/>
      <c r="J277" s="975" t="n"/>
      <c r="K277" s="1189">
        <f>K272=L277</f>
        <v/>
      </c>
      <c r="L277" s="491">
        <f>SUM(L272:L276)</f>
        <v/>
      </c>
      <c r="M277" s="1190" t="inlineStr">
        <is>
          <t xml:space="preserve">“Verdadero” indica que la cantidad por lote, coincide con el saldo que inicia al mes siguiente. "Falso" no coinicide. </t>
        </is>
      </c>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496">
        <f>JULIO!K278</f>
        <v/>
      </c>
      <c r="E278" s="731" t="n"/>
      <c r="F278" s="731" t="n"/>
      <c r="G278" s="730">
        <f>E278+F278</f>
        <v/>
      </c>
      <c r="H278" s="731" t="n"/>
      <c r="I278" s="731" t="n"/>
      <c r="J278" s="732">
        <f>AM278</f>
        <v/>
      </c>
      <c r="K278" s="738">
        <f>+(D278+G278)-(H278+I278+J278)</f>
        <v/>
      </c>
      <c r="L278" s="253" t="n"/>
      <c r="M278" s="254" t="n"/>
      <c r="N278" s="254" t="n"/>
      <c r="O278" s="1183" t="n"/>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73" t="n"/>
      <c r="E279" s="994" t="n"/>
      <c r="F279" s="994" t="n"/>
      <c r="G279" s="973" t="n"/>
      <c r="H279" s="994" t="n"/>
      <c r="I279" s="994" t="n"/>
      <c r="J279" s="973" t="n"/>
      <c r="K279" s="973" t="n"/>
      <c r="L279" s="253" t="n"/>
      <c r="M279" s="254" t="n"/>
      <c r="N279" s="254" t="n"/>
      <c r="O279" s="1183" t="n"/>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73"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73"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73"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75" t="n"/>
      <c r="E283" s="998" t="n"/>
      <c r="F283" s="998" t="n"/>
      <c r="G283" s="975" t="n"/>
      <c r="H283" s="998" t="n"/>
      <c r="I283" s="998" t="n"/>
      <c r="J283" s="975" t="n"/>
      <c r="K283" s="1189">
        <f>K278=L283</f>
        <v/>
      </c>
      <c r="L283" s="491">
        <f>SUM(L278:L282)</f>
        <v/>
      </c>
      <c r="M283" s="1190" t="inlineStr">
        <is>
          <t xml:space="preserve">“Verdadero” indica que la cantidad por lote, coincide con el saldo que inicia al mes siguiente. "Falso" no coinicide. </t>
        </is>
      </c>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496">
        <f>JULIO!K284</f>
        <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73"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73"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73"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73"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75" t="n"/>
      <c r="E289" s="998" t="n"/>
      <c r="F289" s="998" t="n"/>
      <c r="G289" s="975" t="n"/>
      <c r="H289" s="998" t="n"/>
      <c r="I289" s="998" t="n"/>
      <c r="J289" s="975" t="n"/>
      <c r="K289" s="1189">
        <f>K284=L289</f>
        <v/>
      </c>
      <c r="L289" s="491">
        <f>SUM(L284:L288)</f>
        <v/>
      </c>
      <c r="M289" s="1190" t="inlineStr">
        <is>
          <t xml:space="preserve">“Verdadero” indica que la cantidad por lote, coincide con el saldo que inicia al mes siguiente. "Falso" no coinicide. </t>
        </is>
      </c>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496">
        <f>JULIO!K290</f>
        <v/>
      </c>
      <c r="E290" s="731" t="n"/>
      <c r="F290" s="731" t="n"/>
      <c r="G290" s="730">
        <f>E290+F290</f>
        <v/>
      </c>
      <c r="H290" s="731" t="n"/>
      <c r="I290" s="731" t="n"/>
      <c r="J290" s="732">
        <f>AM290</f>
        <v/>
      </c>
      <c r="K290" s="738">
        <f>+(D290+G290)-(H290+I290+J290)</f>
        <v/>
      </c>
      <c r="L290" s="253" t="n"/>
      <c r="M290" s="254" t="n"/>
      <c r="N290" s="254" t="n"/>
      <c r="O290" s="1183" t="n"/>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73" t="n"/>
      <c r="E291" s="994" t="n"/>
      <c r="F291" s="994" t="n"/>
      <c r="G291" s="973" t="n"/>
      <c r="H291" s="994" t="n"/>
      <c r="I291" s="994" t="n"/>
      <c r="J291" s="973" t="n"/>
      <c r="K291" s="973" t="n"/>
      <c r="L291" s="253" t="n"/>
      <c r="M291" s="254" t="n"/>
      <c r="N291" s="254" t="n"/>
      <c r="O291" s="1183" t="n"/>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73"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73"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73"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75" t="n"/>
      <c r="E295" s="998" t="n"/>
      <c r="F295" s="998" t="n"/>
      <c r="G295" s="975" t="n"/>
      <c r="H295" s="998" t="n"/>
      <c r="I295" s="998" t="n"/>
      <c r="J295" s="975" t="n"/>
      <c r="K295" s="1189">
        <f>K290=L295</f>
        <v/>
      </c>
      <c r="L295" s="491">
        <f>SUM(L290:L294)</f>
        <v/>
      </c>
      <c r="M295" s="1190" t="inlineStr">
        <is>
          <t xml:space="preserve">“Verdadero” indica que la cantidad por lote, coincide con el saldo que inicia al mes siguiente. "Falso" no coinicide. </t>
        </is>
      </c>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496">
        <f>JULIO!K296</f>
        <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73"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73"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73"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73"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75" t="n"/>
      <c r="E301" s="998" t="n"/>
      <c r="F301" s="998" t="n"/>
      <c r="G301" s="975" t="n"/>
      <c r="H301" s="998" t="n"/>
      <c r="I301" s="998" t="n"/>
      <c r="J301" s="975" t="n"/>
      <c r="K301" s="1189">
        <f>K296=L301</f>
        <v/>
      </c>
      <c r="L301" s="491">
        <f>SUM(L296:L300)</f>
        <v/>
      </c>
      <c r="M301" s="1190" t="inlineStr">
        <is>
          <t xml:space="preserve">“Verdadero” indica que la cantidad por lote, coincide con el saldo que inicia al mes siguiente. "Falso" no coinicide. </t>
        </is>
      </c>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647" t="inlineStr">
        <is>
          <t>JERINGAS</t>
        </is>
      </c>
      <c r="C302" s="967" t="n"/>
      <c r="D302" s="1257"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496">
        <f>JULIO!K303</f>
        <v/>
      </c>
      <c r="E303" s="731" t="n"/>
      <c r="F303" s="731" t="n"/>
      <c r="G303" s="730">
        <f>E303+F303</f>
        <v/>
      </c>
      <c r="H303" s="731" t="n"/>
      <c r="I303" s="731" t="n"/>
      <c r="J303" s="732">
        <f>+AM303</f>
        <v/>
      </c>
      <c r="K303" s="706">
        <f>+(D303+G303)-(H303+I303+J303)</f>
        <v/>
      </c>
      <c r="L303" s="253" t="n"/>
      <c r="M303" s="254" t="n"/>
      <c r="N303" s="254" t="n"/>
      <c r="O303" s="1183" t="n"/>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73"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73" t="n"/>
      <c r="E305" s="994" t="n"/>
      <c r="F305" s="994" t="n"/>
      <c r="G305" s="973" t="n"/>
      <c r="H305" s="994" t="n"/>
      <c r="I305" s="994" t="n"/>
      <c r="J305" s="973" t="n"/>
      <c r="K305" s="973" t="n"/>
      <c r="L305" s="253" t="n"/>
      <c r="M305" s="254" t="n"/>
      <c r="N305" s="254" t="n"/>
      <c r="O305" s="1183" t="n"/>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73"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73"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73"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75" t="n"/>
      <c r="E309" s="998" t="n"/>
      <c r="F309" s="998" t="n"/>
      <c r="G309" s="975" t="n"/>
      <c r="H309" s="998" t="n"/>
      <c r="I309" s="998" t="n"/>
      <c r="J309" s="975" t="n"/>
      <c r="K309" s="1189">
        <f>K303=L309</f>
        <v/>
      </c>
      <c r="L309" s="491">
        <f>SUM(L303:L308)</f>
        <v/>
      </c>
      <c r="M309" s="1190" t="inlineStr">
        <is>
          <t xml:space="preserve">“Verdadero” indica que la cantidad por lote, coincide con el saldo que inicia al mes siguiente. "Falso" no coinicide. </t>
        </is>
      </c>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496">
        <f>JULIO!K310</f>
        <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73"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73"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73"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73"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73"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75" t="n"/>
      <c r="E316" s="998" t="n"/>
      <c r="F316" s="998" t="n"/>
      <c r="G316" s="975" t="n"/>
      <c r="H316" s="998" t="n"/>
      <c r="I316" s="998" t="n"/>
      <c r="J316" s="975" t="n"/>
      <c r="K316" s="1189">
        <f>K310=L316</f>
        <v/>
      </c>
      <c r="L316" s="491">
        <f>SUM(L310:L315)</f>
        <v/>
      </c>
      <c r="M316" s="1190" t="inlineStr">
        <is>
          <t xml:space="preserve">“Verdadero” indica que la cantidad por lote, coincide con el saldo que inicia al mes siguiente. "Falso" no coinicide. </t>
        </is>
      </c>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496">
        <f>JULIO!K317</f>
        <v/>
      </c>
      <c r="E317" s="731" t="n"/>
      <c r="F317" s="731" t="n"/>
      <c r="G317" s="730">
        <f>E317+F317</f>
        <v/>
      </c>
      <c r="H317" s="731" t="n"/>
      <c r="I317" s="731" t="n"/>
      <c r="J317" s="732">
        <f>+AM317</f>
        <v/>
      </c>
      <c r="K317" s="706">
        <f>+(D317+G317)-(H317+I317+J317)</f>
        <v/>
      </c>
      <c r="L317" s="253" t="n"/>
      <c r="M317" s="254" t="n"/>
      <c r="N317" s="254" t="n"/>
      <c r="O317" s="1183" t="n"/>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73" t="n"/>
      <c r="E318" s="994" t="n"/>
      <c r="F318" s="994" t="n"/>
      <c r="G318" s="973" t="n"/>
      <c r="H318" s="994" t="n"/>
      <c r="I318" s="994" t="n"/>
      <c r="J318" s="973" t="n"/>
      <c r="K318" s="973" t="n"/>
      <c r="L318" s="253" t="n"/>
      <c r="M318" s="254" t="n"/>
      <c r="N318" s="254" t="n"/>
      <c r="O318" s="1183" t="n"/>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73" t="n"/>
      <c r="E319" s="994" t="n"/>
      <c r="F319" s="994" t="n"/>
      <c r="G319" s="973" t="n"/>
      <c r="H319" s="994" t="n"/>
      <c r="I319" s="994" t="n"/>
      <c r="J319" s="973" t="n"/>
      <c r="K319" s="973" t="n"/>
      <c r="L319" s="253" t="n"/>
      <c r="M319" s="254" t="n"/>
      <c r="N319" s="254" t="n"/>
      <c r="O319" s="1183" t="n"/>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73"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73"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73"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75" t="n"/>
      <c r="E323" s="998" t="n"/>
      <c r="F323" s="998" t="n"/>
      <c r="G323" s="975" t="n"/>
      <c r="H323" s="998" t="n"/>
      <c r="I323" s="998" t="n"/>
      <c r="J323" s="975" t="n"/>
      <c r="K323" s="1189">
        <f>K317=L323</f>
        <v/>
      </c>
      <c r="L323" s="491">
        <f>SUM(L317:L322)</f>
        <v/>
      </c>
      <c r="M323" s="1190" t="inlineStr">
        <is>
          <t xml:space="preserve">“Verdadero” indica que la cantidad por lote, coincide con el saldo que inicia al mes siguiente. "Falso" no coinicide. </t>
        </is>
      </c>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496">
        <f>JULIO!K324</f>
        <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73"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73"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73"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73"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73"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75"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496">
        <f>JULIO!K331</f>
        <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73"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73"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73"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73"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73"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75" t="n"/>
      <c r="E337" s="998" t="n"/>
      <c r="F337" s="998" t="n"/>
      <c r="G337" s="975" t="n"/>
      <c r="H337" s="998" t="n"/>
      <c r="I337" s="998" t="n"/>
      <c r="J337" s="975" t="n"/>
      <c r="K337" s="1189">
        <f>K331=L337</f>
        <v/>
      </c>
      <c r="L337" s="491">
        <f>SUM(L331:L336)</f>
        <v/>
      </c>
      <c r="M337" s="1190" t="inlineStr">
        <is>
          <t xml:space="preserve">“Verdadero” indica que la cantidad por lote, coincide con el saldo que inicia al mes siguiente. "Falso" no coinicide. </t>
        </is>
      </c>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496">
        <f>JULIO!K338</f>
        <v/>
      </c>
      <c r="E338" s="731" t="n"/>
      <c r="F338" s="731" t="n"/>
      <c r="G338" s="730">
        <f>E338+F338</f>
        <v/>
      </c>
      <c r="H338" s="731" t="n"/>
      <c r="I338" s="731" t="n"/>
      <c r="J338" s="732">
        <f>+AM338</f>
        <v/>
      </c>
      <c r="K338" s="706">
        <f>+(D338+G338)-(H338+I338+J338)</f>
        <v/>
      </c>
      <c r="L338" s="253" t="n"/>
      <c r="M338" s="254" t="n"/>
      <c r="N338" s="254" t="n"/>
      <c r="O338" s="1183" t="n"/>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73" t="n"/>
      <c r="E339" s="994" t="n"/>
      <c r="F339" s="994" t="n"/>
      <c r="G339" s="973" t="n"/>
      <c r="H339" s="994" t="n"/>
      <c r="I339" s="994" t="n"/>
      <c r="J339" s="973" t="n"/>
      <c r="K339" s="973" t="n"/>
      <c r="L339" s="253" t="n"/>
      <c r="M339" s="254" t="n"/>
      <c r="N339" s="254" t="n"/>
      <c r="O339" s="1183" t="n"/>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73" t="n"/>
      <c r="E340" s="994" t="n"/>
      <c r="F340" s="994" t="n"/>
      <c r="G340" s="973" t="n"/>
      <c r="H340" s="994" t="n"/>
      <c r="I340" s="994" t="n"/>
      <c r="J340" s="973" t="n"/>
      <c r="K340" s="973" t="n"/>
      <c r="L340" s="253" t="n"/>
      <c r="M340" s="254" t="n"/>
      <c r="N340" s="254" t="n"/>
      <c r="O340" s="1183" t="n"/>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73"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73"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73"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75" t="n"/>
      <c r="E344" s="998" t="n"/>
      <c r="F344" s="998" t="n"/>
      <c r="G344" s="975" t="n"/>
      <c r="H344" s="998" t="n"/>
      <c r="I344" s="998" t="n"/>
      <c r="J344" s="975" t="n"/>
      <c r="K344" s="1189">
        <f>K338=L344</f>
        <v/>
      </c>
      <c r="L344" s="491">
        <f>SUM(L338:L343)</f>
        <v/>
      </c>
      <c r="M344" s="1190" t="inlineStr">
        <is>
          <t xml:space="preserve">“Verdadero” indica que la cantidad por lote, coincide con el saldo que inicia al mes siguiente. "Falso" no coinicide. </t>
        </is>
      </c>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496">
        <f>JULIO!K345</f>
        <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73"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73"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73"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73"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73"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75" t="n"/>
      <c r="E351" s="998" t="n"/>
      <c r="F351" s="998" t="n"/>
      <c r="G351" s="975" t="n"/>
      <c r="H351" s="998" t="n"/>
      <c r="I351" s="998" t="n"/>
      <c r="J351" s="975" t="n"/>
      <c r="K351" s="1189">
        <f>K345=L351</f>
        <v/>
      </c>
      <c r="L351" s="491">
        <f>SUM(L345:L350)</f>
        <v/>
      </c>
      <c r="M351" s="1190" t="inlineStr">
        <is>
          <t xml:space="preserve">“Verdadero” indica que la cantidad por lote, coincide con el saldo que inicia al mes siguiente. "Falso" no coinicide. </t>
        </is>
      </c>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496">
        <f>JULIO!K352</f>
        <v/>
      </c>
      <c r="E352" s="731" t="n"/>
      <c r="F352" s="731" t="n"/>
      <c r="G352" s="730">
        <f>E352+F352</f>
        <v/>
      </c>
      <c r="H352" s="731" t="n"/>
      <c r="I352" s="731" t="n"/>
      <c r="J352" s="732">
        <f>AM352</f>
        <v/>
      </c>
      <c r="K352" s="706">
        <f>+(D352+G352)-(H352+I352+J352)</f>
        <v/>
      </c>
      <c r="L352" s="253" t="n"/>
      <c r="M352" s="254" t="n"/>
      <c r="N352" s="254" t="n"/>
      <c r="O352" s="1183" t="n"/>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73" t="n"/>
      <c r="E353" s="994" t="n"/>
      <c r="F353" s="994" t="n"/>
      <c r="G353" s="973" t="n"/>
      <c r="H353" s="994" t="n"/>
      <c r="I353" s="994" t="n"/>
      <c r="J353" s="973" t="n"/>
      <c r="K353" s="973" t="n"/>
      <c r="L353" s="253" t="n"/>
      <c r="M353" s="254" t="n"/>
      <c r="N353" s="254" t="n"/>
      <c r="O353" s="1183" t="n"/>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73" t="n"/>
      <c r="E354" s="994" t="n"/>
      <c r="F354" s="994" t="n"/>
      <c r="G354" s="973" t="n"/>
      <c r="H354" s="994" t="n"/>
      <c r="I354" s="994" t="n"/>
      <c r="J354" s="973" t="n"/>
      <c r="K354" s="973" t="n"/>
      <c r="L354" s="253" t="n"/>
      <c r="M354" s="254" t="n"/>
      <c r="N354" s="254" t="n"/>
      <c r="O354" s="1183" t="n"/>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73"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73"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73"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75" t="n"/>
      <c r="E358" s="998" t="n"/>
      <c r="F358" s="998" t="n"/>
      <c r="G358" s="975" t="n"/>
      <c r="H358" s="998" t="n"/>
      <c r="I358" s="998" t="n"/>
      <c r="J358" s="975" t="n"/>
      <c r="K358" s="1189">
        <f>K352=L358</f>
        <v/>
      </c>
      <c r="L358" s="491">
        <f>SUM(L352:L357)</f>
        <v/>
      </c>
      <c r="M358" s="1190" t="inlineStr">
        <is>
          <t xml:space="preserve">“Verdadero” indica que la cantidad por lote, coincide con el saldo que inicia al mes siguiente. "Falso" no coinicide. </t>
        </is>
      </c>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496">
        <f>JULIO!K359</f>
        <v/>
      </c>
      <c r="E359" s="731" t="n"/>
      <c r="F359" s="731" t="n"/>
      <c r="G359" s="730">
        <f>E359+F359</f>
        <v/>
      </c>
      <c r="H359" s="731" t="n"/>
      <c r="I359" s="731" t="n"/>
      <c r="J359" s="732">
        <f>AM359</f>
        <v/>
      </c>
      <c r="K359" s="706">
        <f>+(D359+G359)-(H359+I359+J359)</f>
        <v/>
      </c>
      <c r="L359" s="253" t="n"/>
      <c r="M359" s="254" t="n"/>
      <c r="N359" s="254" t="n"/>
      <c r="O359" s="1183" t="n"/>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73" t="n"/>
      <c r="E360" s="994" t="n"/>
      <c r="F360" s="994" t="n"/>
      <c r="G360" s="973" t="n"/>
      <c r="H360" s="994" t="n"/>
      <c r="I360" s="994" t="n"/>
      <c r="J360" s="973" t="n"/>
      <c r="K360" s="973" t="n"/>
      <c r="L360" s="253" t="n"/>
      <c r="M360" s="254" t="n"/>
      <c r="N360" s="254" t="n"/>
      <c r="O360" s="1183" t="n"/>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73" t="n"/>
      <c r="E361" s="994" t="n"/>
      <c r="F361" s="994" t="n"/>
      <c r="G361" s="973" t="n"/>
      <c r="H361" s="994" t="n"/>
      <c r="I361" s="994" t="n"/>
      <c r="J361" s="973" t="n"/>
      <c r="K361" s="973" t="n"/>
      <c r="L361" s="253" t="n"/>
      <c r="M361" s="254" t="n"/>
      <c r="N361" s="254" t="n"/>
      <c r="O361" s="1183" t="n"/>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73" t="n"/>
      <c r="E362" s="994" t="n"/>
      <c r="F362" s="994" t="n"/>
      <c r="G362" s="973" t="n"/>
      <c r="H362" s="994" t="n"/>
      <c r="I362" s="994" t="n"/>
      <c r="J362" s="973" t="n"/>
      <c r="K362" s="973" t="n"/>
      <c r="L362" s="253" t="n"/>
      <c r="M362" s="254" t="n"/>
      <c r="N362" s="254" t="n"/>
      <c r="O362" s="1183" t="n"/>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73"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73"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75" t="n"/>
      <c r="E365" s="998" t="n"/>
      <c r="F365" s="998" t="n"/>
      <c r="G365" s="975" t="n"/>
      <c r="H365" s="998" t="n"/>
      <c r="I365" s="998" t="n"/>
      <c r="J365" s="975" t="n"/>
      <c r="K365" s="1189">
        <f>K359=L365</f>
        <v/>
      </c>
      <c r="L365" s="491">
        <f>SUM(L359:L364)</f>
        <v/>
      </c>
      <c r="M365" s="1190" t="inlineStr">
        <is>
          <t xml:space="preserve">“Verdadero” indica que la cantidad por lote, coincide con el saldo que inicia al mes siguiente. "Falso" no coinicide. </t>
        </is>
      </c>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496">
        <f>JULIO!K366</f>
        <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73"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73"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73"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73"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73"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75"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496">
        <f>JULIO!K373</f>
        <v/>
      </c>
      <c r="E373" s="731" t="n"/>
      <c r="F373" s="731" t="n"/>
      <c r="G373" s="730">
        <f>E373+F373</f>
        <v/>
      </c>
      <c r="H373" s="731" t="n"/>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496">
        <f>JULIO!K374</f>
        <v/>
      </c>
      <c r="E374" s="731" t="n"/>
      <c r="F374" s="731" t="n"/>
      <c r="G374" s="730">
        <f>E374+F374</f>
        <v/>
      </c>
      <c r="H374" s="731" t="n"/>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496">
        <f>JULIO!K375</f>
        <v/>
      </c>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496">
        <f>JULIO!K376</f>
        <v/>
      </c>
      <c r="E376" s="731" t="n"/>
      <c r="F376" s="731" t="n"/>
      <c r="G376" s="730">
        <f>E376+F376</f>
        <v/>
      </c>
      <c r="H376" s="731" t="n"/>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496">
        <f>JULIO!K377</f>
        <v/>
      </c>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496">
        <f>JULIO!K378</f>
        <v/>
      </c>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496">
        <f>JULIO!K379</f>
        <v/>
      </c>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623" t="inlineStr">
        <is>
          <t>ÍTEM</t>
        </is>
      </c>
      <c r="B381" s="719" t="inlineStr">
        <is>
          <t>VACUNA COVID-19</t>
        </is>
      </c>
      <c r="C381" s="965" t="n"/>
      <c r="D381" s="716" t="inlineStr">
        <is>
          <t>SALDO MES ANTERIOR</t>
        </is>
      </c>
      <c r="E381" s="1179" t="inlineStr">
        <is>
          <t>ENTRADA</t>
        </is>
      </c>
      <c r="F381" s="1180" t="n"/>
      <c r="G381" s="965" t="n"/>
      <c r="H381" s="715" t="inlineStr">
        <is>
          <t>SALIDAS</t>
        </is>
      </c>
      <c r="I381" s="968" t="n"/>
      <c r="J381" s="967" t="n"/>
      <c r="K381" s="623" t="inlineStr">
        <is>
          <t>SALDO QUE INICIA EL MES SIGUIENTE</t>
        </is>
      </c>
      <c r="L381" s="623" t="inlineStr">
        <is>
          <t>DOSIS POR LOTES</t>
        </is>
      </c>
      <c r="M381" s="623" t="inlineStr">
        <is>
          <t xml:space="preserve">No. LOTE </t>
        </is>
      </c>
      <c r="N381" s="623" t="inlineStr">
        <is>
          <t>LABORATORIO</t>
        </is>
      </c>
      <c r="O381" s="623" t="inlineStr">
        <is>
          <t>FECHA DE VENCIMIENTO</t>
        </is>
      </c>
      <c r="P381" s="623" t="inlineStr">
        <is>
          <t>SEMAFORIZACION VIDA  ÚTIL DEL BIOLÓGICO</t>
        </is>
      </c>
      <c r="Q381" s="623" t="inlineStr">
        <is>
          <t>CONDICIÓN FINAL DEL BIOLÓGICO, DILUYENTE Y CARNET</t>
        </is>
      </c>
      <c r="R381" s="613" t="inlineStr">
        <is>
          <t>DOSIS EN CUARENTENA</t>
        </is>
      </c>
      <c r="S381" s="613" t="inlineStr">
        <is>
          <t>LABORATORIO</t>
        </is>
      </c>
      <c r="T381" s="613" t="inlineStr">
        <is>
          <t>No. LOTE</t>
        </is>
      </c>
      <c r="U381" s="613" t="inlineStr">
        <is>
          <t>FECHA DE VENCIMEINTO</t>
        </is>
      </c>
      <c r="V381" s="613" t="inlineStr">
        <is>
          <t>FECHA DE INICIO CUARENTENA</t>
        </is>
      </c>
      <c r="W381" s="613" t="inlineStr">
        <is>
          <t>OBSERVACIONES</t>
        </is>
      </c>
      <c r="X381" s="250" t="n"/>
      <c r="Z381" s="1221" t="inlineStr">
        <is>
          <t>MOTIVOS DE NO USO DE VACUNAS CONTRA LA COVID-19
RESOLUCIÓN 0118 DEL 27 DE ENERO DE 2026
DISPONIBLE EN EL SIGUIENTE LINK: https://www.minsalud.gov.co/Normatividad_Nuevo/Resolucion%20No%20118%20de%202026.pdf</t>
        </is>
      </c>
      <c r="AA381" s="968" t="n"/>
      <c r="AB381" s="968" t="n"/>
      <c r="AC381" s="968" t="n"/>
      <c r="AD381" s="968" t="n"/>
      <c r="AE381" s="968" t="n"/>
      <c r="AF381" s="968" t="n"/>
      <c r="AG381" s="968" t="n"/>
      <c r="AH381" s="968" t="n"/>
      <c r="AI381" s="968" t="n"/>
      <c r="AJ381" s="968" t="n"/>
      <c r="AK381" s="968" t="n"/>
      <c r="AL381" s="967" t="n"/>
      <c r="AM381" s="532" t="inlineStr">
        <is>
          <t xml:space="preserve">TOTAL DOSIS PERDIDAS        </t>
        </is>
      </c>
      <c r="AN381" s="478" t="n"/>
      <c r="AO381" s="368" t="n"/>
      <c r="AU381" s="251" t="n"/>
      <c r="AV381" s="251" t="n"/>
    </row>
    <row r="382" ht="28.5" customHeight="1">
      <c r="A382" s="973" t="n"/>
      <c r="B382" s="971" t="n"/>
      <c r="C382" s="972" t="n"/>
      <c r="D382" s="973" t="n"/>
      <c r="E382" s="623" t="inlineStr">
        <is>
          <t>DOSIS RECIBIDAS DEL ALMACÉN CENTRAL DEL MSPS</t>
        </is>
      </c>
      <c r="F382" s="623" t="inlineStr">
        <is>
          <t>DOSIS RECIBIDAS X TRASLADO DEL CA DEPARTAMENTAL O DISTRITAL</t>
        </is>
      </c>
      <c r="G382" s="623" t="inlineStr">
        <is>
          <t>TOTAL ENTRADAS</t>
        </is>
      </c>
      <c r="H382" s="711" t="inlineStr">
        <is>
          <t>DOSIS DESPACHADAS A LOS MUNICIPIOS / DISTRITOS A IPS</t>
        </is>
      </c>
      <c r="I382" s="711" t="inlineStr">
        <is>
          <t>DOSIS TRASLADADAS A OTROS DEPARTAMENTOS O DISTRITOS</t>
        </is>
      </c>
      <c r="J382" s="716" t="inlineStr">
        <is>
          <t>DOSIS PERDIDAS</t>
        </is>
      </c>
      <c r="K382" s="973" t="n"/>
      <c r="L382" s="973" t="n"/>
      <c r="M382" s="973" t="n"/>
      <c r="N382" s="973" t="n"/>
      <c r="O382" s="973" t="n"/>
      <c r="P382" s="973" t="n"/>
      <c r="Q382" s="973" t="n"/>
      <c r="R382" s="973" t="n"/>
      <c r="S382" s="973" t="n"/>
      <c r="T382" s="973" t="n"/>
      <c r="U382" s="973" t="n"/>
      <c r="V382" s="973" t="n"/>
      <c r="W382" s="973" t="n"/>
      <c r="X382" s="250" t="n"/>
      <c r="Y382" s="252" t="n"/>
      <c r="Z382" s="533" t="n">
        <v>1</v>
      </c>
      <c r="AA382" s="967" t="n"/>
      <c r="AB382" s="533" t="n">
        <v>2</v>
      </c>
      <c r="AC382" s="533" t="n">
        <v>3</v>
      </c>
      <c r="AD382" s="533" t="n">
        <v>4</v>
      </c>
      <c r="AE382" s="533" t="n">
        <v>5</v>
      </c>
      <c r="AF382" s="533" t="n">
        <v>6</v>
      </c>
      <c r="AG382" s="533" t="n">
        <v>7</v>
      </c>
      <c r="AH382" s="533" t="n">
        <v>8</v>
      </c>
      <c r="AI382" s="533" t="n">
        <v>9</v>
      </c>
      <c r="AJ382" s="533" t="n">
        <v>10</v>
      </c>
      <c r="AK382" s="533" t="n">
        <v>11</v>
      </c>
      <c r="AL382" s="533" t="n">
        <v>12</v>
      </c>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inlineStr">
        <is>
          <t>POLÍTICA DE FRASCOS ABIERTO</t>
        </is>
      </c>
      <c r="AA383" s="967" t="n"/>
      <c r="AB383" s="1222" t="inlineStr">
        <is>
          <t>INTERRUPCIÓN DE LA CADENA DE FRÍO</t>
        </is>
      </c>
      <c r="AC383" s="537" t="inlineStr">
        <is>
          <t>CONTAMINACIÓN DEL BIOLÓGICO</t>
        </is>
      </c>
      <c r="AD383" s="1222" t="inlineStr">
        <is>
          <t>ERROR EN LA MANIPULACIÓN</t>
        </is>
      </c>
      <c r="AE383" s="537" t="inlineStr">
        <is>
          <t>ERROR EN LA RECONSTITUCIÓN/DILUCIÓN</t>
        </is>
      </c>
      <c r="AF383" s="1222" t="inlineStr">
        <is>
          <t>ERROR EN LA DOSIFICACIÓN</t>
        </is>
      </c>
      <c r="AG383" s="537" t="inlineStr">
        <is>
          <t>VACUNA QUE EXCEDE EL TIEMPO DE ALMACENAMIENTO EN REFRIGERACIÓN</t>
        </is>
      </c>
      <c r="AH383" s="1222" t="inlineStr">
        <is>
          <t>VENCIMIENTO DEL BIOLÓGICO</t>
        </is>
      </c>
      <c r="AI383" s="537" t="inlineStr">
        <is>
          <t>FRASCO VIAL ROTO</t>
        </is>
      </c>
      <c r="AJ383" s="1222" t="inlineStr">
        <is>
          <t>FALLAS DE FABRICACIÓN/CALIDAD</t>
        </is>
      </c>
      <c r="AK383" s="537" t="inlineStr">
        <is>
          <t>SINIESTRO / ACCIDENTE</t>
        </is>
      </c>
      <c r="AL383" s="1222" t="inlineStr">
        <is>
          <t>ROBO/HURTO BIOLÓGICO</t>
        </is>
      </c>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496">
        <f>JULIO!K385</f>
        <v/>
      </c>
      <c r="E385" s="731" t="n"/>
      <c r="F385" s="731" t="n"/>
      <c r="G385" s="730">
        <f>E385+F385</f>
        <v/>
      </c>
      <c r="H385" s="731" t="n"/>
      <c r="I385" s="731" t="n"/>
      <c r="J385" s="732">
        <f>AM385</f>
        <v/>
      </c>
      <c r="K385" s="706">
        <f>+(D385+G385)-(H385+I385+J385)</f>
        <v/>
      </c>
      <c r="L385" s="486" t="n"/>
      <c r="M385" s="487" t="n"/>
      <c r="N385" s="487" t="n"/>
      <c r="O385" s="1223" t="n"/>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73"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73"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73"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75" t="n"/>
      <c r="E389" s="998" t="n"/>
      <c r="F389" s="998" t="n"/>
      <c r="G389" s="975" t="n"/>
      <c r="H389" s="998" t="n"/>
      <c r="I389" s="998" t="n"/>
      <c r="J389" s="975" t="n"/>
      <c r="K389" s="1189">
        <f>K385=L389</f>
        <v/>
      </c>
      <c r="L389" s="491">
        <f>SUM(L385:L388)</f>
        <v/>
      </c>
      <c r="M389" s="1190" t="inlineStr">
        <is>
          <t xml:space="preserve">“Verdadero” indica que la cantidad por lote, coincide con el saldo que inicia al mes siguiente. "Falso" no coinicide. </t>
        </is>
      </c>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496">
        <f>JULIO!K390</f>
        <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73"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73"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73"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75" t="n"/>
      <c r="E394" s="998" t="n"/>
      <c r="F394" s="998" t="n"/>
      <c r="G394" s="975" t="n"/>
      <c r="H394" s="998" t="n"/>
      <c r="I394" s="998" t="n"/>
      <c r="J394" s="975" t="n"/>
      <c r="K394" s="1189">
        <f>K390=L394</f>
        <v/>
      </c>
      <c r="L394" s="491">
        <f>SUM(L390:L393)</f>
        <v/>
      </c>
      <c r="M394" s="1190" t="inlineStr">
        <is>
          <t xml:space="preserve">“Verdadero” indica que la cantidad por lote, coincide con el saldo que inicia al mes siguiente. "Falso" no coinicide. </t>
        </is>
      </c>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496">
        <f>JULIO!K395</f>
        <v/>
      </c>
      <c r="E395" s="731" t="n"/>
      <c r="F395" s="731" t="n"/>
      <c r="G395" s="730">
        <f>E395+F395</f>
        <v/>
      </c>
      <c r="H395" s="731" t="n"/>
      <c r="I395" s="731" t="n"/>
      <c r="J395" s="732">
        <f>AM395</f>
        <v/>
      </c>
      <c r="K395" s="706">
        <f>+(D395+G395)-(H395+I395+J395)</f>
        <v/>
      </c>
      <c r="L395" s="486" t="n"/>
      <c r="M395" s="487" t="n"/>
      <c r="N395" s="487" t="n"/>
      <c r="O395" s="1223" t="n"/>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73"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73"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73"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75" t="n"/>
      <c r="E399" s="998" t="n"/>
      <c r="F399" s="998" t="n"/>
      <c r="G399" s="975" t="n"/>
      <c r="H399" s="998" t="n"/>
      <c r="I399" s="998" t="n"/>
      <c r="J399" s="975" t="n"/>
      <c r="K399" s="1189">
        <f>K395=L399</f>
        <v/>
      </c>
      <c r="L399" s="491">
        <f>SUM(L395:L398)</f>
        <v/>
      </c>
      <c r="M399" s="1190" t="inlineStr">
        <is>
          <t xml:space="preserve">“Verdadero” indica que la cantidad por lote, coincide con el saldo que inicia al mes siguiente. "Falso" no coinicide. </t>
        </is>
      </c>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496">
        <f>JULIO!K400</f>
        <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73"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73"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73"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75" t="n"/>
      <c r="E404" s="998" t="n"/>
      <c r="F404" s="998" t="n"/>
      <c r="G404" s="975" t="n"/>
      <c r="H404" s="998" t="n"/>
      <c r="I404" s="998" t="n"/>
      <c r="J404" s="975" t="n"/>
      <c r="K404" s="1189">
        <f>K400=L404</f>
        <v/>
      </c>
      <c r="L404" s="491">
        <f>SUM(L400:L403)</f>
        <v/>
      </c>
      <c r="M404" s="1190" t="inlineStr">
        <is>
          <t xml:space="preserve">“Verdadero” indica que la cantidad por lote, coincide con el saldo que inicia al mes siguiente. "Falso" no coinicide. </t>
        </is>
      </c>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496">
        <f>JULIO!K405</f>
        <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73"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73"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73"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75" t="n"/>
      <c r="E409" s="998" t="n"/>
      <c r="F409" s="998" t="n"/>
      <c r="G409" s="975" t="n"/>
      <c r="H409" s="998" t="n"/>
      <c r="I409" s="998" t="n"/>
      <c r="J409" s="975" t="n"/>
      <c r="K409" s="1189">
        <f>K405=L409</f>
        <v/>
      </c>
      <c r="L409" s="491">
        <f>SUM(L405:L408)</f>
        <v/>
      </c>
      <c r="M409" s="1190" t="inlineStr">
        <is>
          <t xml:space="preserve">“Verdadero” indica que la cantidad por lote, coincide con el saldo que inicia al mes siguiente. "Falso" no coinicide. </t>
        </is>
      </c>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1268" t="inlineStr">
        <is>
          <t>ÍTEM</t>
        </is>
      </c>
      <c r="B413" s="1268" t="inlineStr">
        <is>
          <t>INSUMOS</t>
        </is>
      </c>
      <c r="C413" s="965" t="n"/>
      <c r="D413" s="1231" t="inlineStr">
        <is>
          <t>SALDO MES ANTERIOR</t>
        </is>
      </c>
      <c r="E413" s="961" t="inlineStr">
        <is>
          <t>BIOLÓGICO RECIBIDO DEL CENTRO DE ACOPIO DEPARTAMENTAL / DISTRITAL</t>
        </is>
      </c>
      <c r="F413" s="1231" t="inlineStr">
        <is>
          <t>DOSIS APLICADAS</t>
        </is>
      </c>
      <c r="G413" s="967" t="n"/>
      <c r="H413" s="1232" t="inlineStr">
        <is>
          <t>TOTAL DOSIS APLICADAS</t>
        </is>
      </c>
      <c r="I413" s="961" t="inlineStr">
        <is>
          <t>DOSIS PERDIDAS</t>
        </is>
      </c>
      <c r="J413" s="1231" t="inlineStr">
        <is>
          <t>TOTAL DOSIS ÚTILIZADAS EN EL MES</t>
        </is>
      </c>
      <c r="K413" s="623" t="inlineStr">
        <is>
          <t>SALDO QUE INICIA EL MES SIGUIENTE (SOLO MUNICIPIOS)</t>
        </is>
      </c>
      <c r="L413" s="623" t="inlineStr">
        <is>
          <t>DOSIS POR LOTES</t>
        </is>
      </c>
      <c r="M413" s="623" t="inlineStr">
        <is>
          <t xml:space="preserve">No. LOTE </t>
        </is>
      </c>
      <c r="N413" s="1233" t="inlineStr">
        <is>
          <t>LABORATORIO</t>
        </is>
      </c>
      <c r="O413" s="623" t="inlineStr">
        <is>
          <t>FECHA DE VENCIMIENTO</t>
        </is>
      </c>
      <c r="P413" s="623" t="inlineStr">
        <is>
          <t>SEMAFORIZACION VIDA  ÚTIL DEL BIOLÓGICO</t>
        </is>
      </c>
      <c r="Q413" s="623" t="inlineStr">
        <is>
          <t>CONDICIÓN FINAL DEL BIOLÓGICO, DILUYENTE Y CARNET</t>
        </is>
      </c>
      <c r="R413" s="613" t="inlineStr">
        <is>
          <t>DOSIS EN CUARENTENA</t>
        </is>
      </c>
      <c r="S413" s="613" t="inlineStr">
        <is>
          <t>LABORATORIO</t>
        </is>
      </c>
      <c r="T413" s="613" t="inlineStr">
        <is>
          <t>No. LOTE</t>
        </is>
      </c>
      <c r="U413" s="613" t="inlineStr">
        <is>
          <t>FECHA DE VENCIMEINTO</t>
        </is>
      </c>
      <c r="V413" s="613" t="inlineStr">
        <is>
          <t>FECHA DE INICIO CUARENTENA</t>
        </is>
      </c>
      <c r="W413" s="961" t="inlineStr">
        <is>
          <t>PORCENTAJE DE PERDIDA DEL MES</t>
        </is>
      </c>
      <c r="X413" s="961" t="inlineStr">
        <is>
          <t>OBSERVACIONES</t>
        </is>
      </c>
      <c r="Y413" s="232" t="n"/>
      <c r="Z413" s="400" t="inlineStr">
        <is>
          <t>CAUSAS PERDIDA DE BIOLÓGICOS (Remítase a la primera hoja donde se especifica la clasificación de las perdidas)</t>
        </is>
      </c>
      <c r="AA413" s="400" t="n"/>
      <c r="AB413" s="400" t="n"/>
      <c r="AC413" s="400" t="n"/>
      <c r="AD413" s="400" t="n"/>
      <c r="AE413" s="400" t="n"/>
      <c r="AF413" s="400" t="n"/>
      <c r="AG413" s="400" t="n"/>
      <c r="AH413" s="400" t="n"/>
      <c r="AI413" s="400" t="n"/>
      <c r="AJ413" s="400" t="n"/>
      <c r="AK413" s="400" t="n"/>
      <c r="AL413" s="400" t="n"/>
      <c r="AM413" s="1181" t="inlineStr">
        <is>
          <t xml:space="preserve">TOTAL DOSIS PERDIDAS        </t>
        </is>
      </c>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inlineStr">
        <is>
          <t>POLÍTICA DE FRASCOS ABIERTO</t>
        </is>
      </c>
      <c r="AA415" s="968" t="n"/>
      <c r="AB415" s="967" t="n"/>
      <c r="AC415" s="330" t="inlineStr">
        <is>
          <t>INTERRUPCIÓN DE CADENA DE FRÍO</t>
        </is>
      </c>
      <c r="AD415" s="566" t="inlineStr">
        <is>
          <t>CONTAMINACION DEL BIOLÓGICO/DISPOSITIVO MÉDICO</t>
        </is>
      </c>
      <c r="AE415" s="533" t="inlineStr">
        <is>
          <t>VIAL ROTO</t>
        </is>
      </c>
      <c r="AF415" s="566" t="inlineStr">
        <is>
          <t>ERRORES EN LA MANIPULACIÓN</t>
        </is>
      </c>
      <c r="AG415" s="533" t="inlineStr">
        <is>
          <t>VENCIMIENTO DEL BIOLÓGICO O JERINGA</t>
        </is>
      </c>
      <c r="AH415" s="566" t="inlineStr">
        <is>
          <t>FARMACOVIGILANCIA / TECNOVIGILANCIA</t>
        </is>
      </c>
      <c r="AI415" s="533" t="inlineStr">
        <is>
          <t>VOMITO FRANCO</t>
        </is>
      </c>
      <c r="AJ415" s="533" t="inlineStr">
        <is>
          <t>APLICACIÓN FUERA DE LA EDAD</t>
        </is>
      </c>
      <c r="AK415" s="533" t="inlineStr">
        <is>
          <t>POR DECISIÓN FINAL DEL PACIENTE DE NO VACUNACIÓN</t>
        </is>
      </c>
      <c r="AL415" s="566" t="inlineStr">
        <is>
          <t>SINIESTRO O ROBO</t>
        </is>
      </c>
      <c r="AM415" s="973" t="n"/>
      <c r="AN415" s="333" t="n"/>
      <c r="AQ415" s="332" t="n"/>
      <c r="AR415" s="332" t="n"/>
      <c r="AS415" s="332" t="n"/>
      <c r="AT415" s="332" t="n"/>
      <c r="AU415" s="332" t="n"/>
      <c r="AV415" s="566" t="inlineStr">
        <is>
          <t>Dosis reportadas Plantilla Cero</t>
        </is>
      </c>
      <c r="AW415" s="566" t="inlineStr">
        <is>
          <t>Diferencia dosis aplicadas vs dosis reportadas plantilla cero</t>
        </is>
      </c>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inlineStr">
        <is>
          <t>INSTITUCIONAL</t>
        </is>
      </c>
      <c r="AA416" s="533" t="inlineStr">
        <is>
          <t>EXTRAMURAL</t>
        </is>
      </c>
      <c r="AB416" s="533" t="inlineStr">
        <is>
          <t>TOTAL</t>
        </is>
      </c>
      <c r="AC416" s="975" t="n"/>
      <c r="AD416" s="975" t="n"/>
      <c r="AE416" s="975" t="n"/>
      <c r="AF416" s="975" t="n"/>
      <c r="AG416" s="975" t="n"/>
      <c r="AH416" s="975" t="n"/>
      <c r="AI416" s="975" t="n"/>
      <c r="AJ416" s="975" t="n"/>
      <c r="AK416" s="975" t="n"/>
      <c r="AL416" s="975" t="n"/>
      <c r="AM416" s="975" t="n"/>
      <c r="AN416" s="333" t="n"/>
      <c r="AQ416" s="546" t="inlineStr">
        <is>
          <t>PORCENTAJE DE PERDIDA DEL MES
%</t>
        </is>
      </c>
      <c r="AR416" s="546" t="inlineStr">
        <is>
          <t>FACTOR DE PERDIDA DEL MES</t>
        </is>
      </c>
      <c r="AS416" s="420" t="inlineStr">
        <is>
          <t>% DE PERDIDA DEL MSPS</t>
        </is>
      </c>
      <c r="AT416" s="420" t="inlineStr">
        <is>
          <t>DOSIS POR VIAL</t>
        </is>
      </c>
      <c r="AU416" s="332" t="n"/>
      <c r="AV416" s="975" t="n"/>
      <c r="AW416" s="975" t="n"/>
    </row>
    <row r="417" ht="17.25" customHeight="1">
      <c r="A417" s="585" t="n">
        <v>1</v>
      </c>
      <c r="B417" s="640" t="inlineStr">
        <is>
          <t>Vacuna de BCG (Bacilo de Calmette y Guérin) Liofilizada</t>
        </is>
      </c>
      <c r="C417" s="965" t="n"/>
      <c r="D417" s="413">
        <f>JULIO!K417</f>
        <v/>
      </c>
      <c r="E417" s="339">
        <f>H13</f>
        <v/>
      </c>
      <c r="F417" s="338" t="n">
        <v>5</v>
      </c>
      <c r="G417" s="338" t="n">
        <v>0</v>
      </c>
      <c r="H417" s="1235">
        <f>+F417+G417</f>
        <v/>
      </c>
      <c r="I417" s="340">
        <f>+AM417</f>
        <v/>
      </c>
      <c r="J417" s="341">
        <f>+H417+I417</f>
        <v/>
      </c>
      <c r="K417" s="583">
        <f>+(D417+E417)-(J417)</f>
        <v/>
      </c>
      <c r="L417" s="253" t="n">
        <v>90</v>
      </c>
      <c r="M417" s="254" t="inlineStr">
        <is>
          <t>0374MA082</t>
        </is>
      </c>
      <c r="N417" s="254" t="n"/>
      <c r="O417" s="1183" t="n">
        <v>46418</v>
      </c>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v>45</v>
      </c>
      <c r="AA417" s="648" t="n">
        <v>0</v>
      </c>
      <c r="AB417" s="649">
        <f>+Z417+AA417</f>
        <v/>
      </c>
      <c r="AC417" s="648" t="n">
        <v>0</v>
      </c>
      <c r="AD417" s="648" t="n">
        <v>0</v>
      </c>
      <c r="AE417" s="648" t="n">
        <v>0</v>
      </c>
      <c r="AF417" s="648" t="n">
        <v>0</v>
      </c>
      <c r="AG417" s="648" t="n">
        <v>0</v>
      </c>
      <c r="AH417" s="648" t="n">
        <v>0</v>
      </c>
      <c r="AI417" s="648" t="n">
        <v>0</v>
      </c>
      <c r="AJ417" s="648" t="n">
        <v>0</v>
      </c>
      <c r="AK417" s="648" t="n">
        <v>0</v>
      </c>
      <c r="AL417" s="648" t="n">
        <v>0</v>
      </c>
      <c r="AM417" s="421">
        <f>SUM(AB417:AL421)</f>
        <v/>
      </c>
      <c r="AN417" s="726" t="n"/>
      <c r="AQ417" s="1238">
        <f>IFERROR(I417/J417*100,"0")</f>
        <v/>
      </c>
      <c r="AR417" s="343">
        <f>IFERROR(1/(1-(AQ417/100)),"0")</f>
        <v/>
      </c>
      <c r="AS417" s="1239" t="n">
        <v>75</v>
      </c>
      <c r="AT417" s="345" t="n">
        <v>20</v>
      </c>
      <c r="AU417" s="1240" t="n"/>
      <c r="AV417" s="1241" t="n"/>
      <c r="AW417" s="1242">
        <f>+H417-AV417</f>
        <v/>
      </c>
    </row>
    <row r="418" ht="17.25" customHeight="1">
      <c r="A418" s="973" t="n"/>
      <c r="B418" s="971" t="n"/>
      <c r="C418" s="972" t="n"/>
      <c r="D418" s="973" t="n"/>
      <c r="E418" s="973" t="n"/>
      <c r="F418" s="994" t="n"/>
      <c r="G418" s="994" t="n"/>
      <c r="H418" s="973" t="n"/>
      <c r="I418" s="973" t="n"/>
      <c r="J418" s="973" t="n"/>
      <c r="K418" s="973" t="n"/>
      <c r="L418" s="253" t="n">
        <v>30</v>
      </c>
      <c r="M418" s="254" t="inlineStr">
        <is>
          <t>0374MA071</t>
        </is>
      </c>
      <c r="N418" s="254" t="n"/>
      <c r="O418" s="1183" t="n">
        <v>46934</v>
      </c>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73" t="n"/>
      <c r="E419" s="973" t="n"/>
      <c r="F419" s="994" t="n"/>
      <c r="G419" s="994" t="n"/>
      <c r="H419" s="973" t="n"/>
      <c r="I419" s="973" t="n"/>
      <c r="J419" s="973" t="n"/>
      <c r="K419" s="973" t="n"/>
      <c r="L419" s="253" t="n">
        <v>30</v>
      </c>
      <c r="M419" s="254" t="inlineStr">
        <is>
          <t>0374MA072</t>
        </is>
      </c>
      <c r="N419" s="254" t="n"/>
      <c r="O419" s="1183" t="n">
        <v>46387</v>
      </c>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73" t="n"/>
      <c r="E420" s="973" t="n"/>
      <c r="F420" s="994" t="n"/>
      <c r="G420" s="994" t="n"/>
      <c r="H420" s="973" t="n"/>
      <c r="I420" s="973" t="n"/>
      <c r="J420" s="973" t="n"/>
      <c r="K420" s="973" t="n"/>
      <c r="L420" s="253" t="n"/>
      <c r="M420" s="254" t="n"/>
      <c r="N420" s="254" t="n"/>
      <c r="O420" s="1183" t="n"/>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73"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75" t="n"/>
      <c r="E422" s="975" t="n"/>
      <c r="F422" s="998" t="n"/>
      <c r="G422" s="998" t="n"/>
      <c r="H422" s="975" t="n"/>
      <c r="I422" s="975" t="n"/>
      <c r="J422" s="975" t="n"/>
      <c r="K422" s="1189">
        <f>K417=L422</f>
        <v/>
      </c>
      <c r="L422" s="491">
        <f>SUM(L417:L421)</f>
        <v/>
      </c>
      <c r="M422" s="1190" t="inlineStr">
        <is>
          <t xml:space="preserve">“Verdadero” indica que la cantidad por lote, coincide con el saldo que inicia al mes siguiente. "Falso" no coinicide. </t>
        </is>
      </c>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413">
        <f>JULIO!K423</f>
        <v/>
      </c>
      <c r="E423" s="339">
        <f>H19</f>
        <v/>
      </c>
      <c r="F423" s="338" t="n"/>
      <c r="G423" s="338" t="n"/>
      <c r="H423" s="1235">
        <f>+F423+G423</f>
        <v/>
      </c>
      <c r="I423" s="340">
        <f>+AM423</f>
        <v/>
      </c>
      <c r="J423" s="341">
        <f>+H423+I423</f>
        <v/>
      </c>
      <c r="K423" s="583">
        <f>+(D423+E423)-(J423)</f>
        <v/>
      </c>
      <c r="L423" s="253" t="n"/>
      <c r="M423" s="254" t="n"/>
      <c r="N423" s="254" t="n"/>
      <c r="O423" s="1183" t="n"/>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c r="AA423" s="648" t="n"/>
      <c r="AB423" s="649">
        <f>+Z423+AA423</f>
        <v/>
      </c>
      <c r="AC423" s="648" t="n"/>
      <c r="AD423" s="648" t="n"/>
      <c r="AE423" s="648" t="n"/>
      <c r="AF423" s="648" t="n"/>
      <c r="AG423" s="648" t="n"/>
      <c r="AH423" s="648" t="n"/>
      <c r="AI423" s="648" t="n"/>
      <c r="AJ423" s="648" t="n"/>
      <c r="AK423" s="648" t="n"/>
      <c r="AL423" s="648" t="n"/>
      <c r="AM423" s="421">
        <f>SUM(AB423:AL427)</f>
        <v/>
      </c>
      <c r="AN423" s="726" t="n"/>
      <c r="AQ423" s="1238">
        <f>IFERROR(I423/J423*100,"0")</f>
        <v/>
      </c>
      <c r="AR423" s="343">
        <f>IFERROR(1/(1-(AQ423/100)),"0")</f>
        <v/>
      </c>
      <c r="AS423" s="1239" t="n">
        <v>0</v>
      </c>
      <c r="AT423" s="345" t="n">
        <v>1</v>
      </c>
      <c r="AU423" s="1240" t="n"/>
      <c r="AV423" s="1241" t="n"/>
      <c r="AW423" s="1242">
        <f>+H423-AV423</f>
        <v/>
      </c>
    </row>
    <row r="424" ht="17.25" customHeight="1">
      <c r="A424" s="973" t="n"/>
      <c r="B424" s="971" t="n"/>
      <c r="C424" s="972" t="n"/>
      <c r="D424" s="973" t="n"/>
      <c r="E424" s="973" t="n"/>
      <c r="F424" s="994" t="n"/>
      <c r="G424" s="994" t="n"/>
      <c r="H424" s="973" t="n"/>
      <c r="I424" s="973" t="n"/>
      <c r="J424" s="973" t="n"/>
      <c r="K424" s="973" t="n"/>
      <c r="L424" s="253" t="n"/>
      <c r="M424" s="254" t="n"/>
      <c r="N424" s="254" t="n"/>
      <c r="O424" s="1183" t="n"/>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73" t="n"/>
      <c r="E425" s="973" t="n"/>
      <c r="F425" s="994" t="n"/>
      <c r="G425" s="994" t="n"/>
      <c r="H425" s="973" t="n"/>
      <c r="I425" s="973" t="n"/>
      <c r="J425" s="973" t="n"/>
      <c r="K425" s="973" t="n"/>
      <c r="L425" s="253" t="n"/>
      <c r="M425" s="254" t="n"/>
      <c r="N425" s="254" t="n"/>
      <c r="O425" s="1183" t="n"/>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73" t="n"/>
      <c r="E426" s="973" t="n"/>
      <c r="F426" s="994" t="n"/>
      <c r="G426" s="994" t="n"/>
      <c r="H426" s="973" t="n"/>
      <c r="I426" s="973" t="n"/>
      <c r="J426" s="973" t="n"/>
      <c r="K426" s="973" t="n"/>
      <c r="L426" s="253" t="n"/>
      <c r="M426" s="254" t="n"/>
      <c r="N426" s="254" t="n"/>
      <c r="O426" s="1183" t="n"/>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73" t="n"/>
      <c r="E427" s="973" t="n"/>
      <c r="F427" s="994" t="n"/>
      <c r="G427" s="994" t="n"/>
      <c r="H427" s="973" t="n"/>
      <c r="I427" s="973" t="n"/>
      <c r="J427" s="973" t="n"/>
      <c r="K427" s="975" t="n"/>
      <c r="L427" s="253" t="n"/>
      <c r="M427" s="254" t="n"/>
      <c r="N427" s="254" t="n"/>
      <c r="O427" s="1183" t="n"/>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75" t="n"/>
      <c r="E428" s="975" t="n"/>
      <c r="F428" s="998" t="n"/>
      <c r="G428" s="998" t="n"/>
      <c r="H428" s="975" t="n"/>
      <c r="I428" s="975" t="n"/>
      <c r="J428" s="975" t="n"/>
      <c r="K428" s="1189">
        <f>K423=L428</f>
        <v/>
      </c>
      <c r="L428" s="491">
        <f>SUM(L423:L427)</f>
        <v/>
      </c>
      <c r="M428" s="1190" t="inlineStr">
        <is>
          <t xml:space="preserve">“Verdadero” indica que la cantidad por lote, coincide con el saldo que inicia al mes siguiente. "Falso" no coinicide. </t>
        </is>
      </c>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413">
        <f>JULIO!K429</f>
        <v/>
      </c>
      <c r="E429" s="339">
        <f>H25</f>
        <v/>
      </c>
      <c r="F429" s="338" t="n"/>
      <c r="G429" s="338" t="n"/>
      <c r="H429" s="1235">
        <f>+F429+G429</f>
        <v/>
      </c>
      <c r="I429" s="340">
        <f>+AM429</f>
        <v/>
      </c>
      <c r="J429" s="341">
        <f>+H429+I429</f>
        <v/>
      </c>
      <c r="K429" s="583">
        <f>+(D429+E429)-(J429)</f>
        <v/>
      </c>
      <c r="L429" s="253" t="n"/>
      <c r="M429" s="254" t="n"/>
      <c r="N429" s="254" t="n"/>
      <c r="O429" s="1183" t="n"/>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c r="AA429" s="648" t="n"/>
      <c r="AB429" s="649">
        <f>+Z429+AA429</f>
        <v/>
      </c>
      <c r="AC429" s="648" t="n"/>
      <c r="AD429" s="648" t="n"/>
      <c r="AE429" s="648" t="n"/>
      <c r="AF429" s="648" t="n"/>
      <c r="AG429" s="648" t="n"/>
      <c r="AH429" s="648" t="n"/>
      <c r="AI429" s="648" t="n"/>
      <c r="AJ429" s="648" t="n"/>
      <c r="AK429" s="648" t="n"/>
      <c r="AL429" s="648" t="n"/>
      <c r="AM429" s="421">
        <f>SUM(AB429:AL433)</f>
        <v/>
      </c>
      <c r="AN429" s="726" t="n"/>
      <c r="AQ429" s="1238">
        <f>IFERROR(I429/J429*100,"0")</f>
        <v/>
      </c>
      <c r="AR429" s="343">
        <f>IFERROR(1/(1-(AQ429/100)),"0")</f>
        <v/>
      </c>
      <c r="AS429" s="1239" t="n">
        <v>0</v>
      </c>
      <c r="AT429" s="345" t="n">
        <v>1</v>
      </c>
      <c r="AU429" s="1240" t="n"/>
      <c r="AV429" s="1241" t="n"/>
      <c r="AW429" s="1242">
        <f>+H429-AV429</f>
        <v/>
      </c>
    </row>
    <row r="430" ht="17.25" customHeight="1">
      <c r="A430" s="973" t="n"/>
      <c r="B430" s="971" t="n"/>
      <c r="C430" s="972" t="n"/>
      <c r="D430" s="973" t="n"/>
      <c r="E430" s="973" t="n"/>
      <c r="F430" s="994" t="n"/>
      <c r="G430" s="994" t="n"/>
      <c r="H430" s="973" t="n"/>
      <c r="I430" s="973" t="n"/>
      <c r="J430" s="973" t="n"/>
      <c r="K430" s="973" t="n"/>
      <c r="L430" s="253" t="n"/>
      <c r="M430" s="254" t="n"/>
      <c r="N430" s="254" t="n"/>
      <c r="O430" s="1183" t="n"/>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73" t="n"/>
      <c r="E431" s="973" t="n"/>
      <c r="F431" s="994" t="n"/>
      <c r="G431" s="994" t="n"/>
      <c r="H431" s="973" t="n"/>
      <c r="I431" s="973" t="n"/>
      <c r="J431" s="973" t="n"/>
      <c r="K431" s="973" t="n"/>
      <c r="L431" s="253" t="n"/>
      <c r="M431" s="254" t="n"/>
      <c r="N431" s="254" t="n"/>
      <c r="O431" s="1183" t="n"/>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73" t="n"/>
      <c r="E432" s="973" t="n"/>
      <c r="F432" s="994" t="n"/>
      <c r="G432" s="994" t="n"/>
      <c r="H432" s="973" t="n"/>
      <c r="I432" s="973" t="n"/>
      <c r="J432" s="973" t="n"/>
      <c r="K432" s="973" t="n"/>
      <c r="L432" s="253" t="n"/>
      <c r="M432" s="254" t="n"/>
      <c r="N432" s="254" t="n"/>
      <c r="O432" s="1183" t="n"/>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73"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75" t="n"/>
      <c r="E434" s="975" t="n"/>
      <c r="F434" s="998" t="n"/>
      <c r="G434" s="998" t="n"/>
      <c r="H434" s="975" t="n"/>
      <c r="I434" s="975" t="n"/>
      <c r="J434" s="975" t="n"/>
      <c r="K434" s="1189">
        <f>K429=L434</f>
        <v/>
      </c>
      <c r="L434" s="491">
        <f>SUM(L429:L433)</f>
        <v/>
      </c>
      <c r="M434" s="1190" t="inlineStr">
        <is>
          <t xml:space="preserve">“Verdadero” indica que la cantidad por lote, coincide con el saldo que inicia al mes siguiente. "Falso" no coinicide. </t>
        </is>
      </c>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413">
        <f>JULIO!K435</f>
        <v/>
      </c>
      <c r="E435" s="339">
        <f>H31</f>
        <v/>
      </c>
      <c r="F435" s="338" t="n"/>
      <c r="G435" s="338" t="n"/>
      <c r="H435" s="1235">
        <f>+F435+G435</f>
        <v/>
      </c>
      <c r="I435" s="340">
        <f>+AM435</f>
        <v/>
      </c>
      <c r="J435" s="341">
        <f>+H435+I435</f>
        <v/>
      </c>
      <c r="K435" s="583">
        <f>+(D435+E435)-(J435)</f>
        <v/>
      </c>
      <c r="L435" s="253" t="n"/>
      <c r="M435" s="254" t="n"/>
      <c r="N435" s="254" t="n"/>
      <c r="O435" s="1183" t="n"/>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c r="AA435" s="648" t="n"/>
      <c r="AB435" s="649">
        <f>+Z435+AA435</f>
        <v/>
      </c>
      <c r="AC435" s="648" t="n"/>
      <c r="AD435" s="648" t="n"/>
      <c r="AE435" s="648" t="n"/>
      <c r="AF435" s="648" t="n"/>
      <c r="AG435" s="648" t="n"/>
      <c r="AH435" s="648" t="n"/>
      <c r="AI435" s="648" t="n"/>
      <c r="AJ435" s="648" t="n"/>
      <c r="AK435" s="648" t="n"/>
      <c r="AL435" s="648" t="n"/>
      <c r="AM435" s="421">
        <f>SUM(AB435:AL439)</f>
        <v/>
      </c>
      <c r="AN435" s="726" t="n"/>
      <c r="AQ435" s="1238">
        <f>IFERROR(I435/J435*100,"0")</f>
        <v/>
      </c>
      <c r="AR435" s="343">
        <f>IFERROR(1/(1-(AQ435/100)),"0")</f>
        <v/>
      </c>
      <c r="AS435" s="1239" t="n">
        <v>15</v>
      </c>
      <c r="AT435" s="345" t="n">
        <v>5</v>
      </c>
      <c r="AU435" s="1240" t="n"/>
      <c r="AV435" s="1241" t="n"/>
      <c r="AW435" s="1242">
        <f>+H435-AV435</f>
        <v/>
      </c>
    </row>
    <row r="436" ht="17.25" customHeight="1">
      <c r="A436" s="973" t="n"/>
      <c r="B436" s="971" t="n"/>
      <c r="C436" s="972" t="n"/>
      <c r="D436" s="973" t="n"/>
      <c r="E436" s="973" t="n"/>
      <c r="F436" s="994" t="n"/>
      <c r="G436" s="994" t="n"/>
      <c r="H436" s="973" t="n"/>
      <c r="I436" s="973" t="n"/>
      <c r="J436" s="973" t="n"/>
      <c r="K436" s="973" t="n"/>
      <c r="L436" s="253" t="n"/>
      <c r="M436" s="254" t="n"/>
      <c r="N436" s="254" t="n"/>
      <c r="O436" s="1183" t="n"/>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73" t="n"/>
      <c r="E437" s="973" t="n"/>
      <c r="F437" s="994" t="n"/>
      <c r="G437" s="994" t="n"/>
      <c r="H437" s="973" t="n"/>
      <c r="I437" s="973" t="n"/>
      <c r="J437" s="973" t="n"/>
      <c r="K437" s="973" t="n"/>
      <c r="L437" s="253" t="n"/>
      <c r="M437" s="254" t="n"/>
      <c r="N437" s="254" t="n"/>
      <c r="O437" s="1183" t="n"/>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73" t="n"/>
      <c r="E438" s="973" t="n"/>
      <c r="F438" s="994" t="n"/>
      <c r="G438" s="994" t="n"/>
      <c r="H438" s="973" t="n"/>
      <c r="I438" s="973" t="n"/>
      <c r="J438" s="973" t="n"/>
      <c r="K438" s="973" t="n"/>
      <c r="L438" s="253" t="n"/>
      <c r="M438" s="254" t="n"/>
      <c r="N438" s="254" t="n"/>
      <c r="O438" s="1183" t="n"/>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73" t="n"/>
      <c r="E439" s="973" t="n"/>
      <c r="F439" s="994" t="n"/>
      <c r="G439" s="994" t="n"/>
      <c r="H439" s="973" t="n"/>
      <c r="I439" s="973" t="n"/>
      <c r="J439" s="973" t="n"/>
      <c r="K439" s="975" t="n"/>
      <c r="L439" s="253" t="n"/>
      <c r="M439" s="254" t="n"/>
      <c r="N439" s="254" t="n"/>
      <c r="O439" s="1183" t="n"/>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75" t="n"/>
      <c r="E440" s="975" t="n"/>
      <c r="F440" s="998" t="n"/>
      <c r="G440" s="998" t="n"/>
      <c r="H440" s="975" t="n"/>
      <c r="I440" s="975" t="n"/>
      <c r="J440" s="975" t="n"/>
      <c r="K440" s="1189">
        <f>K435=L440</f>
        <v/>
      </c>
      <c r="L440" s="491">
        <f>SUM(L435:L439)</f>
        <v/>
      </c>
      <c r="M440" s="1190" t="inlineStr">
        <is>
          <t xml:space="preserve">“Verdadero” indica que la cantidad por lote, coincide con el saldo que inicia al mes siguiente. "Falso" no coinicide. </t>
        </is>
      </c>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413">
        <f>JULIO!K441</f>
        <v/>
      </c>
      <c r="E441" s="339">
        <f>H37</f>
        <v/>
      </c>
      <c r="F441" s="338" t="n"/>
      <c r="G441" s="338" t="n"/>
      <c r="H441" s="1235">
        <f>+F441+G441</f>
        <v/>
      </c>
      <c r="I441" s="340">
        <f>+AM441</f>
        <v/>
      </c>
      <c r="J441" s="341">
        <f>+H441+I441</f>
        <v/>
      </c>
      <c r="K441" s="583">
        <f>+(D441+E441)-(J441)</f>
        <v/>
      </c>
      <c r="L441" s="253" t="n"/>
      <c r="M441" s="254" t="n"/>
      <c r="N441" s="254" t="n"/>
      <c r="O441" s="1183" t="n"/>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c r="AA441" s="648" t="n"/>
      <c r="AB441" s="649">
        <f>+Z441+AA441</f>
        <v/>
      </c>
      <c r="AC441" s="648" t="n"/>
      <c r="AD441" s="648" t="n"/>
      <c r="AE441" s="648" t="n"/>
      <c r="AF441" s="648" t="n"/>
      <c r="AG441" s="648" t="n"/>
      <c r="AH441" s="648" t="n"/>
      <c r="AI441" s="648" t="n"/>
      <c r="AJ441" s="648" t="n"/>
      <c r="AK441" s="648" t="n"/>
      <c r="AL441" s="648" t="n"/>
      <c r="AM441" s="421">
        <f>SUM(AB441:AL445)</f>
        <v/>
      </c>
      <c r="AN441" s="726" t="n"/>
      <c r="AQ441" s="1238">
        <f>IFERROR(I441/J441*100,"0")</f>
        <v/>
      </c>
      <c r="AR441" s="343">
        <f>IFERROR(1/(1-(AQ441/100)),"0")</f>
        <v/>
      </c>
      <c r="AS441" s="1239" t="n">
        <v>0</v>
      </c>
      <c r="AT441" s="345" t="n">
        <v>1</v>
      </c>
      <c r="AU441" s="1240" t="n"/>
      <c r="AV441" s="1241" t="n"/>
      <c r="AW441" s="1242">
        <f>+H441-AV441</f>
        <v/>
      </c>
    </row>
    <row r="442" ht="17.25" customHeight="1">
      <c r="A442" s="973" t="n"/>
      <c r="B442" s="971" t="n"/>
      <c r="C442" s="972" t="n"/>
      <c r="D442" s="973" t="n"/>
      <c r="E442" s="973" t="n"/>
      <c r="F442" s="994" t="n"/>
      <c r="G442" s="994" t="n"/>
      <c r="H442" s="973" t="n"/>
      <c r="I442" s="973" t="n"/>
      <c r="J442" s="973" t="n"/>
      <c r="K442" s="973" t="n"/>
      <c r="L442" s="253" t="n"/>
      <c r="M442" s="254" t="n"/>
      <c r="N442" s="254" t="n"/>
      <c r="O442" s="1183" t="n"/>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73" t="n"/>
      <c r="E443" s="973" t="n"/>
      <c r="F443" s="994" t="n"/>
      <c r="G443" s="994" t="n"/>
      <c r="H443" s="973" t="n"/>
      <c r="I443" s="973" t="n"/>
      <c r="J443" s="973" t="n"/>
      <c r="K443" s="973" t="n"/>
      <c r="L443" s="253" t="n"/>
      <c r="M443" s="254" t="n"/>
      <c r="N443" s="254" t="n"/>
      <c r="O443" s="1183" t="n"/>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73" t="n"/>
      <c r="E444" s="973" t="n"/>
      <c r="F444" s="994" t="n"/>
      <c r="G444" s="994" t="n"/>
      <c r="H444" s="973" t="n"/>
      <c r="I444" s="973" t="n"/>
      <c r="J444" s="973" t="n"/>
      <c r="K444" s="973" t="n"/>
      <c r="L444" s="253" t="n"/>
      <c r="M444" s="254" t="n"/>
      <c r="N444" s="254" t="n"/>
      <c r="O444" s="1183" t="n"/>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73"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75" t="n"/>
      <c r="E446" s="975" t="n"/>
      <c r="F446" s="998" t="n"/>
      <c r="G446" s="998" t="n"/>
      <c r="H446" s="975" t="n"/>
      <c r="I446" s="975" t="n"/>
      <c r="J446" s="975" t="n"/>
      <c r="K446" s="1189">
        <f>K441=L446</f>
        <v/>
      </c>
      <c r="L446" s="491">
        <f>SUM(L441:L445)</f>
        <v/>
      </c>
      <c r="M446" s="1190" t="inlineStr">
        <is>
          <t xml:space="preserve">“Verdadero” indica que la cantidad por lote, coincide con el saldo que inicia al mes siguiente. "Falso" no coinicide. </t>
        </is>
      </c>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413">
        <f>JULIO!K447</f>
        <v/>
      </c>
      <c r="E447" s="339">
        <f>H43</f>
        <v/>
      </c>
      <c r="F447" s="338" t="n"/>
      <c r="G447" s="338" t="n"/>
      <c r="H447" s="1235">
        <f>+F447+G447</f>
        <v/>
      </c>
      <c r="I447" s="340">
        <f>+AM447</f>
        <v/>
      </c>
      <c r="J447" s="341">
        <f>+H447+I447</f>
        <v/>
      </c>
      <c r="K447" s="583">
        <f>+(D447+E447)-(J447)</f>
        <v/>
      </c>
      <c r="L447" s="253" t="n"/>
      <c r="M447" s="254" t="n"/>
      <c r="N447" s="254" t="n"/>
      <c r="O447" s="1183" t="n"/>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c r="AA447" s="648" t="n"/>
      <c r="AB447" s="649">
        <f>+Z447+AA447</f>
        <v/>
      </c>
      <c r="AC447" s="648" t="n"/>
      <c r="AD447" s="648" t="n"/>
      <c r="AE447" s="648" t="n"/>
      <c r="AF447" s="648" t="n"/>
      <c r="AG447" s="648" t="n"/>
      <c r="AH447" s="648" t="n"/>
      <c r="AI447" s="648" t="n"/>
      <c r="AJ447" s="648" t="n"/>
      <c r="AK447" s="648" t="n"/>
      <c r="AL447" s="648" t="n"/>
      <c r="AM447" s="421">
        <f>SUM(AB447:AL451)</f>
        <v/>
      </c>
      <c r="AN447" s="726" t="n"/>
      <c r="AQ447" s="1238">
        <f>IFERROR(I447/J447*100,"0")</f>
        <v/>
      </c>
      <c r="AR447" s="343">
        <f>IFERROR(1/(1-(AQ447/100)),"0")</f>
        <v/>
      </c>
      <c r="AS447" s="1239" t="n">
        <v>0</v>
      </c>
      <c r="AT447" s="345" t="n">
        <v>1</v>
      </c>
      <c r="AU447" s="1240" t="n"/>
      <c r="AV447" s="1241" t="n"/>
      <c r="AW447" s="1242">
        <f>+H447-AV447</f>
        <v/>
      </c>
    </row>
    <row r="448" ht="17.25" customHeight="1">
      <c r="A448" s="973" t="n"/>
      <c r="B448" s="971" t="n"/>
      <c r="C448" s="972" t="n"/>
      <c r="D448" s="973" t="n"/>
      <c r="E448" s="973" t="n"/>
      <c r="F448" s="994" t="n"/>
      <c r="G448" s="994" t="n"/>
      <c r="H448" s="973" t="n"/>
      <c r="I448" s="973" t="n"/>
      <c r="J448" s="973" t="n"/>
      <c r="K448" s="973" t="n"/>
      <c r="L448" s="253" t="n"/>
      <c r="M448" s="254" t="n"/>
      <c r="N448" s="254" t="n"/>
      <c r="O448" s="1183" t="n"/>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73" t="n"/>
      <c r="E449" s="973" t="n"/>
      <c r="F449" s="994" t="n"/>
      <c r="G449" s="994" t="n"/>
      <c r="H449" s="973" t="n"/>
      <c r="I449" s="973" t="n"/>
      <c r="J449" s="973" t="n"/>
      <c r="K449" s="973" t="n"/>
      <c r="L449" s="253" t="n"/>
      <c r="M449" s="254" t="n"/>
      <c r="N449" s="254" t="n"/>
      <c r="O449" s="1183" t="n"/>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73" t="n"/>
      <c r="E450" s="973" t="n"/>
      <c r="F450" s="994" t="n"/>
      <c r="G450" s="994" t="n"/>
      <c r="H450" s="973" t="n"/>
      <c r="I450" s="973" t="n"/>
      <c r="J450" s="973" t="n"/>
      <c r="K450" s="973" t="n"/>
      <c r="L450" s="253" t="n"/>
      <c r="M450" s="254" t="n"/>
      <c r="N450" s="254" t="n"/>
      <c r="O450" s="1183" t="n"/>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73" t="n"/>
      <c r="E451" s="973" t="n"/>
      <c r="F451" s="994" t="n"/>
      <c r="G451" s="994" t="n"/>
      <c r="H451" s="973" t="n"/>
      <c r="I451" s="973" t="n"/>
      <c r="J451" s="973" t="n"/>
      <c r="K451" s="975" t="n"/>
      <c r="L451" s="253" t="n"/>
      <c r="M451" s="254" t="n"/>
      <c r="N451" s="254" t="n"/>
      <c r="O451" s="1183" t="n"/>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75" t="n"/>
      <c r="E452" s="975" t="n"/>
      <c r="F452" s="998" t="n"/>
      <c r="G452" s="998" t="n"/>
      <c r="H452" s="975" t="n"/>
      <c r="I452" s="975" t="n"/>
      <c r="J452" s="975" t="n"/>
      <c r="K452" s="1189">
        <f>K447=L452</f>
        <v/>
      </c>
      <c r="L452" s="491">
        <f>SUM(L447:L451)</f>
        <v/>
      </c>
      <c r="M452" s="1190" t="inlineStr">
        <is>
          <t xml:space="preserve">“Verdadero” indica que la cantidad por lote, coincide con el saldo que inicia al mes siguiente. "Falso" no coinicide. </t>
        </is>
      </c>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413">
        <f>JULIO!K453</f>
        <v/>
      </c>
      <c r="E453" s="339">
        <f>H49</f>
        <v/>
      </c>
      <c r="F453" s="338" t="n"/>
      <c r="G453" s="338" t="n"/>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c r="AA453" s="648" t="n"/>
      <c r="AB453" s="649">
        <f>+Z453+AA453</f>
        <v/>
      </c>
      <c r="AC453" s="648" t="n"/>
      <c r="AD453" s="648" t="n"/>
      <c r="AE453" s="648" t="n"/>
      <c r="AF453" s="648" t="n"/>
      <c r="AG453" s="648" t="n"/>
      <c r="AH453" s="648" t="n"/>
      <c r="AI453" s="648" t="n"/>
      <c r="AJ453" s="648" t="n"/>
      <c r="AK453" s="648" t="n"/>
      <c r="AL453" s="648" t="n"/>
      <c r="AM453" s="421">
        <f>SUM(AB453:AL457)</f>
        <v/>
      </c>
      <c r="AN453" s="726" t="n"/>
      <c r="AQ453" s="1238">
        <f>IFERROR(I453/J453*100,"0")</f>
        <v/>
      </c>
      <c r="AR453" s="343">
        <f>IFERROR(1/(1-(AQ453/100)),"0")</f>
        <v/>
      </c>
      <c r="AS453" s="1239" t="n">
        <v>0</v>
      </c>
      <c r="AT453" s="345" t="n">
        <v>1</v>
      </c>
      <c r="AU453" s="1240" t="n"/>
      <c r="AV453" s="1241" t="n"/>
      <c r="AW453" s="1242">
        <f>+H453-AV453</f>
        <v/>
      </c>
    </row>
    <row r="454" ht="17.25" customHeight="1">
      <c r="A454" s="973" t="n"/>
      <c r="B454" s="971" t="n"/>
      <c r="C454" s="972" t="n"/>
      <c r="D454" s="973"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73"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73"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73"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75" t="n"/>
      <c r="E458" s="975" t="n"/>
      <c r="F458" s="998" t="n"/>
      <c r="G458" s="998" t="n"/>
      <c r="H458" s="975" t="n"/>
      <c r="I458" s="975" t="n"/>
      <c r="J458" s="975" t="n"/>
      <c r="K458" s="1189">
        <f>K453=L458</f>
        <v/>
      </c>
      <c r="L458" s="491">
        <f>SUM(L453:L457)</f>
        <v/>
      </c>
      <c r="M458" s="1190" t="inlineStr">
        <is>
          <t xml:space="preserve">“Verdadero” indica que la cantidad por lote, coincide con el saldo que inicia al mes siguiente. "Falso" no coinicide. </t>
        </is>
      </c>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413">
        <f>JULIO!K459</f>
        <v/>
      </c>
      <c r="E459" s="339">
        <f>H55</f>
        <v/>
      </c>
      <c r="F459" s="338" t="n"/>
      <c r="G459" s="338" t="n"/>
      <c r="H459" s="1235">
        <f>+F459+G459</f>
        <v/>
      </c>
      <c r="I459" s="340">
        <f>+AM459</f>
        <v/>
      </c>
      <c r="J459" s="341">
        <f>+H459+I459</f>
        <v/>
      </c>
      <c r="K459" s="583">
        <f>+(D459+E459)-(J459)</f>
        <v/>
      </c>
      <c r="L459" s="253" t="n"/>
      <c r="M459" s="254" t="n"/>
      <c r="N459" s="254" t="n"/>
      <c r="O459" s="1183" t="n"/>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c r="AA459" s="648" t="n"/>
      <c r="AB459" s="649">
        <f>+Z459+AA459</f>
        <v/>
      </c>
      <c r="AC459" s="648" t="n"/>
      <c r="AD459" s="648" t="n"/>
      <c r="AE459" s="648" t="n"/>
      <c r="AF459" s="648" t="n"/>
      <c r="AG459" s="648" t="n"/>
      <c r="AH459" s="648" t="n"/>
      <c r="AI459" s="648" t="n"/>
      <c r="AJ459" s="648" t="n"/>
      <c r="AK459" s="648" t="n"/>
      <c r="AL459" s="648" t="n"/>
      <c r="AM459" s="421">
        <f>SUM(AB459:AL463)</f>
        <v/>
      </c>
      <c r="AN459" s="726" t="n"/>
      <c r="AQ459" s="1238">
        <f>IFERROR(I459/J459*100,"0")</f>
        <v/>
      </c>
      <c r="AR459" s="343">
        <f>IFERROR(1/(1-(AQ459/100)),"0")</f>
        <v/>
      </c>
      <c r="AS459" s="1239" t="n">
        <v>30</v>
      </c>
      <c r="AT459" s="345" t="n">
        <v>10</v>
      </c>
      <c r="AU459" s="1240" t="n"/>
      <c r="AV459" s="1241" t="n"/>
      <c r="AW459" s="1242">
        <f>+H459-AV459</f>
        <v/>
      </c>
    </row>
    <row r="460" ht="17.25" customHeight="1">
      <c r="A460" s="973" t="n"/>
      <c r="B460" s="971" t="n"/>
      <c r="C460" s="972" t="n"/>
      <c r="D460" s="973" t="n"/>
      <c r="E460" s="973" t="n"/>
      <c r="F460" s="994" t="n"/>
      <c r="G460" s="994" t="n"/>
      <c r="H460" s="973" t="n"/>
      <c r="I460" s="973" t="n"/>
      <c r="J460" s="973" t="n"/>
      <c r="K460" s="973" t="n"/>
      <c r="L460" s="253" t="n"/>
      <c r="M460" s="254" t="n"/>
      <c r="N460" s="254" t="n"/>
      <c r="O460" s="1183" t="n"/>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73"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73"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73"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75" t="n"/>
      <c r="E464" s="975" t="n"/>
      <c r="F464" s="998" t="n"/>
      <c r="G464" s="998" t="n"/>
      <c r="H464" s="975" t="n"/>
      <c r="I464" s="975" t="n"/>
      <c r="J464" s="975" t="n"/>
      <c r="K464" s="1189">
        <f>K459=L464</f>
        <v/>
      </c>
      <c r="L464" s="491">
        <f>SUM(L459:L463)</f>
        <v/>
      </c>
      <c r="M464" s="1190" t="inlineStr">
        <is>
          <t xml:space="preserve">“Verdadero” indica que la cantidad por lote, coincide con el saldo que inicia al mes siguiente. "Falso" no coinicide. </t>
        </is>
      </c>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413">
        <f>JULIO!K465</f>
        <v/>
      </c>
      <c r="E465" s="339">
        <f>H61</f>
        <v/>
      </c>
      <c r="F465" s="338" t="n"/>
      <c r="G465" s="338" t="n"/>
      <c r="H465" s="1235">
        <f>+F465+G465</f>
        <v/>
      </c>
      <c r="I465" s="340">
        <f>+AM465</f>
        <v/>
      </c>
      <c r="J465" s="341">
        <f>+H465+I465</f>
        <v/>
      </c>
      <c r="K465" s="583">
        <f>+(D465+E465)-(J465)</f>
        <v/>
      </c>
      <c r="L465" s="253" t="n"/>
      <c r="M465" s="254" t="n"/>
      <c r="N465" s="254" t="n"/>
      <c r="O465" s="1183" t="n"/>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c r="AA465" s="648" t="n"/>
      <c r="AB465" s="649">
        <f>+Z465+AA465</f>
        <v/>
      </c>
      <c r="AC465" s="648" t="n"/>
      <c r="AD465" s="648" t="n"/>
      <c r="AE465" s="648" t="n"/>
      <c r="AF465" s="648" t="n"/>
      <c r="AG465" s="648" t="n"/>
      <c r="AH465" s="648" t="n"/>
      <c r="AI465" s="648" t="n"/>
      <c r="AJ465" s="648" t="n"/>
      <c r="AK465" s="648" t="n"/>
      <c r="AL465" s="648" t="n"/>
      <c r="AM465" s="421">
        <f>SUM(AB465:AL469)</f>
        <v/>
      </c>
      <c r="AN465" s="726" t="n"/>
      <c r="AQ465" s="1238">
        <f>IFERROR(I465/J465*100,"0")</f>
        <v/>
      </c>
      <c r="AR465" s="343">
        <f>IFERROR(1/(1-(AQ465/100)),"0")</f>
        <v/>
      </c>
      <c r="AS465" s="1239" t="n">
        <v>0</v>
      </c>
      <c r="AT465" s="345" t="n">
        <v>1</v>
      </c>
      <c r="AU465" s="1240" t="n"/>
      <c r="AV465" s="1241" t="n"/>
      <c r="AW465" s="1242">
        <f>+H465-AV465</f>
        <v/>
      </c>
    </row>
    <row r="466" ht="17.25" customHeight="1">
      <c r="A466" s="973" t="n"/>
      <c r="B466" s="971" t="n"/>
      <c r="C466" s="972" t="n"/>
      <c r="D466" s="973" t="n"/>
      <c r="E466" s="973" t="n"/>
      <c r="F466" s="994" t="n"/>
      <c r="G466" s="994" t="n"/>
      <c r="H466" s="973" t="n"/>
      <c r="I466" s="973" t="n"/>
      <c r="J466" s="973" t="n"/>
      <c r="K466" s="973" t="n"/>
      <c r="L466" s="253" t="n"/>
      <c r="M466" s="254" t="n"/>
      <c r="N466" s="254" t="n"/>
      <c r="O466" s="1183" t="n"/>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73" t="n"/>
      <c r="E467" s="973" t="n"/>
      <c r="F467" s="994" t="n"/>
      <c r="G467" s="994" t="n"/>
      <c r="H467" s="973" t="n"/>
      <c r="I467" s="973" t="n"/>
      <c r="J467" s="973" t="n"/>
      <c r="K467" s="973" t="n"/>
      <c r="L467" s="253" t="n"/>
      <c r="M467" s="254" t="n"/>
      <c r="N467" s="254" t="n"/>
      <c r="O467" s="1183" t="n"/>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73" t="n"/>
      <c r="E468" s="973" t="n"/>
      <c r="F468" s="994" t="n"/>
      <c r="G468" s="994" t="n"/>
      <c r="H468" s="973" t="n"/>
      <c r="I468" s="973" t="n"/>
      <c r="J468" s="973" t="n"/>
      <c r="K468" s="973" t="n"/>
      <c r="L468" s="253" t="n"/>
      <c r="M468" s="254" t="n"/>
      <c r="N468" s="254" t="n"/>
      <c r="O468" s="1183" t="n"/>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73"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75" t="n"/>
      <c r="E470" s="975" t="n"/>
      <c r="F470" s="998" t="n"/>
      <c r="G470" s="998" t="n"/>
      <c r="H470" s="975" t="n"/>
      <c r="I470" s="975" t="n"/>
      <c r="J470" s="975" t="n"/>
      <c r="K470" s="1189">
        <f>K465=L470</f>
        <v/>
      </c>
      <c r="L470" s="491">
        <f>SUM(L465:L469)</f>
        <v/>
      </c>
      <c r="M470" s="1190" t="inlineStr">
        <is>
          <t xml:space="preserve">“Verdadero” indica que la cantidad por lote, coincide con el saldo que inicia al mes siguiente. "Falso" no coinicide. </t>
        </is>
      </c>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413">
        <f>JULIO!K471</f>
        <v/>
      </c>
      <c r="E471" s="339">
        <f>H67</f>
        <v/>
      </c>
      <c r="F471" s="338" t="n"/>
      <c r="G471" s="338" t="n"/>
      <c r="H471" s="1235">
        <f>+F471+G471</f>
        <v/>
      </c>
      <c r="I471" s="340">
        <f>+AM471</f>
        <v/>
      </c>
      <c r="J471" s="341">
        <f>+H471+I471</f>
        <v/>
      </c>
      <c r="K471" s="583">
        <f>+(D471+E471)-(J471)</f>
        <v/>
      </c>
      <c r="L471" s="253" t="n"/>
      <c r="M471" s="254" t="n"/>
      <c r="N471" s="254" t="n"/>
      <c r="O471" s="1183" t="n"/>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c r="AA471" s="648" t="n"/>
      <c r="AB471" s="649">
        <f>+Z471+AA471</f>
        <v/>
      </c>
      <c r="AC471" s="648" t="n"/>
      <c r="AD471" s="648" t="n"/>
      <c r="AE471" s="648" t="n"/>
      <c r="AF471" s="648" t="n"/>
      <c r="AG471" s="648" t="n"/>
      <c r="AH471" s="648" t="n"/>
      <c r="AI471" s="648" t="n"/>
      <c r="AJ471" s="648" t="n"/>
      <c r="AK471" s="648" t="n"/>
      <c r="AL471" s="648" t="n"/>
      <c r="AM471" s="421">
        <f>SUM(AB471:AL475)</f>
        <v/>
      </c>
      <c r="AN471" s="726" t="n"/>
      <c r="AQ471" s="1238">
        <f>IFERROR(I471/J471*100,"0")</f>
        <v/>
      </c>
      <c r="AR471" s="343">
        <f>IFERROR(1/(1-(AQ471/100)),"0")</f>
        <v/>
      </c>
      <c r="AS471" s="1239" t="n">
        <v>0</v>
      </c>
      <c r="AT471" s="345" t="n">
        <v>1</v>
      </c>
      <c r="AU471" s="1240" t="n"/>
      <c r="AV471" s="1241" t="n"/>
      <c r="AW471" s="1242">
        <f>+H471-AV471</f>
        <v/>
      </c>
    </row>
    <row r="472" ht="17.25" customHeight="1">
      <c r="A472" s="973" t="n"/>
      <c r="B472" s="971" t="n"/>
      <c r="C472" s="972" t="n"/>
      <c r="D472" s="973" t="n"/>
      <c r="E472" s="973" t="n"/>
      <c r="F472" s="994" t="n"/>
      <c r="G472" s="994" t="n"/>
      <c r="H472" s="973" t="n"/>
      <c r="I472" s="973" t="n"/>
      <c r="J472" s="973" t="n"/>
      <c r="K472" s="973" t="n"/>
      <c r="L472" s="253" t="n"/>
      <c r="M472" s="254" t="n"/>
      <c r="N472" s="254" t="n"/>
      <c r="O472" s="1183" t="n"/>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73" t="n"/>
      <c r="E473" s="973" t="n"/>
      <c r="F473" s="994" t="n"/>
      <c r="G473" s="994" t="n"/>
      <c r="H473" s="973" t="n"/>
      <c r="I473" s="973" t="n"/>
      <c r="J473" s="973" t="n"/>
      <c r="K473" s="973" t="n"/>
      <c r="L473" s="253" t="n"/>
      <c r="M473" s="254" t="n"/>
      <c r="N473" s="254" t="n"/>
      <c r="O473" s="1183" t="n"/>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73" t="n"/>
      <c r="E474" s="973" t="n"/>
      <c r="F474" s="994" t="n"/>
      <c r="G474" s="994" t="n"/>
      <c r="H474" s="973" t="n"/>
      <c r="I474" s="973" t="n"/>
      <c r="J474" s="973" t="n"/>
      <c r="K474" s="973" t="n"/>
      <c r="L474" s="253" t="n"/>
      <c r="M474" s="254" t="n"/>
      <c r="N474" s="254" t="n"/>
      <c r="O474" s="1183" t="n"/>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73" t="n"/>
      <c r="E475" s="973" t="n"/>
      <c r="F475" s="994" t="n"/>
      <c r="G475" s="994" t="n"/>
      <c r="H475" s="973" t="n"/>
      <c r="I475" s="973" t="n"/>
      <c r="J475" s="973" t="n"/>
      <c r="K475" s="975" t="n"/>
      <c r="L475" s="253" t="n"/>
      <c r="M475" s="254" t="n"/>
      <c r="N475" s="254" t="n"/>
      <c r="O475" s="1183" t="n"/>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75" t="n"/>
      <c r="E476" s="975" t="n"/>
      <c r="F476" s="998" t="n"/>
      <c r="G476" s="998" t="n"/>
      <c r="H476" s="975" t="n"/>
      <c r="I476" s="975" t="n"/>
      <c r="J476" s="975" t="n"/>
      <c r="K476" s="1189">
        <f>K471=L476</f>
        <v/>
      </c>
      <c r="L476" s="491">
        <f>SUM(L471:L475)</f>
        <v/>
      </c>
      <c r="M476" s="1190" t="inlineStr">
        <is>
          <t xml:space="preserve">“Verdadero” indica que la cantidad por lote, coincide con el saldo que inicia al mes siguiente. "Falso" no coinicide. </t>
        </is>
      </c>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413">
        <f>JULIO!K477</f>
        <v/>
      </c>
      <c r="E477" s="339">
        <f>H73</f>
        <v/>
      </c>
      <c r="F477" s="338" t="n"/>
      <c r="G477" s="338" t="n"/>
      <c r="H477" s="1235">
        <f>+F477+G477</f>
        <v/>
      </c>
      <c r="I477" s="340">
        <f>+AM477</f>
        <v/>
      </c>
      <c r="J477" s="341">
        <f>+H477+I477</f>
        <v/>
      </c>
      <c r="K477" s="583">
        <f>+(D477+E477)-(J477)</f>
        <v/>
      </c>
      <c r="L477" s="253" t="n"/>
      <c r="M477" s="254" t="n"/>
      <c r="N477" s="254" t="n"/>
      <c r="O477" s="1183" t="n"/>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c r="AA477" s="648" t="n"/>
      <c r="AB477" s="649">
        <f>+Z477+AA477</f>
        <v/>
      </c>
      <c r="AC477" s="648" t="n"/>
      <c r="AD477" s="648" t="n"/>
      <c r="AE477" s="648" t="n"/>
      <c r="AF477" s="648" t="n"/>
      <c r="AG477" s="648" t="n"/>
      <c r="AH477" s="648" t="n"/>
      <c r="AI477" s="648" t="n"/>
      <c r="AJ477" s="648" t="n"/>
      <c r="AK477" s="648" t="n"/>
      <c r="AL477" s="648" t="n"/>
      <c r="AM477" s="421">
        <f>SUM(AB477:AL481)</f>
        <v/>
      </c>
      <c r="AN477" s="726" t="n"/>
      <c r="AQ477" s="1238">
        <f>IFERROR(I477/J477*100,"0")</f>
        <v/>
      </c>
      <c r="AR477" s="343">
        <f>IFERROR(1/(1-(AQ477/100)),"0")</f>
        <v/>
      </c>
      <c r="AS477" s="1239" t="n">
        <v>0</v>
      </c>
      <c r="AT477" s="345" t="n">
        <v>1</v>
      </c>
      <c r="AU477" s="1240" t="n"/>
      <c r="AV477" s="1241" t="n"/>
      <c r="AW477" s="1242">
        <f>+H477-AV477</f>
        <v/>
      </c>
    </row>
    <row r="478" ht="17.25" customHeight="1">
      <c r="A478" s="973" t="n"/>
      <c r="B478" s="971" t="n"/>
      <c r="C478" s="972" t="n"/>
      <c r="D478" s="973" t="n"/>
      <c r="E478" s="973" t="n"/>
      <c r="F478" s="994" t="n"/>
      <c r="G478" s="994" t="n"/>
      <c r="H478" s="973" t="n"/>
      <c r="I478" s="973" t="n"/>
      <c r="J478" s="973" t="n"/>
      <c r="K478" s="973" t="n"/>
      <c r="L478" s="253" t="n"/>
      <c r="M478" s="254" t="n"/>
      <c r="N478" s="254" t="n"/>
      <c r="O478" s="1183" t="n"/>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73" t="n"/>
      <c r="E479" s="973" t="n"/>
      <c r="F479" s="994" t="n"/>
      <c r="G479" s="994" t="n"/>
      <c r="H479" s="973" t="n"/>
      <c r="I479" s="973" t="n"/>
      <c r="J479" s="973" t="n"/>
      <c r="K479" s="973" t="n"/>
      <c r="L479" s="253" t="n"/>
      <c r="M479" s="254" t="n"/>
      <c r="N479" s="254" t="n"/>
      <c r="O479" s="1183" t="n"/>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73" t="n"/>
      <c r="E480" s="973" t="n"/>
      <c r="F480" s="994" t="n"/>
      <c r="G480" s="994" t="n"/>
      <c r="H480" s="973" t="n"/>
      <c r="I480" s="973" t="n"/>
      <c r="J480" s="973" t="n"/>
      <c r="K480" s="973" t="n"/>
      <c r="L480" s="253" t="n"/>
      <c r="M480" s="254" t="n"/>
      <c r="N480" s="254" t="n"/>
      <c r="O480" s="1183" t="n"/>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73"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75" t="n"/>
      <c r="E482" s="975" t="n"/>
      <c r="F482" s="998" t="n"/>
      <c r="G482" s="998" t="n"/>
      <c r="H482" s="975" t="n"/>
      <c r="I482" s="975" t="n"/>
      <c r="J482" s="975" t="n"/>
      <c r="K482" s="1189">
        <f>K477=L482</f>
        <v/>
      </c>
      <c r="L482" s="491">
        <f>SUM(L477:L481)</f>
        <v/>
      </c>
      <c r="M482" s="1190" t="inlineStr">
        <is>
          <t xml:space="preserve">“Verdadero” indica que la cantidad por lote, coincide con el saldo que inicia al mes siguiente. "Falso" no coinicide. </t>
        </is>
      </c>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413">
        <f>JULIO!K483</f>
        <v/>
      </c>
      <c r="E483" s="339">
        <f>H79</f>
        <v/>
      </c>
      <c r="F483" s="338" t="n"/>
      <c r="G483" s="338" t="n"/>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c r="AA483" s="648" t="n"/>
      <c r="AB483" s="649">
        <f>+Z483+AA483</f>
        <v/>
      </c>
      <c r="AC483" s="648" t="n"/>
      <c r="AD483" s="648" t="n"/>
      <c r="AE483" s="648" t="n"/>
      <c r="AF483" s="648" t="n"/>
      <c r="AG483" s="648" t="n"/>
      <c r="AH483" s="648" t="n"/>
      <c r="AI483" s="648" t="n"/>
      <c r="AJ483" s="648" t="n"/>
      <c r="AK483" s="648" t="n"/>
      <c r="AL483" s="648" t="n"/>
      <c r="AM483" s="421">
        <f>SUM(AB483:AL487)</f>
        <v/>
      </c>
      <c r="AN483" s="726" t="n"/>
      <c r="AQ483" s="1238">
        <f>IFERROR(I483/J483*100,"0")</f>
        <v/>
      </c>
      <c r="AR483" s="343">
        <f>IFERROR(1/(1-(AQ483/100)),"0")</f>
        <v/>
      </c>
      <c r="AS483" s="1239" t="n">
        <v>0</v>
      </c>
      <c r="AT483" s="345" t="n">
        <v>1</v>
      </c>
      <c r="AU483" s="1240" t="n"/>
      <c r="AV483" s="1241" t="n"/>
      <c r="AW483" s="1242">
        <f>+H483-AV483</f>
        <v/>
      </c>
    </row>
    <row r="484" ht="17.25" customHeight="1">
      <c r="A484" s="973" t="n"/>
      <c r="B484" s="971" t="n"/>
      <c r="C484" s="972" t="n"/>
      <c r="D484" s="973"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73"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73"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73"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75" t="n"/>
      <c r="E488" s="975" t="n"/>
      <c r="F488" s="998" t="n"/>
      <c r="G488" s="998" t="n"/>
      <c r="H488" s="975" t="n"/>
      <c r="I488" s="975" t="n"/>
      <c r="J488" s="975" t="n"/>
      <c r="K488" s="1189">
        <f>K483=L488</f>
        <v/>
      </c>
      <c r="L488" s="491">
        <f>SUM(L483:L487)</f>
        <v/>
      </c>
      <c r="M488" s="1190" t="inlineStr">
        <is>
          <t xml:space="preserve">“Verdadero” indica que la cantidad por lote, coincide con el saldo que inicia al mes siguiente. "Falso" no coinicide. </t>
        </is>
      </c>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413">
        <f>JULIO!K489</f>
        <v/>
      </c>
      <c r="E489" s="339">
        <f>H85</f>
        <v/>
      </c>
      <c r="F489" s="338" t="n"/>
      <c r="G489" s="338" t="n"/>
      <c r="H489" s="1235">
        <f>+F489+G489</f>
        <v/>
      </c>
      <c r="I489" s="340">
        <f>+AM489</f>
        <v/>
      </c>
      <c r="J489" s="341">
        <f>+H489+I489</f>
        <v/>
      </c>
      <c r="K489" s="583">
        <f>+(D489+E489)-(J489)</f>
        <v/>
      </c>
      <c r="L489" s="253" t="n"/>
      <c r="M489" s="254" t="n"/>
      <c r="N489" s="254" t="n"/>
      <c r="O489" s="1183" t="n"/>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c r="AA489" s="648" t="n"/>
      <c r="AB489" s="649">
        <f>+Z489+AA489</f>
        <v/>
      </c>
      <c r="AC489" s="648" t="n"/>
      <c r="AD489" s="648" t="n"/>
      <c r="AE489" s="648" t="n"/>
      <c r="AF489" s="648" t="n"/>
      <c r="AG489" s="648" t="n"/>
      <c r="AH489" s="648" t="n"/>
      <c r="AI489" s="648" t="n"/>
      <c r="AJ489" s="648" t="n"/>
      <c r="AK489" s="648" t="n"/>
      <c r="AL489" s="648" t="n"/>
      <c r="AM489" s="421">
        <f>SUM(AB489:AL493)</f>
        <v/>
      </c>
      <c r="AN489" s="726" t="n"/>
      <c r="AQ489" s="1238">
        <f>IFERROR(I489/J489*100,"0")</f>
        <v/>
      </c>
      <c r="AR489" s="343">
        <f>IFERROR(1/(1-(AQ489/100)),"0")</f>
        <v/>
      </c>
      <c r="AS489" s="1239" t="n">
        <v>0</v>
      </c>
      <c r="AT489" s="345" t="n">
        <v>1</v>
      </c>
      <c r="AU489" s="1240" t="n"/>
      <c r="AV489" s="1241" t="n"/>
      <c r="AW489" s="1242">
        <f>+H489-AV489</f>
        <v/>
      </c>
    </row>
    <row r="490" ht="17.25" customHeight="1">
      <c r="A490" s="973" t="n"/>
      <c r="B490" s="971" t="n"/>
      <c r="C490" s="972" t="n"/>
      <c r="D490" s="973" t="n"/>
      <c r="E490" s="973" t="n"/>
      <c r="F490" s="994" t="n"/>
      <c r="G490" s="994" t="n"/>
      <c r="H490" s="973" t="n"/>
      <c r="I490" s="973" t="n"/>
      <c r="J490" s="973" t="n"/>
      <c r="K490" s="973" t="n"/>
      <c r="L490" s="253" t="n"/>
      <c r="M490" s="254" t="n"/>
      <c r="N490" s="254" t="n"/>
      <c r="O490" s="1183" t="n"/>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73" t="n"/>
      <c r="E491" s="973" t="n"/>
      <c r="F491" s="994" t="n"/>
      <c r="G491" s="994" t="n"/>
      <c r="H491" s="973" t="n"/>
      <c r="I491" s="973" t="n"/>
      <c r="J491" s="973" t="n"/>
      <c r="K491" s="973" t="n"/>
      <c r="L491" s="253" t="n"/>
      <c r="M491" s="254" t="n"/>
      <c r="N491" s="254" t="n"/>
      <c r="O491" s="1183" t="n"/>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73" t="n"/>
      <c r="E492" s="973" t="n"/>
      <c r="F492" s="994" t="n"/>
      <c r="G492" s="994" t="n"/>
      <c r="H492" s="973" t="n"/>
      <c r="I492" s="973" t="n"/>
      <c r="J492" s="973" t="n"/>
      <c r="K492" s="973" t="n"/>
      <c r="L492" s="253" t="n"/>
      <c r="M492" s="254" t="n"/>
      <c r="N492" s="254" t="n"/>
      <c r="O492" s="1183" t="n"/>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73"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75" t="n"/>
      <c r="E494" s="975" t="n"/>
      <c r="F494" s="998" t="n"/>
      <c r="G494" s="998" t="n"/>
      <c r="H494" s="975" t="n"/>
      <c r="I494" s="975" t="n"/>
      <c r="J494" s="975" t="n"/>
      <c r="K494" s="1189">
        <f>K489=L494</f>
        <v/>
      </c>
      <c r="L494" s="491">
        <f>SUM(L489:L493)</f>
        <v/>
      </c>
      <c r="M494" s="1190" t="inlineStr">
        <is>
          <t xml:space="preserve">“Verdadero” indica que la cantidad por lote, coincide con el saldo que inicia al mes siguiente. "Falso" no coinicide. </t>
        </is>
      </c>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413">
        <f>JULIO!K495</f>
        <v/>
      </c>
      <c r="E495" s="339">
        <f>H91</f>
        <v/>
      </c>
      <c r="F495" s="338" t="n"/>
      <c r="G495" s="338" t="n"/>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c r="AA495" s="648" t="n"/>
      <c r="AB495" s="649">
        <f>+Z495+AA495</f>
        <v/>
      </c>
      <c r="AC495" s="648" t="n"/>
      <c r="AD495" s="648" t="n"/>
      <c r="AE495" s="648" t="n"/>
      <c r="AF495" s="648" t="n"/>
      <c r="AG495" s="648" t="n"/>
      <c r="AH495" s="648" t="n"/>
      <c r="AI495" s="648" t="n"/>
      <c r="AJ495" s="648" t="n"/>
      <c r="AK495" s="648" t="n"/>
      <c r="AL495" s="648" t="n"/>
      <c r="AM495" s="421">
        <f>SUM(AB495:AL499)</f>
        <v/>
      </c>
      <c r="AN495" s="726" t="n"/>
      <c r="AQ495" s="1238">
        <f>IFERROR(I495/J495*100,"0")</f>
        <v/>
      </c>
      <c r="AR495" s="343">
        <f>IFERROR(1/(1-(AQ495/100)),"0")</f>
        <v/>
      </c>
      <c r="AS495" s="1239" t="n">
        <v>25</v>
      </c>
      <c r="AT495" s="345" t="n">
        <v>5</v>
      </c>
      <c r="AU495" s="1240" t="n"/>
      <c r="AV495" s="1241" t="n"/>
      <c r="AW495" s="1242">
        <f>+H495-AV495</f>
        <v/>
      </c>
    </row>
    <row r="496" ht="17.25" customHeight="1">
      <c r="A496" s="973" t="n"/>
      <c r="B496" s="971" t="n"/>
      <c r="C496" s="972" t="n"/>
      <c r="D496" s="973"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73"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73"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73"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75" t="n"/>
      <c r="E500" s="975" t="n"/>
      <c r="F500" s="998" t="n"/>
      <c r="G500" s="998" t="n"/>
      <c r="H500" s="975" t="n"/>
      <c r="I500" s="975" t="n"/>
      <c r="J500" s="975" t="n"/>
      <c r="K500" s="1189">
        <f>K495=L500</f>
        <v/>
      </c>
      <c r="L500" s="491">
        <f>SUM(L495:L499)</f>
        <v/>
      </c>
      <c r="M500" s="1190" t="inlineStr">
        <is>
          <t xml:space="preserve">“Verdadero” indica que la cantidad por lote, coincide con el saldo que inicia al mes siguiente. "Falso" no coinicide. </t>
        </is>
      </c>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413">
        <f>JULIO!K501</f>
        <v/>
      </c>
      <c r="E501" s="339">
        <f>H97</f>
        <v/>
      </c>
      <c r="F501" s="338" t="n"/>
      <c r="G501" s="338" t="n"/>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c r="AA501" s="648" t="n"/>
      <c r="AB501" s="649">
        <f>+Z501+AA501</f>
        <v/>
      </c>
      <c r="AC501" s="648" t="n"/>
      <c r="AD501" s="648" t="n"/>
      <c r="AE501" s="648" t="n"/>
      <c r="AF501" s="648" t="n"/>
      <c r="AG501" s="648" t="n"/>
      <c r="AH501" s="648" t="n"/>
      <c r="AI501" s="648" t="n"/>
      <c r="AJ501" s="648" t="n"/>
      <c r="AK501" s="648" t="n"/>
      <c r="AL501" s="648" t="n"/>
      <c r="AM501" s="421">
        <f>SUM(AB501:AL505)</f>
        <v/>
      </c>
      <c r="AN501" s="726" t="n"/>
      <c r="AQ501" s="1238">
        <f>IFERROR(I501/J501*100,"0")</f>
        <v/>
      </c>
      <c r="AR501" s="343">
        <f>IFERROR(1/(1-(AQ501/100)),"0")</f>
        <v/>
      </c>
      <c r="AS501" s="1239" t="n">
        <v>30</v>
      </c>
      <c r="AT501" s="345" t="n">
        <v>10</v>
      </c>
      <c r="AU501" s="1240" t="n"/>
      <c r="AV501" s="1241" t="n"/>
      <c r="AW501" s="1242">
        <f>+H501-AV501</f>
        <v/>
      </c>
    </row>
    <row r="502" ht="17.25" customHeight="1">
      <c r="A502" s="973" t="n"/>
      <c r="B502" s="971" t="n"/>
      <c r="C502" s="972" t="n"/>
      <c r="D502" s="973"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73"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73"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73"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75" t="n"/>
      <c r="E506" s="975" t="n"/>
      <c r="F506" s="998" t="n"/>
      <c r="G506" s="998" t="n"/>
      <c r="H506" s="975" t="n"/>
      <c r="I506" s="975" t="n"/>
      <c r="J506" s="975" t="n"/>
      <c r="K506" s="1189">
        <f>K501=L506</f>
        <v/>
      </c>
      <c r="L506" s="491">
        <f>SUM(L501:L505)</f>
        <v/>
      </c>
      <c r="M506" s="1190" t="inlineStr">
        <is>
          <t xml:space="preserve">“Verdadero” indica que la cantidad por lote, coincide con el saldo que inicia al mes siguiente. "Falso" no coinicide. </t>
        </is>
      </c>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413">
        <f>JULIO!K507</f>
        <v/>
      </c>
      <c r="E507" s="339">
        <f>H103</f>
        <v/>
      </c>
      <c r="F507" s="338" t="n"/>
      <c r="G507" s="338" t="n"/>
      <c r="H507" s="1235">
        <f>+F507+G507</f>
        <v/>
      </c>
      <c r="I507" s="340">
        <f>+AM507</f>
        <v/>
      </c>
      <c r="J507" s="341">
        <f>+H507+I507</f>
        <v/>
      </c>
      <c r="K507" s="583">
        <f>+(D507+E507)-(J507)</f>
        <v/>
      </c>
      <c r="L507" s="253" t="n"/>
      <c r="M507" s="254" t="n"/>
      <c r="N507" s="254" t="n"/>
      <c r="O507" s="1183" t="n"/>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c r="AA507" s="648" t="n"/>
      <c r="AB507" s="649">
        <f>+Z507+AA507</f>
        <v/>
      </c>
      <c r="AC507" s="648" t="n"/>
      <c r="AD507" s="648" t="n"/>
      <c r="AE507" s="648" t="n"/>
      <c r="AF507" s="648" t="n"/>
      <c r="AG507" s="648" t="n"/>
      <c r="AH507" s="648" t="n"/>
      <c r="AI507" s="648" t="n"/>
      <c r="AJ507" s="648" t="n"/>
      <c r="AK507" s="648" t="n"/>
      <c r="AL507" s="648" t="n"/>
      <c r="AM507" s="421">
        <f>SUM(AB507:AL511)</f>
        <v/>
      </c>
      <c r="AN507" s="726" t="n"/>
      <c r="AQ507" s="1238">
        <f>IFERROR(I507/J507*100,"0")</f>
        <v/>
      </c>
      <c r="AR507" s="343">
        <f>IFERROR(1/(1-(AQ507/100)),"0")</f>
        <v/>
      </c>
      <c r="AS507" s="1239" t="n">
        <v>0</v>
      </c>
      <c r="AT507" s="345" t="n">
        <v>1</v>
      </c>
      <c r="AU507" s="1240" t="n"/>
      <c r="AV507" s="1241" t="n"/>
      <c r="AW507" s="1242">
        <f>+H507-AV507</f>
        <v/>
      </c>
    </row>
    <row r="508" ht="17.25" customHeight="1">
      <c r="A508" s="973" t="n"/>
      <c r="B508" s="971" t="n"/>
      <c r="C508" s="972" t="n"/>
      <c r="D508" s="973" t="n"/>
      <c r="E508" s="973" t="n"/>
      <c r="F508" s="994" t="n"/>
      <c r="G508" s="994" t="n"/>
      <c r="H508" s="973" t="n"/>
      <c r="I508" s="973" t="n"/>
      <c r="J508" s="973" t="n"/>
      <c r="K508" s="973" t="n"/>
      <c r="L508" s="253" t="n"/>
      <c r="M508" s="254" t="n"/>
      <c r="N508" s="254" t="n"/>
      <c r="O508" s="1183" t="n"/>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73" t="n"/>
      <c r="E509" s="973" t="n"/>
      <c r="F509" s="994" t="n"/>
      <c r="G509" s="994" t="n"/>
      <c r="H509" s="973" t="n"/>
      <c r="I509" s="973" t="n"/>
      <c r="J509" s="973" t="n"/>
      <c r="K509" s="973" t="n"/>
      <c r="L509" s="253" t="n"/>
      <c r="M509" s="254" t="n"/>
      <c r="N509" s="254" t="n"/>
      <c r="O509" s="1183" t="n"/>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73" t="n"/>
      <c r="E510" s="973" t="n"/>
      <c r="F510" s="994" t="n"/>
      <c r="G510" s="994" t="n"/>
      <c r="H510" s="973" t="n"/>
      <c r="I510" s="973" t="n"/>
      <c r="J510" s="973" t="n"/>
      <c r="K510" s="973" t="n"/>
      <c r="L510" s="253" t="n"/>
      <c r="M510" s="254" t="n"/>
      <c r="N510" s="254" t="n"/>
      <c r="O510" s="1183" t="n"/>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73" t="n"/>
      <c r="E511" s="973" t="n"/>
      <c r="F511" s="994" t="n"/>
      <c r="G511" s="994" t="n"/>
      <c r="H511" s="973" t="n"/>
      <c r="I511" s="973" t="n"/>
      <c r="J511" s="973" t="n"/>
      <c r="K511" s="975" t="n"/>
      <c r="L511" s="253" t="n"/>
      <c r="M511" s="254" t="n"/>
      <c r="N511" s="254" t="n"/>
      <c r="O511" s="1183" t="n"/>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75" t="n"/>
      <c r="E512" s="975" t="n"/>
      <c r="F512" s="998" t="n"/>
      <c r="G512" s="998" t="n"/>
      <c r="H512" s="975" t="n"/>
      <c r="I512" s="975" t="n"/>
      <c r="J512" s="975" t="n"/>
      <c r="K512" s="1189">
        <f>K507=L512</f>
        <v/>
      </c>
      <c r="L512" s="491">
        <f>SUM(L507:L511)</f>
        <v/>
      </c>
      <c r="M512" s="1190" t="inlineStr">
        <is>
          <t xml:space="preserve">“Verdadero” indica que la cantidad por lote, coincide con el saldo que inicia al mes siguiente. "Falso" no coinicide. </t>
        </is>
      </c>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413">
        <f>JULIO!K513</f>
        <v/>
      </c>
      <c r="E513" s="339">
        <f>H109</f>
        <v/>
      </c>
      <c r="F513" s="338" t="n"/>
      <c r="G513" s="338" t="n"/>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c r="AA513" s="648" t="n"/>
      <c r="AB513" s="649">
        <f>+Z513+AA513</f>
        <v/>
      </c>
      <c r="AC513" s="648" t="n"/>
      <c r="AD513" s="648" t="n"/>
      <c r="AE513" s="648" t="n"/>
      <c r="AF513" s="648" t="n"/>
      <c r="AG513" s="648" t="n"/>
      <c r="AH513" s="648" t="n"/>
      <c r="AI513" s="648" t="n"/>
      <c r="AJ513" s="648" t="n"/>
      <c r="AK513" s="648" t="n"/>
      <c r="AL513" s="648" t="n"/>
      <c r="AM513" s="421">
        <f>SUM(AB513:AL517)</f>
        <v/>
      </c>
      <c r="AN513" s="726" t="n"/>
      <c r="AQ513" s="1238">
        <f>IFERROR(I513/J513*100,"0")</f>
        <v/>
      </c>
      <c r="AR513" s="343">
        <f>IFERROR(1/(1-(AQ513/100)),"0")</f>
        <v/>
      </c>
      <c r="AS513" s="1239" t="n">
        <v>30</v>
      </c>
      <c r="AT513" s="345" t="n">
        <v>10</v>
      </c>
      <c r="AU513" s="1240" t="n"/>
      <c r="AV513" s="1241" t="n"/>
      <c r="AW513" s="1242">
        <f>+H513-AV513</f>
        <v/>
      </c>
    </row>
    <row r="514" ht="17.25" customHeight="1">
      <c r="A514" s="973" t="n"/>
      <c r="B514" s="971" t="n"/>
      <c r="C514" s="972" t="n"/>
      <c r="D514" s="973"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73"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73"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73"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75" t="n"/>
      <c r="E518" s="975" t="n"/>
      <c r="F518" s="998" t="n"/>
      <c r="G518" s="998" t="n"/>
      <c r="H518" s="975" t="n"/>
      <c r="I518" s="975" t="n"/>
      <c r="J518" s="975" t="n"/>
      <c r="K518" s="1189">
        <f>K513=L518</f>
        <v/>
      </c>
      <c r="L518" s="491">
        <f>SUM(L513:L517)</f>
        <v/>
      </c>
      <c r="M518" s="1190" t="inlineStr">
        <is>
          <t xml:space="preserve">“Verdadero” indica que la cantidad por lote, coincide con el saldo que inicia al mes siguiente. "Falso" no coinicide. </t>
        </is>
      </c>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413">
        <f>JULIO!K519</f>
        <v/>
      </c>
      <c r="E519" s="339">
        <f>H115</f>
        <v/>
      </c>
      <c r="F519" s="338" t="n"/>
      <c r="G519" s="338" t="n"/>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c r="AA519" s="648" t="n"/>
      <c r="AB519" s="649">
        <f>+Z519+AA519</f>
        <v/>
      </c>
      <c r="AC519" s="648" t="n"/>
      <c r="AD519" s="648" t="n"/>
      <c r="AE519" s="648" t="n"/>
      <c r="AF519" s="648" t="n"/>
      <c r="AG519" s="648" t="n"/>
      <c r="AH519" s="648" t="n"/>
      <c r="AI519" s="648" t="n"/>
      <c r="AJ519" s="648" t="n"/>
      <c r="AK519" s="648" t="n"/>
      <c r="AL519" s="648" t="n"/>
      <c r="AM519" s="421">
        <f>SUM(AB519:AL523)</f>
        <v/>
      </c>
      <c r="AN519" s="726" t="n"/>
      <c r="AQ519" s="1238">
        <f>IFERROR(I519/J519*100,"0")</f>
        <v/>
      </c>
      <c r="AR519" s="343">
        <f>IFERROR(1/(1-(AQ519/100)),"0")</f>
        <v/>
      </c>
      <c r="AS519" s="1239" t="n">
        <v>0</v>
      </c>
      <c r="AT519" s="345" t="n">
        <v>1</v>
      </c>
      <c r="AU519" s="1240" t="n"/>
      <c r="AV519" s="1241" t="n"/>
      <c r="AW519" s="1242">
        <f>+H519-AV519</f>
        <v/>
      </c>
    </row>
    <row r="520" ht="17.25" customHeight="1">
      <c r="A520" s="973" t="n"/>
      <c r="B520" s="971" t="n"/>
      <c r="C520" s="972" t="n"/>
      <c r="D520" s="973"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73"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73"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73"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75" t="n"/>
      <c r="E524" s="975" t="n"/>
      <c r="F524" s="998" t="n"/>
      <c r="G524" s="998" t="n"/>
      <c r="H524" s="975" t="n"/>
      <c r="I524" s="975" t="n"/>
      <c r="J524" s="975" t="n"/>
      <c r="K524" s="1189">
        <f>K519=L524</f>
        <v/>
      </c>
      <c r="L524" s="491">
        <f>SUM(L519:L523)</f>
        <v/>
      </c>
      <c r="M524" s="1190" t="inlineStr">
        <is>
          <t xml:space="preserve">“Verdadero” indica que la cantidad por lote, coincide con el saldo que inicia al mes siguiente. "Falso" no coinicide. </t>
        </is>
      </c>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413">
        <f>JULIO!K525</f>
        <v/>
      </c>
      <c r="E525" s="339">
        <f>H121</f>
        <v/>
      </c>
      <c r="F525" s="338" t="n"/>
      <c r="G525" s="338" t="n"/>
      <c r="H525" s="1235">
        <f>+F525+G525</f>
        <v/>
      </c>
      <c r="I525" s="340">
        <f>+AM525</f>
        <v/>
      </c>
      <c r="J525" s="341">
        <f>+H525+I525</f>
        <v/>
      </c>
      <c r="K525" s="583">
        <f>+(D525+E525)-(J525)</f>
        <v/>
      </c>
      <c r="L525" s="253" t="n"/>
      <c r="M525" s="254" t="n"/>
      <c r="N525" s="254" t="n"/>
      <c r="O525" s="1183" t="n"/>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c r="AA525" s="648" t="n"/>
      <c r="AB525" s="649">
        <f>+Z525+AA525</f>
        <v/>
      </c>
      <c r="AC525" s="648" t="n"/>
      <c r="AD525" s="648" t="n"/>
      <c r="AE525" s="648" t="n"/>
      <c r="AF525" s="648" t="n"/>
      <c r="AG525" s="648" t="n"/>
      <c r="AH525" s="648" t="n"/>
      <c r="AI525" s="648" t="n"/>
      <c r="AJ525" s="648" t="n"/>
      <c r="AK525" s="648" t="n"/>
      <c r="AL525" s="648" t="n"/>
      <c r="AM525" s="421">
        <f>SUM(AB525:AL529)</f>
        <v/>
      </c>
      <c r="AN525" s="726" t="n"/>
      <c r="AQ525" s="1238">
        <f>IFERROR(I525/J525*100,"0")</f>
        <v/>
      </c>
      <c r="AR525" s="343">
        <f>IFERROR(1/(1-(AQ525/100)),"0")</f>
        <v/>
      </c>
      <c r="AS525" s="1239" t="n">
        <v>70</v>
      </c>
      <c r="AT525" s="345" t="n">
        <v>10</v>
      </c>
      <c r="AU525" s="1240" t="n"/>
      <c r="AV525" s="1241" t="n"/>
      <c r="AW525" s="1242">
        <f>+H525-AV525</f>
        <v/>
      </c>
    </row>
    <row r="526" ht="17.25" customHeight="1">
      <c r="A526" s="973" t="n"/>
      <c r="B526" s="971" t="n"/>
      <c r="C526" s="972" t="n"/>
      <c r="D526" s="973" t="n"/>
      <c r="E526" s="973" t="n"/>
      <c r="F526" s="994" t="n"/>
      <c r="G526" s="994" t="n"/>
      <c r="H526" s="973" t="n"/>
      <c r="I526" s="973" t="n"/>
      <c r="J526" s="973" t="n"/>
      <c r="K526" s="973" t="n"/>
      <c r="L526" s="253" t="n"/>
      <c r="M526" s="254" t="n"/>
      <c r="N526" s="254" t="n"/>
      <c r="O526" s="1183" t="n"/>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73" t="n"/>
      <c r="E527" s="973" t="n"/>
      <c r="F527" s="994" t="n"/>
      <c r="G527" s="994" t="n"/>
      <c r="H527" s="973" t="n"/>
      <c r="I527" s="973" t="n"/>
      <c r="J527" s="973" t="n"/>
      <c r="K527" s="973" t="n"/>
      <c r="L527" s="253" t="n"/>
      <c r="M527" s="254" t="n"/>
      <c r="N527" s="254" t="n"/>
      <c r="O527" s="1183" t="n"/>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73" t="n"/>
      <c r="E528" s="973" t="n"/>
      <c r="F528" s="994" t="n"/>
      <c r="G528" s="994" t="n"/>
      <c r="H528" s="973" t="n"/>
      <c r="I528" s="973" t="n"/>
      <c r="J528" s="973" t="n"/>
      <c r="K528" s="973" t="n"/>
      <c r="L528" s="253" t="n"/>
      <c r="M528" s="254" t="n"/>
      <c r="N528" s="254" t="n"/>
      <c r="O528" s="1183" t="n"/>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73" t="n"/>
      <c r="E529" s="973" t="n"/>
      <c r="F529" s="994" t="n"/>
      <c r="G529" s="994" t="n"/>
      <c r="H529" s="973" t="n"/>
      <c r="I529" s="973" t="n"/>
      <c r="J529" s="973" t="n"/>
      <c r="K529" s="975" t="n"/>
      <c r="L529" s="253" t="n"/>
      <c r="M529" s="254" t="n"/>
      <c r="N529" s="254" t="n"/>
      <c r="O529" s="1183" t="n"/>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75" t="n"/>
      <c r="E530" s="975" t="n"/>
      <c r="F530" s="998" t="n"/>
      <c r="G530" s="998" t="n"/>
      <c r="H530" s="975" t="n"/>
      <c r="I530" s="975" t="n"/>
      <c r="J530" s="975" t="n"/>
      <c r="K530" s="1189">
        <f>K525=L530</f>
        <v/>
      </c>
      <c r="L530" s="491">
        <f>SUM(L525:L529)</f>
        <v/>
      </c>
      <c r="M530" s="1190" t="inlineStr">
        <is>
          <t xml:space="preserve">“Verdadero” indica que la cantidad por lote, coincide con el saldo que inicia al mes siguiente. "Falso" no coinicide. </t>
        </is>
      </c>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413">
        <f>JULIO!K531</f>
        <v/>
      </c>
      <c r="E531" s="339">
        <f>H127</f>
        <v/>
      </c>
      <c r="F531" s="338" t="n"/>
      <c r="G531" s="338" t="n"/>
      <c r="H531" s="1235">
        <f>+F531+G531</f>
        <v/>
      </c>
      <c r="I531" s="340">
        <f>+AM531</f>
        <v/>
      </c>
      <c r="J531" s="341">
        <f>+H531+I531</f>
        <v/>
      </c>
      <c r="K531" s="583">
        <f>+(D531+E531)-(J531)</f>
        <v/>
      </c>
      <c r="L531" s="253" t="n"/>
      <c r="M531" s="254" t="n"/>
      <c r="N531" s="254" t="n"/>
      <c r="O531" s="1183" t="n"/>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c r="AA531" s="648" t="n"/>
      <c r="AB531" s="649">
        <f>+Z531+AA531</f>
        <v/>
      </c>
      <c r="AC531" s="648" t="n"/>
      <c r="AD531" s="648" t="n"/>
      <c r="AE531" s="648" t="n"/>
      <c r="AF531" s="648" t="n"/>
      <c r="AG531" s="648" t="n"/>
      <c r="AH531" s="648" t="n"/>
      <c r="AI531" s="648" t="n"/>
      <c r="AJ531" s="648" t="n"/>
      <c r="AK531" s="648" t="n"/>
      <c r="AL531" s="648" t="n"/>
      <c r="AM531" s="421">
        <f>SUM(AB531:AL535)</f>
        <v/>
      </c>
      <c r="AN531" s="726" t="n"/>
      <c r="AQ531" s="1238">
        <f>IFERROR(I531/J531*100,"0")</f>
        <v/>
      </c>
      <c r="AR531" s="343">
        <f>IFERROR(1/(1-(AQ531/100)),"0")</f>
        <v/>
      </c>
      <c r="AS531" s="1239" t="n">
        <v>0</v>
      </c>
      <c r="AT531" s="345" t="n">
        <v>1</v>
      </c>
      <c r="AU531" s="1240" t="n"/>
      <c r="AV531" s="1241" t="n"/>
      <c r="AW531" s="1242">
        <f>+H531-AV531</f>
        <v/>
      </c>
    </row>
    <row r="532" ht="17.25" customHeight="1">
      <c r="A532" s="973" t="n"/>
      <c r="B532" s="971" t="n"/>
      <c r="C532" s="972" t="n"/>
      <c r="D532" s="973" t="n"/>
      <c r="E532" s="973" t="n"/>
      <c r="F532" s="994" t="n"/>
      <c r="G532" s="994" t="n"/>
      <c r="H532" s="973" t="n"/>
      <c r="I532" s="973" t="n"/>
      <c r="J532" s="973" t="n"/>
      <c r="K532" s="973" t="n"/>
      <c r="L532" s="253" t="n"/>
      <c r="M532" s="254" t="n"/>
      <c r="N532" s="254" t="n"/>
      <c r="O532" s="1183" t="n"/>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73" t="n"/>
      <c r="E533" s="973" t="n"/>
      <c r="F533" s="994" t="n"/>
      <c r="G533" s="994" t="n"/>
      <c r="H533" s="973" t="n"/>
      <c r="I533" s="973" t="n"/>
      <c r="J533" s="973" t="n"/>
      <c r="K533" s="973" t="n"/>
      <c r="L533" s="253" t="n"/>
      <c r="M533" s="254" t="n"/>
      <c r="N533" s="254" t="n"/>
      <c r="O533" s="1183" t="n"/>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73" t="n"/>
      <c r="E534" s="973" t="n"/>
      <c r="F534" s="994" t="n"/>
      <c r="G534" s="994" t="n"/>
      <c r="H534" s="973" t="n"/>
      <c r="I534" s="973" t="n"/>
      <c r="J534" s="973" t="n"/>
      <c r="K534" s="973" t="n"/>
      <c r="L534" s="253" t="n"/>
      <c r="M534" s="254" t="n"/>
      <c r="N534" s="254" t="n"/>
      <c r="O534" s="1183" t="n"/>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73" t="n"/>
      <c r="E535" s="973" t="n"/>
      <c r="F535" s="994" t="n"/>
      <c r="G535" s="994" t="n"/>
      <c r="H535" s="973" t="n"/>
      <c r="I535" s="973" t="n"/>
      <c r="J535" s="973" t="n"/>
      <c r="K535" s="975" t="n"/>
      <c r="L535" s="253" t="n"/>
      <c r="M535" s="254" t="n"/>
      <c r="N535" s="254" t="n"/>
      <c r="O535" s="1183" t="n"/>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75" t="n"/>
      <c r="E536" s="975" t="n"/>
      <c r="F536" s="998" t="n"/>
      <c r="G536" s="998" t="n"/>
      <c r="H536" s="975" t="n"/>
      <c r="I536" s="975" t="n"/>
      <c r="J536" s="975" t="n"/>
      <c r="K536" s="1189">
        <f>K531=L536</f>
        <v/>
      </c>
      <c r="L536" s="491">
        <f>SUM(L531:L535)</f>
        <v/>
      </c>
      <c r="M536" s="1190" t="inlineStr">
        <is>
          <t xml:space="preserve">“Verdadero” indica que la cantidad por lote, coincide con el saldo que inicia al mes siguiente. "Falso" no coinicide. </t>
        </is>
      </c>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413">
        <f>JULIO!K537</f>
        <v/>
      </c>
      <c r="E537" s="339">
        <f>H133</f>
        <v/>
      </c>
      <c r="F537" s="338" t="n"/>
      <c r="G537" s="338" t="n"/>
      <c r="H537" s="1235">
        <f>+F537+G537</f>
        <v/>
      </c>
      <c r="I537" s="340">
        <f>+AM537</f>
        <v/>
      </c>
      <c r="J537" s="341">
        <f>+H537+I537</f>
        <v/>
      </c>
      <c r="K537" s="583">
        <f>+(D537+E537)-(J537)</f>
        <v/>
      </c>
      <c r="L537" s="253" t="n"/>
      <c r="M537" s="254" t="n"/>
      <c r="N537" s="254" t="n"/>
      <c r="O537" s="1183" t="n"/>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c r="AA537" s="648" t="n"/>
      <c r="AB537" s="649">
        <f>+Z537+AA537</f>
        <v/>
      </c>
      <c r="AC537" s="648" t="n"/>
      <c r="AD537" s="648" t="n"/>
      <c r="AE537" s="648" t="n"/>
      <c r="AF537" s="648" t="n"/>
      <c r="AG537" s="648" t="n"/>
      <c r="AH537" s="648" t="n"/>
      <c r="AI537" s="648" t="n"/>
      <c r="AJ537" s="648" t="n"/>
      <c r="AK537" s="648" t="n"/>
      <c r="AL537" s="648" t="n"/>
      <c r="AM537" s="421">
        <f>SUM(AB537:AL541)</f>
        <v/>
      </c>
      <c r="AN537" s="726" t="n"/>
      <c r="AQ537" s="1238">
        <f>IFERROR(I537/J537*100,"0")</f>
        <v/>
      </c>
      <c r="AR537" s="343">
        <f>IFERROR(1/(1-(AQ537/100)),"0")</f>
        <v/>
      </c>
      <c r="AS537" s="1239" t="n">
        <v>0</v>
      </c>
      <c r="AT537" s="345" t="n">
        <v>1</v>
      </c>
      <c r="AU537" s="1240" t="n"/>
      <c r="AV537" s="1241" t="n"/>
      <c r="AW537" s="1242">
        <f>+H537-AV537</f>
        <v/>
      </c>
    </row>
    <row r="538" ht="17.25" customHeight="1">
      <c r="A538" s="973" t="n"/>
      <c r="B538" s="971" t="n"/>
      <c r="C538" s="972" t="n"/>
      <c r="D538" s="973" t="n"/>
      <c r="E538" s="973" t="n"/>
      <c r="F538" s="994" t="n"/>
      <c r="G538" s="994" t="n"/>
      <c r="H538" s="973" t="n"/>
      <c r="I538" s="973" t="n"/>
      <c r="J538" s="973" t="n"/>
      <c r="K538" s="973" t="n"/>
      <c r="L538" s="253" t="n"/>
      <c r="M538" s="254" t="n"/>
      <c r="N538" s="254" t="n"/>
      <c r="O538" s="1183" t="n"/>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73" t="n"/>
      <c r="E539" s="973" t="n"/>
      <c r="F539" s="994" t="n"/>
      <c r="G539" s="994" t="n"/>
      <c r="H539" s="973" t="n"/>
      <c r="I539" s="973" t="n"/>
      <c r="J539" s="973" t="n"/>
      <c r="K539" s="973" t="n"/>
      <c r="L539" s="253" t="n"/>
      <c r="M539" s="254" t="n"/>
      <c r="N539" s="254" t="n"/>
      <c r="O539" s="1183" t="n"/>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73" t="n"/>
      <c r="E540" s="973" t="n"/>
      <c r="F540" s="994" t="n"/>
      <c r="G540" s="994" t="n"/>
      <c r="H540" s="973" t="n"/>
      <c r="I540" s="973" t="n"/>
      <c r="J540" s="973" t="n"/>
      <c r="K540" s="973" t="n"/>
      <c r="L540" s="253" t="n"/>
      <c r="M540" s="254" t="n"/>
      <c r="N540" s="254" t="n"/>
      <c r="O540" s="1183" t="n"/>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73" t="n"/>
      <c r="E541" s="973" t="n"/>
      <c r="F541" s="994" t="n"/>
      <c r="G541" s="994" t="n"/>
      <c r="H541" s="973" t="n"/>
      <c r="I541" s="973" t="n"/>
      <c r="J541" s="973" t="n"/>
      <c r="K541" s="975" t="n"/>
      <c r="L541" s="253" t="n"/>
      <c r="M541" s="254" t="n"/>
      <c r="N541" s="254" t="n"/>
      <c r="O541" s="1183" t="n"/>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75" t="n"/>
      <c r="E542" s="975" t="n"/>
      <c r="F542" s="998" t="n"/>
      <c r="G542" s="998" t="n"/>
      <c r="H542" s="975" t="n"/>
      <c r="I542" s="975" t="n"/>
      <c r="J542" s="975" t="n"/>
      <c r="K542" s="1189">
        <f>K537=L542</f>
        <v/>
      </c>
      <c r="L542" s="491">
        <f>SUM(L537:L541)</f>
        <v/>
      </c>
      <c r="M542" s="1190" t="inlineStr">
        <is>
          <t xml:space="preserve">“Verdadero” indica que la cantidad por lote, coincide con el saldo que inicia al mes siguiente. "Falso" no coinicide. </t>
        </is>
      </c>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413">
        <f>JULIO!K543</f>
        <v/>
      </c>
      <c r="E543" s="339">
        <f>H139</f>
        <v/>
      </c>
      <c r="F543" s="338" t="n"/>
      <c r="G543" s="338" t="n"/>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c r="AA543" s="648" t="n"/>
      <c r="AB543" s="649">
        <f>+Z543+AA543</f>
        <v/>
      </c>
      <c r="AC543" s="648" t="n"/>
      <c r="AD543" s="648" t="n"/>
      <c r="AE543" s="648" t="n"/>
      <c r="AF543" s="648" t="n"/>
      <c r="AG543" s="648" t="n"/>
      <c r="AH543" s="648" t="n"/>
      <c r="AI543" s="648" t="n"/>
      <c r="AJ543" s="648" t="n"/>
      <c r="AK543" s="648" t="n"/>
      <c r="AL543" s="648" t="n"/>
      <c r="AM543" s="421">
        <f>SUM(AB543:AL547)</f>
        <v/>
      </c>
      <c r="AN543" s="726" t="n"/>
      <c r="AQ543" s="1238">
        <f>IFERROR(I543/J543*100,"0")</f>
        <v/>
      </c>
      <c r="AR543" s="343">
        <f>IFERROR(1/(1-(AQ543/100)),"0")</f>
        <v/>
      </c>
      <c r="AS543" s="1239" t="n">
        <v>0</v>
      </c>
      <c r="AT543" s="345" t="n">
        <v>1</v>
      </c>
      <c r="AU543" s="1240" t="n"/>
      <c r="AV543" s="1241" t="n"/>
      <c r="AW543" s="1242">
        <f>+H543-AV543</f>
        <v/>
      </c>
    </row>
    <row r="544" ht="17.25" customHeight="1">
      <c r="A544" s="973" t="n"/>
      <c r="B544" s="971" t="n"/>
      <c r="C544" s="972" t="n"/>
      <c r="D544" s="973"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73"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73"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73"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75" t="n"/>
      <c r="E548" s="975" t="n"/>
      <c r="F548" s="998" t="n"/>
      <c r="G548" s="998" t="n"/>
      <c r="H548" s="975" t="n"/>
      <c r="I548" s="975" t="n"/>
      <c r="J548" s="975" t="n"/>
      <c r="K548" s="1189">
        <f>K543=L548</f>
        <v/>
      </c>
      <c r="L548" s="491">
        <f>SUM(L543:L547)</f>
        <v/>
      </c>
      <c r="M548" s="1190" t="inlineStr">
        <is>
          <t xml:space="preserve">“Verdadero” indica que la cantidad por lote, coincide con el saldo que inicia al mes siguiente. "Falso" no coinicide. </t>
        </is>
      </c>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413">
        <f>JULIO!K549</f>
        <v/>
      </c>
      <c r="E549" s="339">
        <f>H145</f>
        <v/>
      </c>
      <c r="F549" s="338" t="n"/>
      <c r="G549" s="338" t="n"/>
      <c r="H549" s="1235">
        <f>+F549+G549</f>
        <v/>
      </c>
      <c r="I549" s="340">
        <f>+AM549</f>
        <v/>
      </c>
      <c r="J549" s="341">
        <f>+H549+I549</f>
        <v/>
      </c>
      <c r="K549" s="583">
        <f>+(D549+E549)-(J549)</f>
        <v/>
      </c>
      <c r="L549" s="253" t="n"/>
      <c r="M549" s="254" t="n"/>
      <c r="N549" s="254" t="n"/>
      <c r="O549" s="1183" t="n"/>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c r="AA549" s="648" t="n"/>
      <c r="AB549" s="649">
        <f>+Z549+AA549</f>
        <v/>
      </c>
      <c r="AC549" s="648" t="n"/>
      <c r="AD549" s="648" t="n"/>
      <c r="AE549" s="648" t="n"/>
      <c r="AF549" s="648" t="n"/>
      <c r="AG549" s="648" t="n"/>
      <c r="AH549" s="648" t="n"/>
      <c r="AI549" s="648" t="n"/>
      <c r="AJ549" s="648" t="n"/>
      <c r="AK549" s="648" t="n"/>
      <c r="AL549" s="648" t="n"/>
      <c r="AM549" s="421">
        <f>SUM(AB549:AL553)</f>
        <v/>
      </c>
      <c r="AN549" s="726" t="n"/>
      <c r="AQ549" s="1238">
        <f>IFERROR(I549/J549*100,"0")</f>
        <v/>
      </c>
      <c r="AR549" s="343">
        <f>IFERROR(1/(1-(AQ549/100)),"0")</f>
        <v/>
      </c>
      <c r="AS549" s="1239" t="n">
        <v>15</v>
      </c>
      <c r="AT549" s="345" t="n">
        <v>10</v>
      </c>
      <c r="AU549" s="1240" t="n"/>
      <c r="AV549" s="1241" t="n"/>
      <c r="AW549" s="1242">
        <f>+H549-AV549</f>
        <v/>
      </c>
    </row>
    <row r="550" ht="17.25" customHeight="1">
      <c r="A550" s="973" t="n"/>
      <c r="B550" s="971" t="n"/>
      <c r="C550" s="972" t="n"/>
      <c r="D550" s="973" t="n"/>
      <c r="E550" s="973" t="n"/>
      <c r="F550" s="994" t="n"/>
      <c r="G550" s="994" t="n"/>
      <c r="H550" s="973" t="n"/>
      <c r="I550" s="973" t="n"/>
      <c r="J550" s="973" t="n"/>
      <c r="K550" s="973" t="n"/>
      <c r="L550" s="253" t="n"/>
      <c r="M550" s="254" t="n"/>
      <c r="N550" s="254" t="n"/>
      <c r="O550" s="1183" t="n"/>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73" t="n"/>
      <c r="E551" s="973" t="n"/>
      <c r="F551" s="994" t="n"/>
      <c r="G551" s="994" t="n"/>
      <c r="H551" s="973" t="n"/>
      <c r="I551" s="973" t="n"/>
      <c r="J551" s="973" t="n"/>
      <c r="K551" s="973" t="n"/>
      <c r="L551" s="253" t="n"/>
      <c r="M551" s="254" t="n"/>
      <c r="N551" s="254" t="n"/>
      <c r="O551" s="1183" t="n"/>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73" t="n"/>
      <c r="E552" s="973" t="n"/>
      <c r="F552" s="994" t="n"/>
      <c r="G552" s="994" t="n"/>
      <c r="H552" s="973" t="n"/>
      <c r="I552" s="973" t="n"/>
      <c r="J552" s="973" t="n"/>
      <c r="K552" s="973" t="n"/>
      <c r="L552" s="253" t="n"/>
      <c r="M552" s="254" t="n"/>
      <c r="N552" s="254" t="n"/>
      <c r="O552" s="1183" t="n"/>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73" t="n"/>
      <c r="E553" s="973" t="n"/>
      <c r="F553" s="994" t="n"/>
      <c r="G553" s="994" t="n"/>
      <c r="H553" s="973" t="n"/>
      <c r="I553" s="973" t="n"/>
      <c r="J553" s="973" t="n"/>
      <c r="K553" s="975" t="n"/>
      <c r="L553" s="253" t="n"/>
      <c r="M553" s="254" t="n"/>
      <c r="N553" s="254" t="n"/>
      <c r="O553" s="1183" t="n"/>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75" t="n"/>
      <c r="E554" s="975" t="n"/>
      <c r="F554" s="998" t="n"/>
      <c r="G554" s="998" t="n"/>
      <c r="H554" s="975" t="n"/>
      <c r="I554" s="975" t="n"/>
      <c r="J554" s="975" t="n"/>
      <c r="K554" s="1189">
        <f>K549=L554</f>
        <v/>
      </c>
      <c r="L554" s="491">
        <f>SUM(L549:L553)</f>
        <v/>
      </c>
      <c r="M554" s="1190" t="inlineStr">
        <is>
          <t xml:space="preserve">“Verdadero” indica que la cantidad por lote, coincide con el saldo que inicia al mes siguiente. "Falso" no coinicide. </t>
        </is>
      </c>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413">
        <f>JULIO!K555</f>
        <v/>
      </c>
      <c r="E555" s="339">
        <f>H151</f>
        <v/>
      </c>
      <c r="F555" s="338" t="n"/>
      <c r="G555" s="338" t="n"/>
      <c r="H555" s="1235">
        <f>+F555+G555</f>
        <v/>
      </c>
      <c r="I555" s="340">
        <f>+AM555</f>
        <v/>
      </c>
      <c r="J555" s="341">
        <f>+H555+I555</f>
        <v/>
      </c>
      <c r="K555" s="583">
        <f>+(D555+E555)-(J555)</f>
        <v/>
      </c>
      <c r="L555" s="253" t="n"/>
      <c r="M555" s="254" t="n"/>
      <c r="N555" s="254" t="n"/>
      <c r="O555" s="1183" t="n"/>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c r="AA555" s="648" t="n"/>
      <c r="AB555" s="649">
        <f>+Z555+AA555</f>
        <v/>
      </c>
      <c r="AC555" s="648" t="n"/>
      <c r="AD555" s="648" t="n"/>
      <c r="AE555" s="648" t="n"/>
      <c r="AF555" s="648" t="n"/>
      <c r="AG555" s="648" t="n"/>
      <c r="AH555" s="648" t="n"/>
      <c r="AI555" s="648" t="n"/>
      <c r="AJ555" s="648" t="n"/>
      <c r="AK555" s="648" t="n"/>
      <c r="AL555" s="648" t="n"/>
      <c r="AM555" s="421">
        <f>SUM(AB555:AL559)</f>
        <v/>
      </c>
      <c r="AN555" s="726" t="n"/>
      <c r="AQ555" s="1238">
        <f>IFERROR(I555/J555*100,"0")</f>
        <v/>
      </c>
      <c r="AR555" s="343">
        <f>IFERROR(1/(1-(AQ555/100)),"0")</f>
        <v/>
      </c>
      <c r="AS555" s="1239" t="n">
        <v>0</v>
      </c>
      <c r="AT555" s="345" t="n">
        <v>1</v>
      </c>
      <c r="AU555" s="1240" t="n"/>
      <c r="AV555" s="1241" t="n"/>
      <c r="AW555" s="1242">
        <f>+H555-AV555</f>
        <v/>
      </c>
    </row>
    <row r="556" ht="17.25" customHeight="1">
      <c r="A556" s="973" t="n"/>
      <c r="B556" s="971" t="n"/>
      <c r="C556" s="972" t="n"/>
      <c r="D556" s="973" t="n"/>
      <c r="E556" s="973" t="n"/>
      <c r="F556" s="994" t="n"/>
      <c r="G556" s="994" t="n"/>
      <c r="H556" s="973" t="n"/>
      <c r="I556" s="973" t="n"/>
      <c r="J556" s="973" t="n"/>
      <c r="K556" s="973" t="n"/>
      <c r="L556" s="253" t="n"/>
      <c r="M556" s="254" t="n"/>
      <c r="N556" s="254" t="n"/>
      <c r="O556" s="1183" t="n"/>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73" t="n"/>
      <c r="E557" s="973" t="n"/>
      <c r="F557" s="994" t="n"/>
      <c r="G557" s="994" t="n"/>
      <c r="H557" s="973" t="n"/>
      <c r="I557" s="973" t="n"/>
      <c r="J557" s="973" t="n"/>
      <c r="K557" s="973" t="n"/>
      <c r="L557" s="253" t="n"/>
      <c r="M557" s="254" t="n"/>
      <c r="N557" s="254" t="n"/>
      <c r="O557" s="1183" t="n"/>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73" t="n"/>
      <c r="E558" s="973" t="n"/>
      <c r="F558" s="994" t="n"/>
      <c r="G558" s="994" t="n"/>
      <c r="H558" s="973" t="n"/>
      <c r="I558" s="973" t="n"/>
      <c r="J558" s="973" t="n"/>
      <c r="K558" s="973" t="n"/>
      <c r="L558" s="253" t="n"/>
      <c r="M558" s="254" t="n"/>
      <c r="N558" s="254" t="n"/>
      <c r="O558" s="1183" t="n"/>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73"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75" t="n"/>
      <c r="E560" s="975" t="n"/>
      <c r="F560" s="998" t="n"/>
      <c r="G560" s="998" t="n"/>
      <c r="H560" s="975" t="n"/>
      <c r="I560" s="975" t="n"/>
      <c r="J560" s="975" t="n"/>
      <c r="K560" s="1189">
        <f>K555=L560</f>
        <v/>
      </c>
      <c r="L560" s="491">
        <f>SUM(L555:L559)</f>
        <v/>
      </c>
      <c r="M560" s="1190" t="inlineStr">
        <is>
          <t xml:space="preserve">“Verdadero” indica que la cantidad por lote, coincide con el saldo que inicia al mes siguiente. "Falso" no coinicide. </t>
        </is>
      </c>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66">
        <f>JULIO!K561</f>
        <v/>
      </c>
      <c r="E561" s="339">
        <f>H157</f>
        <v/>
      </c>
      <c r="F561" s="338" t="n"/>
      <c r="G561" s="338" t="n"/>
      <c r="H561" s="1235">
        <f>+F561+G561</f>
        <v/>
      </c>
      <c r="I561" s="340">
        <f>+AM561</f>
        <v/>
      </c>
      <c r="J561" s="341">
        <f>+H561+I561</f>
        <v/>
      </c>
      <c r="K561" s="583">
        <f>+(D561-D564+D565)+E561-J561</f>
        <v/>
      </c>
      <c r="L561" s="253" t="n"/>
      <c r="M561" s="254" t="n"/>
      <c r="N561" s="254" t="n"/>
      <c r="O561" s="1183" t="n"/>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c r="AA561" s="648" t="n"/>
      <c r="AB561" s="649">
        <f>+Z561+AA561</f>
        <v/>
      </c>
      <c r="AC561" s="648" t="n"/>
      <c r="AD561" s="648" t="n"/>
      <c r="AE561" s="648" t="n"/>
      <c r="AF561" s="648" t="n"/>
      <c r="AG561" s="648" t="n"/>
      <c r="AH561" s="648" t="n"/>
      <c r="AI561" s="648" t="n"/>
      <c r="AJ561" s="648" t="n"/>
      <c r="AK561" s="648" t="n"/>
      <c r="AL561" s="648" t="n"/>
      <c r="AM561" s="421">
        <f>SUM(AB561:AL565)</f>
        <v/>
      </c>
      <c r="AN561" s="726" t="n"/>
      <c r="AQ561" s="1238">
        <f>IFERROR(I561/J561*100,"0")</f>
        <v/>
      </c>
      <c r="AR561" s="343">
        <f>IFERROR(1/(1-(AQ561/100)),"0")</f>
        <v/>
      </c>
      <c r="AS561" s="1239" t="n">
        <v>15</v>
      </c>
      <c r="AT561" s="345" t="n">
        <v>20</v>
      </c>
      <c r="AU561" s="1240" t="n"/>
      <c r="AV561" s="1241" t="n"/>
      <c r="AW561" s="1242">
        <f>+H561-AV561</f>
        <v/>
      </c>
    </row>
    <row r="562" ht="19.5" customHeight="1">
      <c r="A562" s="973" t="n"/>
      <c r="B562" s="971" t="n"/>
      <c r="C562" s="972" t="n"/>
      <c r="D562" s="973" t="n"/>
      <c r="E562" s="973" t="n"/>
      <c r="F562" s="994" t="n"/>
      <c r="G562" s="994" t="n"/>
      <c r="H562" s="973" t="n"/>
      <c r="I562" s="973" t="n"/>
      <c r="J562" s="973" t="n"/>
      <c r="K562" s="973" t="n"/>
      <c r="L562" s="253" t="n"/>
      <c r="M562" s="254" t="n"/>
      <c r="N562" s="254" t="n"/>
      <c r="O562" s="1183" t="n"/>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75" t="n"/>
      <c r="E563" s="973" t="n"/>
      <c r="F563" s="994" t="n"/>
      <c r="G563" s="994" t="n"/>
      <c r="H563" s="973" t="n"/>
      <c r="I563" s="973" t="n"/>
      <c r="J563" s="973" t="n"/>
      <c r="K563" s="973" t="n"/>
      <c r="L563" s="253" t="n"/>
      <c r="M563" s="254" t="n"/>
      <c r="N563" s="254" t="n"/>
      <c r="O563" s="1183" t="n"/>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c r="M564" s="254" t="n"/>
      <c r="N564" s="254" t="n"/>
      <c r="O564" s="1183" t="n"/>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inlineStr">
        <is>
          <t xml:space="preserve">“Verdadero” indica que la cantidad por lote, coincide con el saldo que inicia al mes siguiente. "Falso" no coinicide. </t>
        </is>
      </c>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66">
        <f>JULIO!K567</f>
        <v/>
      </c>
      <c r="E567" s="1244">
        <f>H163</f>
        <v/>
      </c>
      <c r="F567" s="338" t="n"/>
      <c r="G567" s="338" t="n"/>
      <c r="H567" s="1235">
        <f>+F567+G567</f>
        <v/>
      </c>
      <c r="I567" s="340">
        <f>+AM567</f>
        <v/>
      </c>
      <c r="J567" s="341">
        <f>+H567+I567</f>
        <v/>
      </c>
      <c r="K567" s="583">
        <f>(D567-D570+D571+E567)-(J567)</f>
        <v/>
      </c>
      <c r="L567" s="253" t="n"/>
      <c r="M567" s="254" t="n"/>
      <c r="N567" s="254" t="n"/>
      <c r="O567" s="1183" t="n"/>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c r="AA567" s="648" t="n"/>
      <c r="AB567" s="649">
        <f>+Z567+AA567</f>
        <v/>
      </c>
      <c r="AC567" s="648" t="n"/>
      <c r="AD567" s="648" t="n"/>
      <c r="AE567" s="648" t="n"/>
      <c r="AF567" s="648" t="n"/>
      <c r="AG567" s="648" t="n"/>
      <c r="AH567" s="648" t="n"/>
      <c r="AI567" s="648" t="n"/>
      <c r="AJ567" s="648" t="n"/>
      <c r="AK567" s="648" t="n"/>
      <c r="AL567" s="648" t="n"/>
      <c r="AM567" s="421">
        <f>SUM(AB567:AL571)</f>
        <v/>
      </c>
      <c r="AN567" s="726" t="n"/>
      <c r="AQ567" s="1238">
        <f>IFERROR(I567/J567*100,"0")</f>
        <v/>
      </c>
      <c r="AR567" s="343">
        <f>IFERROR(1/(1-(AQ567/100)),"0")</f>
        <v/>
      </c>
      <c r="AS567" s="1239" t="n">
        <v>10</v>
      </c>
      <c r="AT567" s="345" t="n">
        <v>10</v>
      </c>
      <c r="AU567" s="1240" t="n"/>
      <c r="AV567" s="1241" t="n"/>
      <c r="AW567" s="1242">
        <f>+H567-AV567</f>
        <v/>
      </c>
    </row>
    <row r="568" ht="19.5" customHeight="1">
      <c r="A568" s="973" t="n"/>
      <c r="B568" s="971" t="n"/>
      <c r="C568" s="972" t="n"/>
      <c r="D568" s="973" t="n"/>
      <c r="E568" s="973" t="n"/>
      <c r="F568" s="994" t="n"/>
      <c r="G568" s="994" t="n"/>
      <c r="H568" s="973" t="n"/>
      <c r="I568" s="973" t="n"/>
      <c r="J568" s="973" t="n"/>
      <c r="K568" s="973" t="n"/>
      <c r="L568" s="253" t="n"/>
      <c r="M568" s="254" t="n"/>
      <c r="N568" s="254" t="n"/>
      <c r="O568" s="1183" t="n"/>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75" t="n"/>
      <c r="E569" s="973" t="n"/>
      <c r="F569" s="994" t="n"/>
      <c r="G569" s="994" t="n"/>
      <c r="H569" s="973" t="n"/>
      <c r="I569" s="973" t="n"/>
      <c r="J569" s="973" t="n"/>
      <c r="K569" s="973" t="n"/>
      <c r="L569" s="253" t="n"/>
      <c r="M569" s="254" t="n"/>
      <c r="N569" s="254" t="n"/>
      <c r="O569" s="1183" t="n"/>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c r="M570" s="254" t="n"/>
      <c r="N570" s="254" t="n"/>
      <c r="O570" s="1183" t="n"/>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inlineStr">
        <is>
          <t xml:space="preserve">“Verdadero” indica que la cantidad por lote, coincide con el saldo que inicia al mes siguiente. "Falso" no coinicide. </t>
        </is>
      </c>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413">
        <f>JULIO!K573</f>
        <v/>
      </c>
      <c r="E573" s="339">
        <f>H169</f>
        <v/>
      </c>
      <c r="F573" s="338" t="n"/>
      <c r="G573" s="338" t="n"/>
      <c r="H573" s="1235">
        <f>+F573+G573</f>
        <v/>
      </c>
      <c r="I573" s="340">
        <f>+AM573</f>
        <v/>
      </c>
      <c r="J573" s="341">
        <f>+H573+I573</f>
        <v/>
      </c>
      <c r="K573" s="583">
        <f>+(D573+E573)-(J573)</f>
        <v/>
      </c>
      <c r="L573" s="253" t="n"/>
      <c r="M573" s="254" t="n"/>
      <c r="N573" s="254" t="n"/>
      <c r="O573" s="1183" t="n"/>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c r="AA573" s="648" t="n"/>
      <c r="AB573" s="649">
        <f>+Z573+AA573</f>
        <v/>
      </c>
      <c r="AC573" s="648" t="n"/>
      <c r="AD573" s="648" t="n"/>
      <c r="AE573" s="648" t="n"/>
      <c r="AF573" s="648" t="n"/>
      <c r="AG573" s="648" t="n"/>
      <c r="AH573" s="648" t="n"/>
      <c r="AI573" s="648" t="n"/>
      <c r="AJ573" s="648" t="n"/>
      <c r="AK573" s="648" t="n"/>
      <c r="AL573" s="648" t="n"/>
      <c r="AM573" s="421">
        <f>SUM(AB573:AL577)</f>
        <v/>
      </c>
      <c r="AN573" s="726" t="n"/>
      <c r="AQ573" s="1238">
        <f>IFERROR(I573/J573*100,"0")</f>
        <v/>
      </c>
      <c r="AR573" s="343">
        <f>IFERROR(1/(1-(AQ573/100)),"0")</f>
        <v/>
      </c>
      <c r="AS573" s="1239" t="n">
        <v>0</v>
      </c>
      <c r="AT573" s="345" t="n">
        <v>1</v>
      </c>
      <c r="AU573" s="1240" t="n"/>
      <c r="AV573" s="1241" t="n"/>
      <c r="AW573" s="1242">
        <f>+H573-AV573</f>
        <v/>
      </c>
    </row>
    <row r="574" ht="17.25" customHeight="1">
      <c r="A574" s="973" t="n"/>
      <c r="B574" s="971" t="n"/>
      <c r="C574" s="972" t="n"/>
      <c r="D574" s="973" t="n"/>
      <c r="E574" s="973" t="n"/>
      <c r="F574" s="994" t="n"/>
      <c r="G574" s="994" t="n"/>
      <c r="H574" s="973" t="n"/>
      <c r="I574" s="973" t="n"/>
      <c r="J574" s="973" t="n"/>
      <c r="K574" s="973" t="n"/>
      <c r="L574" s="253" t="n"/>
      <c r="M574" s="254" t="n"/>
      <c r="N574" s="254" t="n"/>
      <c r="O574" s="1183" t="n"/>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73" t="n"/>
      <c r="E575" s="973" t="n"/>
      <c r="F575" s="994" t="n"/>
      <c r="G575" s="994" t="n"/>
      <c r="H575" s="973" t="n"/>
      <c r="I575" s="973" t="n"/>
      <c r="J575" s="973" t="n"/>
      <c r="K575" s="973" t="n"/>
      <c r="L575" s="253" t="n"/>
      <c r="M575" s="254" t="n"/>
      <c r="N575" s="254" t="n"/>
      <c r="O575" s="1183" t="n"/>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73" t="n"/>
      <c r="E576" s="973" t="n"/>
      <c r="F576" s="994" t="n"/>
      <c r="G576" s="994" t="n"/>
      <c r="H576" s="973" t="n"/>
      <c r="I576" s="973" t="n"/>
      <c r="J576" s="973" t="n"/>
      <c r="K576" s="973" t="n"/>
      <c r="L576" s="253" t="n"/>
      <c r="M576" s="254" t="n"/>
      <c r="N576" s="254" t="n"/>
      <c r="O576" s="1183" t="n"/>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73" t="n"/>
      <c r="E577" s="973" t="n"/>
      <c r="F577" s="994" t="n"/>
      <c r="G577" s="994" t="n"/>
      <c r="H577" s="973" t="n"/>
      <c r="I577" s="973" t="n"/>
      <c r="J577" s="973" t="n"/>
      <c r="K577" s="975" t="n"/>
      <c r="L577" s="253" t="n"/>
      <c r="M577" s="254" t="n"/>
      <c r="N577" s="254" t="n"/>
      <c r="O577" s="1183" t="n"/>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75" t="n"/>
      <c r="E578" s="975" t="n"/>
      <c r="F578" s="998" t="n"/>
      <c r="G578" s="998" t="n"/>
      <c r="H578" s="975" t="n"/>
      <c r="I578" s="975" t="n"/>
      <c r="J578" s="975" t="n"/>
      <c r="K578" s="1189">
        <f>K573=L578</f>
        <v/>
      </c>
      <c r="L578" s="491">
        <f>SUM(L573:L577)</f>
        <v/>
      </c>
      <c r="M578" s="1190" t="inlineStr">
        <is>
          <t xml:space="preserve">“Verdadero” indica que la cantidad por lote, coincide con el saldo que inicia al mes siguiente. "Falso" no coinicide. </t>
        </is>
      </c>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413">
        <f>JULIO!K579</f>
        <v/>
      </c>
      <c r="E579" s="339">
        <f>H175</f>
        <v/>
      </c>
      <c r="F579" s="338" t="n"/>
      <c r="G579" s="338" t="n"/>
      <c r="H579" s="1235">
        <f>+F579+G579</f>
        <v/>
      </c>
      <c r="I579" s="340">
        <f>+AM579</f>
        <v/>
      </c>
      <c r="J579" s="341">
        <f>+H579+I579</f>
        <v/>
      </c>
      <c r="K579" s="583">
        <f>+(D579+E579)-(J579)</f>
        <v/>
      </c>
      <c r="L579" s="253" t="n"/>
      <c r="M579" s="254" t="n"/>
      <c r="N579" s="254" t="n"/>
      <c r="O579" s="1183" t="n"/>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c r="AA579" s="648" t="n"/>
      <c r="AB579" s="649">
        <f>+Z579+AA579</f>
        <v/>
      </c>
      <c r="AC579" s="648" t="n"/>
      <c r="AD579" s="648" t="n"/>
      <c r="AE579" s="648" t="n"/>
      <c r="AF579" s="648" t="n"/>
      <c r="AG579" s="648" t="n"/>
      <c r="AH579" s="648" t="n"/>
      <c r="AI579" s="648" t="n"/>
      <c r="AJ579" s="648" t="n"/>
      <c r="AK579" s="648" t="n"/>
      <c r="AL579" s="648" t="n"/>
      <c r="AM579" s="421">
        <f>SUM(AB579:AL583)</f>
        <v/>
      </c>
      <c r="AN579" s="726" t="n"/>
      <c r="AQ579" s="1238">
        <f>IFERROR(I579/J579*100,"0")</f>
        <v/>
      </c>
      <c r="AR579" s="343">
        <f>IFERROR(1/(1-(AQ579/100)),"0")</f>
        <v/>
      </c>
      <c r="AS579" s="1239" t="n">
        <v>0</v>
      </c>
      <c r="AT579" s="345" t="n">
        <v>1</v>
      </c>
      <c r="AU579" s="1240" t="n"/>
      <c r="AV579" s="1241" t="n"/>
      <c r="AW579" s="1242">
        <f>+H579-AV579</f>
        <v/>
      </c>
    </row>
    <row r="580" ht="17.25" customHeight="1">
      <c r="A580" s="973" t="n"/>
      <c r="B580" s="971" t="n"/>
      <c r="C580" s="972" t="n"/>
      <c r="D580" s="973" t="n"/>
      <c r="E580" s="973" t="n"/>
      <c r="F580" s="994" t="n"/>
      <c r="G580" s="994" t="n"/>
      <c r="H580" s="973" t="n"/>
      <c r="I580" s="973" t="n"/>
      <c r="J580" s="973" t="n"/>
      <c r="K580" s="973" t="n"/>
      <c r="L580" s="253" t="n"/>
      <c r="M580" s="254" t="n"/>
      <c r="N580" s="254" t="n"/>
      <c r="O580" s="1183" t="n"/>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73" t="n"/>
      <c r="E581" s="973" t="n"/>
      <c r="F581" s="994" t="n"/>
      <c r="G581" s="994" t="n"/>
      <c r="H581" s="973" t="n"/>
      <c r="I581" s="973" t="n"/>
      <c r="J581" s="973" t="n"/>
      <c r="K581" s="973" t="n"/>
      <c r="L581" s="253" t="n"/>
      <c r="M581" s="254" t="n"/>
      <c r="N581" s="254" t="n"/>
      <c r="O581" s="1183" t="n"/>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73" t="n"/>
      <c r="E582" s="973" t="n"/>
      <c r="F582" s="994" t="n"/>
      <c r="G582" s="994" t="n"/>
      <c r="H582" s="973" t="n"/>
      <c r="I582" s="973" t="n"/>
      <c r="J582" s="973" t="n"/>
      <c r="K582" s="973" t="n"/>
      <c r="L582" s="253" t="n"/>
      <c r="M582" s="254" t="n"/>
      <c r="N582" s="254" t="n"/>
      <c r="O582" s="1183" t="n"/>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73"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75" t="n"/>
      <c r="E584" s="975" t="n"/>
      <c r="F584" s="998" t="n"/>
      <c r="G584" s="998" t="n"/>
      <c r="H584" s="975" t="n"/>
      <c r="I584" s="975" t="n"/>
      <c r="J584" s="975" t="n"/>
      <c r="K584" s="1189">
        <f>K579=L584</f>
        <v/>
      </c>
      <c r="L584" s="491">
        <f>SUM(L579:L583)</f>
        <v/>
      </c>
      <c r="M584" s="1190" t="inlineStr">
        <is>
          <t xml:space="preserve">“Verdadero” indica que la cantidad por lote, coincide con el saldo que inicia al mes siguiente. "Falso" no coinicide. </t>
        </is>
      </c>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413">
        <f>JULIO!K585</f>
        <v/>
      </c>
      <c r="E585" s="339">
        <f>H181</f>
        <v/>
      </c>
      <c r="F585" s="338" t="n"/>
      <c r="G585" s="338" t="n"/>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c r="AA585" s="648" t="n"/>
      <c r="AB585" s="649">
        <f>+Z585+AA585</f>
        <v/>
      </c>
      <c r="AC585" s="648" t="n"/>
      <c r="AD585" s="648" t="n"/>
      <c r="AE585" s="648" t="n"/>
      <c r="AF585" s="648" t="n"/>
      <c r="AG585" s="648" t="n"/>
      <c r="AH585" s="648" t="n"/>
      <c r="AI585" s="648" t="n"/>
      <c r="AJ585" s="648" t="n"/>
      <c r="AK585" s="648" t="n"/>
      <c r="AL585" s="648" t="n"/>
      <c r="AM585" s="421">
        <f>SUM(AB585:AL589)</f>
        <v/>
      </c>
      <c r="AN585" s="726" t="n"/>
      <c r="AQ585" s="1238">
        <f>IFERROR(I585/J585*100,"0")</f>
        <v/>
      </c>
      <c r="AR585" s="343">
        <f>IFERROR(1/(1-(AQ585/100)),"0")</f>
        <v/>
      </c>
      <c r="AS585" s="1239" t="n">
        <v>0</v>
      </c>
      <c r="AT585" s="345" t="n">
        <v>1</v>
      </c>
      <c r="AU585" s="1240" t="n"/>
      <c r="AV585" s="1241" t="n"/>
      <c r="AW585" s="1242">
        <f>+H585-AV585</f>
        <v/>
      </c>
    </row>
    <row r="586" ht="17.25" customHeight="1">
      <c r="A586" s="973" t="n"/>
      <c r="B586" s="971" t="n"/>
      <c r="C586" s="972" t="n"/>
      <c r="D586" s="973"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73"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73"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73"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75" t="n"/>
      <c r="E590" s="975" t="n"/>
      <c r="F590" s="998" t="n"/>
      <c r="G590" s="998" t="n"/>
      <c r="H590" s="975" t="n"/>
      <c r="I590" s="975" t="n"/>
      <c r="J590" s="975" t="n"/>
      <c r="K590" s="1189">
        <f>K585=L590</f>
        <v/>
      </c>
      <c r="L590" s="491">
        <f>SUM(L585:L589)</f>
        <v/>
      </c>
      <c r="M590" s="1190" t="inlineStr">
        <is>
          <t xml:space="preserve">“Verdadero” indica que la cantidad por lote, coincide con el saldo que inicia al mes siguiente. "Falso" no coinicide. </t>
        </is>
      </c>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413">
        <f>JULIO!K591</f>
        <v/>
      </c>
      <c r="E591" s="339">
        <f>H187</f>
        <v/>
      </c>
      <c r="F591" s="338" t="n"/>
      <c r="G591" s="338" t="n"/>
      <c r="H591" s="1235">
        <f>+F591+G591</f>
        <v/>
      </c>
      <c r="I591" s="340">
        <f>+AM591</f>
        <v/>
      </c>
      <c r="J591" s="341">
        <f>+H591+I591</f>
        <v/>
      </c>
      <c r="K591" s="583">
        <f>+(D591+E591)-(J591)</f>
        <v/>
      </c>
      <c r="L591" s="253" t="n"/>
      <c r="M591" s="254" t="n"/>
      <c r="N591" s="254" t="n"/>
      <c r="O591" s="1183" t="n"/>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c r="AA591" s="648" t="n"/>
      <c r="AB591" s="649">
        <f>+Z591+AA591</f>
        <v/>
      </c>
      <c r="AC591" s="648" t="n"/>
      <c r="AD591" s="648" t="n"/>
      <c r="AE591" s="648" t="n"/>
      <c r="AF591" s="648" t="n"/>
      <c r="AG591" s="648" t="n"/>
      <c r="AH591" s="648" t="n"/>
      <c r="AI591" s="648" t="n"/>
      <c r="AJ591" s="648" t="n"/>
      <c r="AK591" s="648" t="n"/>
      <c r="AL591" s="648" t="n"/>
      <c r="AM591" s="421">
        <f>SUM(AB591:AL595)</f>
        <v/>
      </c>
      <c r="AN591" s="726" t="n"/>
      <c r="AQ591" s="1238">
        <f>IFERROR(I591/J591*100,"0")</f>
        <v/>
      </c>
      <c r="AR591" s="343">
        <f>IFERROR(1/(1-(AQ591/100)),"0")</f>
        <v/>
      </c>
      <c r="AS591" s="1239" t="n">
        <v>0</v>
      </c>
      <c r="AT591" s="345" t="n">
        <v>1</v>
      </c>
      <c r="AU591" s="1240" t="n"/>
      <c r="AV591" s="1241" t="n"/>
      <c r="AW591" s="1242">
        <f>+H591-AV591</f>
        <v/>
      </c>
    </row>
    <row r="592" ht="17.25" customHeight="1">
      <c r="A592" s="973" t="n"/>
      <c r="B592" s="971" t="n"/>
      <c r="C592" s="972" t="n"/>
      <c r="D592" s="973" t="n"/>
      <c r="E592" s="973" t="n"/>
      <c r="F592" s="994" t="n"/>
      <c r="G592" s="994" t="n"/>
      <c r="H592" s="973" t="n"/>
      <c r="I592" s="973" t="n"/>
      <c r="J592" s="973" t="n"/>
      <c r="K592" s="973" t="n"/>
      <c r="L592" s="253" t="n"/>
      <c r="M592" s="254" t="n"/>
      <c r="N592" s="254" t="n"/>
      <c r="O592" s="1183" t="n"/>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73" t="n"/>
      <c r="E593" s="973" t="n"/>
      <c r="F593" s="994" t="n"/>
      <c r="G593" s="994" t="n"/>
      <c r="H593" s="973" t="n"/>
      <c r="I593" s="973" t="n"/>
      <c r="J593" s="973" t="n"/>
      <c r="K593" s="973" t="n"/>
      <c r="L593" s="253" t="n"/>
      <c r="M593" s="254" t="n"/>
      <c r="N593" s="254" t="n"/>
      <c r="O593" s="1183" t="n"/>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73" t="n"/>
      <c r="E594" s="973" t="n"/>
      <c r="F594" s="994" t="n"/>
      <c r="G594" s="994" t="n"/>
      <c r="H594" s="973" t="n"/>
      <c r="I594" s="973" t="n"/>
      <c r="J594" s="973" t="n"/>
      <c r="K594" s="973" t="n"/>
      <c r="L594" s="253" t="n"/>
      <c r="M594" s="254" t="n"/>
      <c r="N594" s="254" t="n"/>
      <c r="O594" s="1183" t="n"/>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73" t="n"/>
      <c r="E595" s="973" t="n"/>
      <c r="F595" s="994" t="n"/>
      <c r="G595" s="994" t="n"/>
      <c r="H595" s="973" t="n"/>
      <c r="I595" s="973" t="n"/>
      <c r="J595" s="973" t="n"/>
      <c r="K595" s="975" t="n"/>
      <c r="L595" s="253" t="n"/>
      <c r="M595" s="254" t="n"/>
      <c r="N595" s="254" t="n"/>
      <c r="O595" s="1183" t="n"/>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75" t="n"/>
      <c r="E596" s="975" t="n"/>
      <c r="F596" s="998" t="n"/>
      <c r="G596" s="998" t="n"/>
      <c r="H596" s="975" t="n"/>
      <c r="I596" s="975" t="n"/>
      <c r="J596" s="975" t="n"/>
      <c r="K596" s="1189">
        <f>K591=L596</f>
        <v/>
      </c>
      <c r="L596" s="491">
        <f>SUM(L591:L595)</f>
        <v/>
      </c>
      <c r="M596" s="1190" t="inlineStr">
        <is>
          <t xml:space="preserve">“Verdadero” indica que la cantidad por lote, coincide con el saldo que inicia al mes siguiente. "Falso" no coinicide. </t>
        </is>
      </c>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413">
        <f>JULIO!K597</f>
        <v/>
      </c>
      <c r="E597" s="339">
        <f>H193</f>
        <v/>
      </c>
      <c r="F597" s="338" t="n"/>
      <c r="G597" s="338" t="n"/>
      <c r="H597" s="1235">
        <f>+F597+G597</f>
        <v/>
      </c>
      <c r="I597" s="340">
        <f>+AM597</f>
        <v/>
      </c>
      <c r="J597" s="341">
        <f>+H597+I597</f>
        <v/>
      </c>
      <c r="K597" s="583">
        <f>+(D597+E597)-(J597)</f>
        <v/>
      </c>
      <c r="L597" s="253" t="n"/>
      <c r="M597" s="254" t="n"/>
      <c r="N597" s="254" t="n"/>
      <c r="O597" s="1183" t="n"/>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c r="AA597" s="648" t="n"/>
      <c r="AB597" s="649">
        <f>+Z597+AA597</f>
        <v/>
      </c>
      <c r="AC597" s="648" t="n"/>
      <c r="AD597" s="648" t="n"/>
      <c r="AE597" s="648" t="n"/>
      <c r="AF597" s="648" t="n"/>
      <c r="AG597" s="648" t="n"/>
      <c r="AH597" s="648" t="n"/>
      <c r="AI597" s="648" t="n"/>
      <c r="AJ597" s="648" t="n"/>
      <c r="AK597" s="648" t="n"/>
      <c r="AL597" s="648" t="n"/>
      <c r="AM597" s="421">
        <f>SUM(AB597:AL601)</f>
        <v/>
      </c>
      <c r="AN597" s="726" t="n"/>
      <c r="AQ597" s="1238">
        <f>IFERROR(I597/J597*100,"0")</f>
        <v/>
      </c>
      <c r="AR597" s="343">
        <f>IFERROR(1/(1-(AQ597/100)),"0")</f>
        <v/>
      </c>
      <c r="AS597" s="1239" t="n">
        <v>0</v>
      </c>
      <c r="AT597" s="345" t="n">
        <v>1</v>
      </c>
      <c r="AU597" s="1240" t="n"/>
      <c r="AV597" s="1241" t="n"/>
      <c r="AW597" s="1242">
        <f>+H597-AV597</f>
        <v/>
      </c>
    </row>
    <row r="598" ht="17.25" customHeight="1">
      <c r="A598" s="973" t="n"/>
      <c r="B598" s="971" t="n"/>
      <c r="C598" s="972" t="n"/>
      <c r="D598" s="973" t="n"/>
      <c r="E598" s="973" t="n"/>
      <c r="F598" s="994" t="n"/>
      <c r="G598" s="994" t="n"/>
      <c r="H598" s="973" t="n"/>
      <c r="I598" s="973" t="n"/>
      <c r="J598" s="973" t="n"/>
      <c r="K598" s="973" t="n"/>
      <c r="L598" s="253" t="n"/>
      <c r="M598" s="254" t="n"/>
      <c r="N598" s="254" t="n"/>
      <c r="O598" s="1183" t="n"/>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73" t="n"/>
      <c r="E599" s="973" t="n"/>
      <c r="F599" s="994" t="n"/>
      <c r="G599" s="994" t="n"/>
      <c r="H599" s="973" t="n"/>
      <c r="I599" s="973" t="n"/>
      <c r="J599" s="973" t="n"/>
      <c r="K599" s="973" t="n"/>
      <c r="L599" s="253" t="n"/>
      <c r="M599" s="254" t="n"/>
      <c r="N599" s="254" t="n"/>
      <c r="O599" s="1183" t="n"/>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73"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73"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75" t="n"/>
      <c r="E602" s="975" t="n"/>
      <c r="F602" s="998" t="n"/>
      <c r="G602" s="998" t="n"/>
      <c r="H602" s="975" t="n"/>
      <c r="I602" s="975" t="n"/>
      <c r="J602" s="975" t="n"/>
      <c r="K602" s="1189">
        <f>K597=L602</f>
        <v/>
      </c>
      <c r="L602" s="491">
        <f>SUM(L597:L601)</f>
        <v/>
      </c>
      <c r="M602" s="1190" t="inlineStr">
        <is>
          <t xml:space="preserve">“Verdadero” indica que la cantidad por lote, coincide con el saldo que inicia al mes siguiente. "Falso" no coinicide. </t>
        </is>
      </c>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413">
        <f>JULIO!K603</f>
        <v/>
      </c>
      <c r="E603" s="339">
        <f>H199</f>
        <v/>
      </c>
      <c r="F603" s="338" t="n"/>
      <c r="G603" s="338" t="n"/>
      <c r="H603" s="1235">
        <f>+F603+G603</f>
        <v/>
      </c>
      <c r="I603" s="340">
        <f>+AM603</f>
        <v/>
      </c>
      <c r="J603" s="341">
        <f>+H603+I603</f>
        <v/>
      </c>
      <c r="K603" s="583">
        <f>+(D603+E603)-(J603)</f>
        <v/>
      </c>
      <c r="L603" s="253" t="n"/>
      <c r="M603" s="254" t="n"/>
      <c r="N603" s="254" t="n"/>
      <c r="O603" s="1183" t="n"/>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c r="AA603" s="648" t="n"/>
      <c r="AB603" s="649">
        <f>+Z603+AA603</f>
        <v/>
      </c>
      <c r="AC603" s="648" t="n"/>
      <c r="AD603" s="648" t="n"/>
      <c r="AE603" s="648" t="n"/>
      <c r="AF603" s="648" t="n"/>
      <c r="AG603" s="648" t="n"/>
      <c r="AH603" s="648" t="n"/>
      <c r="AI603" s="648" t="n"/>
      <c r="AJ603" s="648" t="n"/>
      <c r="AK603" s="648" t="n"/>
      <c r="AL603" s="648" t="n"/>
      <c r="AM603" s="421">
        <f>SUM(AB603:AL607)</f>
        <v/>
      </c>
      <c r="AN603" s="726" t="n"/>
      <c r="AQ603" s="1238">
        <f>IFERROR(I603/J603*100,"0")</f>
        <v/>
      </c>
      <c r="AR603" s="343">
        <f>IFERROR(1/(1-(AQ603/100)),"0")</f>
        <v/>
      </c>
      <c r="AS603" s="1239" t="n">
        <v>0</v>
      </c>
      <c r="AT603" s="345" t="n">
        <v>1</v>
      </c>
      <c r="AU603" s="1240" t="n"/>
      <c r="AV603" s="1241" t="n"/>
      <c r="AW603" s="1242">
        <f>+H603-AV603</f>
        <v/>
      </c>
    </row>
    <row r="604" ht="17.25" customHeight="1">
      <c r="A604" s="973" t="n"/>
      <c r="B604" s="971" t="n"/>
      <c r="C604" s="972" t="n"/>
      <c r="D604" s="973" t="n"/>
      <c r="E604" s="973" t="n"/>
      <c r="F604" s="994" t="n"/>
      <c r="G604" s="994" t="n"/>
      <c r="H604" s="973" t="n"/>
      <c r="I604" s="973" t="n"/>
      <c r="J604" s="973" t="n"/>
      <c r="K604" s="973" t="n"/>
      <c r="L604" s="253" t="n"/>
      <c r="M604" s="254" t="n"/>
      <c r="N604" s="254" t="n"/>
      <c r="O604" s="1183" t="n"/>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73" t="n"/>
      <c r="E605" s="973" t="n"/>
      <c r="F605" s="994" t="n"/>
      <c r="G605" s="994" t="n"/>
      <c r="H605" s="973" t="n"/>
      <c r="I605" s="973" t="n"/>
      <c r="J605" s="973" t="n"/>
      <c r="K605" s="973" t="n"/>
      <c r="L605" s="253" t="n"/>
      <c r="M605" s="254" t="n"/>
      <c r="N605" s="254" t="n"/>
      <c r="O605" s="1183" t="n"/>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73" t="n"/>
      <c r="E606" s="973" t="n"/>
      <c r="F606" s="994" t="n"/>
      <c r="G606" s="994" t="n"/>
      <c r="H606" s="973" t="n"/>
      <c r="I606" s="973" t="n"/>
      <c r="J606" s="973" t="n"/>
      <c r="K606" s="973" t="n"/>
      <c r="L606" s="253" t="n"/>
      <c r="M606" s="254" t="n"/>
      <c r="N606" s="254" t="n"/>
      <c r="O606" s="1183" t="n"/>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73"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75" t="n"/>
      <c r="E608" s="975" t="n"/>
      <c r="F608" s="998" t="n"/>
      <c r="G608" s="998" t="n"/>
      <c r="H608" s="975" t="n"/>
      <c r="I608" s="975" t="n"/>
      <c r="J608" s="975" t="n"/>
      <c r="K608" s="1189">
        <f>K603=L608</f>
        <v/>
      </c>
      <c r="L608" s="491">
        <f>SUM(L603:L607)</f>
        <v/>
      </c>
      <c r="M608" s="1190" t="inlineStr">
        <is>
          <t xml:space="preserve">“Verdadero” indica que la cantidad por lote, coincide con el saldo que inicia al mes siguiente. "Falso" no coinicide. </t>
        </is>
      </c>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413">
        <f>JULIO!K609</f>
        <v/>
      </c>
      <c r="E609" s="339">
        <f>H205</f>
        <v/>
      </c>
      <c r="F609" s="338" t="n"/>
      <c r="G609" s="338" t="n"/>
      <c r="H609" s="1235">
        <f>+F609+G609</f>
        <v/>
      </c>
      <c r="I609" s="340">
        <f>+AM609</f>
        <v/>
      </c>
      <c r="J609" s="341">
        <f>+H609+I609</f>
        <v/>
      </c>
      <c r="K609" s="583">
        <f>+(D609+E609)-(J609)</f>
        <v/>
      </c>
      <c r="L609" s="253" t="n"/>
      <c r="M609" s="254" t="n"/>
      <c r="N609" s="254" t="n"/>
      <c r="O609" s="1183" t="n"/>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c r="AA609" s="648" t="n"/>
      <c r="AB609" s="649">
        <f>+Z609+AA609</f>
        <v/>
      </c>
      <c r="AC609" s="648" t="n"/>
      <c r="AD609" s="648" t="n"/>
      <c r="AE609" s="648" t="n"/>
      <c r="AF609" s="648" t="n"/>
      <c r="AG609" s="648" t="n"/>
      <c r="AH609" s="648" t="n"/>
      <c r="AI609" s="648" t="n"/>
      <c r="AJ609" s="648" t="n"/>
      <c r="AK609" s="648" t="n"/>
      <c r="AL609" s="648" t="n"/>
      <c r="AM609" s="421">
        <f>SUM(AB609:AL613)</f>
        <v/>
      </c>
      <c r="AN609" s="726" t="n"/>
      <c r="AQ609" s="1238">
        <f>IFERROR(I609/J609*100,"0")</f>
        <v/>
      </c>
      <c r="AR609" s="343">
        <f>IFERROR(1/(1-(AQ609/100)),"0")</f>
        <v/>
      </c>
      <c r="AS609" s="1239" t="n">
        <v>0</v>
      </c>
      <c r="AT609" s="345" t="n">
        <v>1</v>
      </c>
      <c r="AU609" s="1240" t="n"/>
      <c r="AV609" s="1241" t="n"/>
      <c r="AW609" s="1242">
        <f>+H609-AV609</f>
        <v/>
      </c>
    </row>
    <row r="610" ht="17.25" customHeight="1">
      <c r="A610" s="973" t="n"/>
      <c r="B610" s="971" t="n"/>
      <c r="C610" s="972" t="n"/>
      <c r="D610" s="973" t="n"/>
      <c r="E610" s="973" t="n"/>
      <c r="F610" s="994" t="n"/>
      <c r="G610" s="994" t="n"/>
      <c r="H610" s="973" t="n"/>
      <c r="I610" s="973" t="n"/>
      <c r="J610" s="973" t="n"/>
      <c r="K610" s="973" t="n"/>
      <c r="L610" s="253" t="n"/>
      <c r="M610" s="254" t="n"/>
      <c r="N610" s="254" t="n"/>
      <c r="O610" s="1183" t="n"/>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73" t="n"/>
      <c r="E611" s="973" t="n"/>
      <c r="F611" s="994" t="n"/>
      <c r="G611" s="994" t="n"/>
      <c r="H611" s="973" t="n"/>
      <c r="I611" s="973" t="n"/>
      <c r="J611" s="973" t="n"/>
      <c r="K611" s="973" t="n"/>
      <c r="L611" s="253" t="n"/>
      <c r="M611" s="254" t="n"/>
      <c r="N611" s="254" t="n"/>
      <c r="O611" s="1183" t="n"/>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73" t="n"/>
      <c r="E612" s="973" t="n"/>
      <c r="F612" s="994" t="n"/>
      <c r="G612" s="994" t="n"/>
      <c r="H612" s="973" t="n"/>
      <c r="I612" s="973" t="n"/>
      <c r="J612" s="973" t="n"/>
      <c r="K612" s="973" t="n"/>
      <c r="L612" s="253" t="n"/>
      <c r="M612" s="254" t="n"/>
      <c r="N612" s="254" t="n"/>
      <c r="O612" s="1183" t="n"/>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73" t="n"/>
      <c r="E613" s="973" t="n"/>
      <c r="F613" s="994" t="n"/>
      <c r="G613" s="994" t="n"/>
      <c r="H613" s="973" t="n"/>
      <c r="I613" s="973" t="n"/>
      <c r="J613" s="973" t="n"/>
      <c r="K613" s="975" t="n"/>
      <c r="L613" s="253" t="n"/>
      <c r="M613" s="254" t="n"/>
      <c r="N613" s="254" t="n"/>
      <c r="O613" s="1183" t="n"/>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75" t="n"/>
      <c r="E614" s="975" t="n"/>
      <c r="F614" s="998" t="n"/>
      <c r="G614" s="998" t="n"/>
      <c r="H614" s="975" t="n"/>
      <c r="I614" s="975" t="n"/>
      <c r="J614" s="975" t="n"/>
      <c r="K614" s="1189">
        <f>K609=L614</f>
        <v/>
      </c>
      <c r="L614" s="491">
        <f>SUM(L609:L613)</f>
        <v/>
      </c>
      <c r="M614" s="1190" t="inlineStr">
        <is>
          <t xml:space="preserve">“Verdadero” indica que la cantidad por lote, coincide con el saldo que inicia al mes siguiente. "Falso" no coinicide. </t>
        </is>
      </c>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413">
        <f>JULIO!K615</f>
        <v/>
      </c>
      <c r="E615" s="339">
        <f>H211</f>
        <v/>
      </c>
      <c r="F615" s="338" t="n"/>
      <c r="G615" s="338" t="n"/>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c r="AA615" s="648" t="n"/>
      <c r="AB615" s="649">
        <f>+Z615+AA615</f>
        <v/>
      </c>
      <c r="AC615" s="648" t="n"/>
      <c r="AD615" s="648" t="n"/>
      <c r="AE615" s="648" t="n"/>
      <c r="AF615" s="648" t="n"/>
      <c r="AG615" s="648" t="n"/>
      <c r="AH615" s="648" t="n"/>
      <c r="AI615" s="648" t="n"/>
      <c r="AJ615" s="648" t="n"/>
      <c r="AK615" s="648" t="n"/>
      <c r="AL615" s="648" t="n"/>
      <c r="AM615" s="421">
        <f>SUM(AB615:AL619)</f>
        <v/>
      </c>
      <c r="AN615" s="726" t="n"/>
      <c r="AQ615" s="1238">
        <f>IFERROR(I615/J615*100,"0")</f>
        <v/>
      </c>
      <c r="AR615" s="343">
        <f>IFERROR(1/(1-(AQ615/100)),"0")</f>
        <v/>
      </c>
      <c r="AS615" s="1239" t="n">
        <v>0</v>
      </c>
      <c r="AT615" s="345" t="n">
        <v>1</v>
      </c>
      <c r="AU615" s="1240" t="n"/>
      <c r="AV615" s="1241" t="n"/>
      <c r="AW615" s="1242">
        <f>+H615-AV615</f>
        <v/>
      </c>
    </row>
    <row r="616" ht="17.25" customHeight="1">
      <c r="A616" s="973" t="n"/>
      <c r="B616" s="971" t="n"/>
      <c r="C616" s="972" t="n"/>
      <c r="D616" s="973"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73"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73"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73"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75" t="n"/>
      <c r="E620" s="975" t="n"/>
      <c r="F620" s="998" t="n"/>
      <c r="G620" s="998" t="n"/>
      <c r="H620" s="975" t="n"/>
      <c r="I620" s="975" t="n"/>
      <c r="J620" s="975" t="n"/>
      <c r="K620" s="1189">
        <f>K615=L620</f>
        <v/>
      </c>
      <c r="L620" s="491">
        <f>SUM(L615:L619)</f>
        <v/>
      </c>
      <c r="M620" s="1190" t="inlineStr">
        <is>
          <t xml:space="preserve">“Verdadero” indica que la cantidad por lote, coincide con el saldo que inicia al mes siguiente. "Falso" no coinicide. </t>
        </is>
      </c>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413">
        <f>JULIO!K621</f>
        <v/>
      </c>
      <c r="E621" s="339">
        <f>H217</f>
        <v/>
      </c>
      <c r="F621" s="338" t="n"/>
      <c r="G621" s="338" t="n"/>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c r="AA621" s="648" t="n"/>
      <c r="AB621" s="649">
        <f>+Z621+AA621</f>
        <v/>
      </c>
      <c r="AC621" s="648" t="n"/>
      <c r="AD621" s="648" t="n"/>
      <c r="AE621" s="648" t="n"/>
      <c r="AF621" s="648" t="n"/>
      <c r="AG621" s="648" t="n"/>
      <c r="AH621" s="648" t="n"/>
      <c r="AI621" s="648" t="n"/>
      <c r="AJ621" s="648" t="n"/>
      <c r="AK621" s="648" t="n"/>
      <c r="AL621" s="648" t="n"/>
      <c r="AM621" s="421">
        <f>SUM(AB621:AL625)</f>
        <v/>
      </c>
      <c r="AN621" s="726" t="n"/>
      <c r="AQ621" s="1238">
        <f>IFERROR(I621/J621*100,"0")</f>
        <v/>
      </c>
      <c r="AR621" s="343">
        <f>IFERROR(1/(1-(AQ621/100)),"0")</f>
        <v/>
      </c>
      <c r="AS621" s="1239" t="n">
        <v>0</v>
      </c>
      <c r="AT621" s="345" t="n">
        <v>1</v>
      </c>
      <c r="AU621" s="1240" t="n"/>
      <c r="AV621" s="1241" t="n"/>
      <c r="AW621" s="1242">
        <f>+H621-AV621</f>
        <v/>
      </c>
    </row>
    <row r="622" ht="17.25" customHeight="1">
      <c r="A622" s="973" t="n"/>
      <c r="B622" s="971" t="n"/>
      <c r="C622" s="972" t="n"/>
      <c r="D622" s="973"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73"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73"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73"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75" t="n"/>
      <c r="E626" s="975" t="n"/>
      <c r="F626" s="998" t="n"/>
      <c r="G626" s="998" t="n"/>
      <c r="H626" s="975" t="n"/>
      <c r="I626" s="975" t="n"/>
      <c r="J626" s="975" t="n"/>
      <c r="K626" s="1189">
        <f>K621=L626</f>
        <v/>
      </c>
      <c r="L626" s="491">
        <f>SUM(L621:L625)</f>
        <v/>
      </c>
      <c r="M626" s="1190" t="inlineStr">
        <is>
          <t xml:space="preserve">“Verdadero” indica que la cantidad por lote, coincide con el saldo que inicia al mes siguiente. "Falso" no coinicide. </t>
        </is>
      </c>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413">
        <f>JULIO!K627</f>
        <v/>
      </c>
      <c r="E627" s="339">
        <f>H223</f>
        <v/>
      </c>
      <c r="F627" s="338" t="n"/>
      <c r="G627" s="338" t="n"/>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c r="AA627" s="648" t="n"/>
      <c r="AB627" s="649">
        <f>+Z627+AA627</f>
        <v/>
      </c>
      <c r="AC627" s="648" t="n"/>
      <c r="AD627" s="648" t="n"/>
      <c r="AE627" s="648" t="n"/>
      <c r="AF627" s="648" t="n"/>
      <c r="AG627" s="648" t="n"/>
      <c r="AH627" s="648" t="n"/>
      <c r="AI627" s="648" t="n"/>
      <c r="AJ627" s="648" t="n"/>
      <c r="AK627" s="648" t="n"/>
      <c r="AL627" s="648" t="n"/>
      <c r="AM627" s="421">
        <f>SUM(AB627:AL631)</f>
        <v/>
      </c>
      <c r="AN627" s="726" t="n"/>
      <c r="AQ627" s="1238">
        <f>IFERROR(I627/J627*100,"0")</f>
        <v/>
      </c>
      <c r="AR627" s="343">
        <f>IFERROR(1/(1-(AQ627/100)),"0")</f>
        <v/>
      </c>
      <c r="AS627" s="1239" t="n">
        <v>0</v>
      </c>
      <c r="AT627" s="345" t="n">
        <v>1</v>
      </c>
      <c r="AU627" s="1240" t="n"/>
      <c r="AV627" s="1241" t="n"/>
      <c r="AW627" s="1242">
        <f>+H627-AV627</f>
        <v/>
      </c>
    </row>
    <row r="628" ht="17.25" customHeight="1">
      <c r="A628" s="973" t="n"/>
      <c r="B628" s="971" t="n"/>
      <c r="C628" s="972" t="n"/>
      <c r="D628" s="973"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73"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73"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73"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75" t="n"/>
      <c r="E632" s="975" t="n"/>
      <c r="F632" s="998" t="n"/>
      <c r="G632" s="998" t="n"/>
      <c r="H632" s="975" t="n"/>
      <c r="I632" s="975" t="n"/>
      <c r="J632" s="975" t="n"/>
      <c r="K632" s="1189">
        <f>K627=L632</f>
        <v/>
      </c>
      <c r="L632" s="491">
        <f>SUM(L627:L631)</f>
        <v/>
      </c>
      <c r="M632" s="1190" t="inlineStr">
        <is>
          <t xml:space="preserve">“Verdadero” indica que la cantidad por lote, coincide con el saldo que inicia al mes siguiente. "Falso" no coinicide. </t>
        </is>
      </c>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647"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413">
        <f>JULIO!K634</f>
        <v/>
      </c>
      <c r="E634" s="339">
        <f>H230</f>
        <v/>
      </c>
      <c r="F634" s="338" t="n">
        <v>5</v>
      </c>
      <c r="G634" s="338" t="n">
        <v>0</v>
      </c>
      <c r="H634" s="1235">
        <f>+F634+G634</f>
        <v/>
      </c>
      <c r="I634" s="340">
        <f>+AM634</f>
        <v/>
      </c>
      <c r="J634" s="341">
        <f>+H634+I634</f>
        <v/>
      </c>
      <c r="K634" s="583">
        <f>+(D634+E634)-(J634)</f>
        <v/>
      </c>
      <c r="L634" s="253" t="n">
        <v>150</v>
      </c>
      <c r="M634" s="254" t="inlineStr">
        <is>
          <t>0704S4001</t>
        </is>
      </c>
      <c r="N634" s="254" t="n"/>
      <c r="O634" s="1183" t="n">
        <v>46752</v>
      </c>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v>45</v>
      </c>
      <c r="AA634" s="648" t="n">
        <v>0</v>
      </c>
      <c r="AB634" s="649">
        <f>+Z634+AA634</f>
        <v/>
      </c>
      <c r="AC634" s="648" t="n">
        <v>0</v>
      </c>
      <c r="AD634" s="648" t="n">
        <v>0</v>
      </c>
      <c r="AE634" s="648" t="n">
        <v>0</v>
      </c>
      <c r="AF634" s="648" t="n">
        <v>0</v>
      </c>
      <c r="AG634" s="648" t="n">
        <v>0</v>
      </c>
      <c r="AH634" s="648" t="n">
        <v>0</v>
      </c>
      <c r="AI634" s="648" t="n">
        <v>0</v>
      </c>
      <c r="AJ634" s="648" t="n">
        <v>0</v>
      </c>
      <c r="AK634" s="648" t="n">
        <v>0</v>
      </c>
      <c r="AL634" s="648" t="n">
        <v>0</v>
      </c>
      <c r="AM634" s="421">
        <f>SUM(AB634:AL638)</f>
        <v/>
      </c>
      <c r="AN634" s="726" t="n"/>
      <c r="AU634" s="1240" t="n"/>
      <c r="AV634" s="1240" t="n"/>
    </row>
    <row r="635" ht="17.1" customHeight="1">
      <c r="A635" s="973" t="n"/>
      <c r="B635" s="971" t="n"/>
      <c r="C635" s="972" t="n"/>
      <c r="D635" s="973" t="n"/>
      <c r="E635" s="973" t="n"/>
      <c r="F635" s="994" t="n"/>
      <c r="G635" s="994" t="n"/>
      <c r="H635" s="973" t="n"/>
      <c r="I635" s="973" t="n"/>
      <c r="J635" s="973" t="n"/>
      <c r="K635" s="973" t="n"/>
      <c r="L635" s="253" t="n"/>
      <c r="M635" s="254" t="n"/>
      <c r="N635" s="254" t="n"/>
      <c r="O635" s="1183" t="n"/>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73" t="n"/>
      <c r="E636" s="973" t="n"/>
      <c r="F636" s="994" t="n"/>
      <c r="G636" s="994" t="n"/>
      <c r="H636" s="973" t="n"/>
      <c r="I636" s="973" t="n"/>
      <c r="J636" s="973" t="n"/>
      <c r="K636" s="973" t="n"/>
      <c r="L636" s="253" t="n"/>
      <c r="M636" s="254" t="n"/>
      <c r="N636" s="254" t="n"/>
      <c r="O636" s="1183" t="n"/>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73" t="n"/>
      <c r="E637" s="973" t="n"/>
      <c r="F637" s="994" t="n"/>
      <c r="G637" s="994" t="n"/>
      <c r="H637" s="973" t="n"/>
      <c r="I637" s="973" t="n"/>
      <c r="J637" s="973" t="n"/>
      <c r="K637" s="973" t="n"/>
      <c r="L637" s="253" t="n"/>
      <c r="M637" s="254" t="n"/>
      <c r="N637" s="254" t="n"/>
      <c r="O637" s="1183" t="n"/>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73" t="n"/>
      <c r="E638" s="973" t="n"/>
      <c r="F638" s="994" t="n"/>
      <c r="G638" s="994" t="n"/>
      <c r="H638" s="973" t="n"/>
      <c r="I638" s="973" t="n"/>
      <c r="J638" s="973" t="n"/>
      <c r="K638" s="975" t="n"/>
      <c r="L638" s="253" t="n"/>
      <c r="M638" s="254" t="n"/>
      <c r="N638" s="254" t="n"/>
      <c r="O638" s="1183" t="n"/>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75" t="n"/>
      <c r="E639" s="975" t="n"/>
      <c r="F639" s="998" t="n"/>
      <c r="G639" s="998" t="n"/>
      <c r="H639" s="975" t="n"/>
      <c r="I639" s="975" t="n"/>
      <c r="J639" s="975" t="n"/>
      <c r="K639" s="1189">
        <f>K634=L639</f>
        <v/>
      </c>
      <c r="L639" s="491">
        <f>SUM(L634:L638)</f>
        <v/>
      </c>
      <c r="M639" s="1190" t="inlineStr">
        <is>
          <t xml:space="preserve">“Verdadero” indica que la cantidad por lote, coincide con el saldo que inicia al mes siguiente. "Falso" no coinicide. </t>
        </is>
      </c>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413">
        <f>JULIO!K640</f>
        <v/>
      </c>
      <c r="E640" s="339">
        <f>H236</f>
        <v/>
      </c>
      <c r="F640" s="338" t="n"/>
      <c r="G640" s="338" t="n"/>
      <c r="H640" s="1235">
        <f>+F640+G640</f>
        <v/>
      </c>
      <c r="I640" s="340">
        <f>+AM640</f>
        <v/>
      </c>
      <c r="J640" s="341">
        <f>+H640+I640</f>
        <v/>
      </c>
      <c r="K640" s="583">
        <f>+(D640+E640)-(J640)</f>
        <v/>
      </c>
      <c r="L640" s="253" t="n"/>
      <c r="M640" s="254" t="n"/>
      <c r="N640" s="254" t="n"/>
      <c r="O640" s="1183" t="n"/>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c r="AA640" s="648" t="n"/>
      <c r="AB640" s="649">
        <f>+Z640+AA640</f>
        <v/>
      </c>
      <c r="AC640" s="648" t="n"/>
      <c r="AD640" s="648" t="n"/>
      <c r="AE640" s="648" t="n"/>
      <c r="AF640" s="648" t="n"/>
      <c r="AG640" s="648" t="n"/>
      <c r="AH640" s="648" t="n"/>
      <c r="AI640" s="648" t="n"/>
      <c r="AJ640" s="648" t="n"/>
      <c r="AK640" s="648" t="n"/>
      <c r="AL640" s="648" t="n"/>
      <c r="AM640" s="421">
        <f>SUM(AB640:AL644)</f>
        <v/>
      </c>
      <c r="AN640" s="726" t="n"/>
      <c r="AU640" s="1240" t="n"/>
      <c r="AV640" s="1240" t="n"/>
    </row>
    <row r="641" ht="17.1" customHeight="1">
      <c r="A641" s="973" t="n"/>
      <c r="B641" s="971" t="n"/>
      <c r="C641" s="972" t="n"/>
      <c r="D641" s="973" t="n"/>
      <c r="E641" s="973" t="n"/>
      <c r="F641" s="994" t="n"/>
      <c r="G641" s="994" t="n"/>
      <c r="H641" s="973" t="n"/>
      <c r="I641" s="973" t="n"/>
      <c r="J641" s="973" t="n"/>
      <c r="K641" s="973" t="n"/>
      <c r="L641" s="253" t="n"/>
      <c r="M641" s="254" t="n"/>
      <c r="N641" s="254" t="n"/>
      <c r="O641" s="1183" t="n"/>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73" t="n"/>
      <c r="E642" s="973" t="n"/>
      <c r="F642" s="994" t="n"/>
      <c r="G642" s="994" t="n"/>
      <c r="H642" s="973" t="n"/>
      <c r="I642" s="973" t="n"/>
      <c r="J642" s="973" t="n"/>
      <c r="K642" s="973" t="n"/>
      <c r="L642" s="253" t="n"/>
      <c r="M642" s="254" t="n"/>
      <c r="N642" s="254" t="n"/>
      <c r="O642" s="1183" t="n"/>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73" t="n"/>
      <c r="E643" s="973" t="n"/>
      <c r="F643" s="994" t="n"/>
      <c r="G643" s="994" t="n"/>
      <c r="H643" s="973" t="n"/>
      <c r="I643" s="973" t="n"/>
      <c r="J643" s="973" t="n"/>
      <c r="K643" s="973" t="n"/>
      <c r="L643" s="253" t="n"/>
      <c r="M643" s="254" t="n"/>
      <c r="N643" s="254" t="n"/>
      <c r="O643" s="1183" t="n"/>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73"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75" t="n"/>
      <c r="E645" s="975" t="n"/>
      <c r="F645" s="998" t="n"/>
      <c r="G645" s="998" t="n"/>
      <c r="H645" s="975" t="n"/>
      <c r="I645" s="975" t="n"/>
      <c r="J645" s="975" t="n"/>
      <c r="K645" s="1189">
        <f>K640=L645</f>
        <v/>
      </c>
      <c r="L645" s="491">
        <f>SUM(L640:L644)</f>
        <v/>
      </c>
      <c r="M645" s="1190" t="inlineStr">
        <is>
          <t xml:space="preserve">“Verdadero” indica que la cantidad por lote, coincide con el saldo que inicia al mes siguiente. "Falso" no coinicide. </t>
        </is>
      </c>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413">
        <f>JULIO!K646</f>
        <v/>
      </c>
      <c r="E646" s="339">
        <f>H242</f>
        <v/>
      </c>
      <c r="F646" s="338" t="n"/>
      <c r="G646" s="338" t="n"/>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c r="AA646" s="648" t="n"/>
      <c r="AB646" s="649">
        <f>+Z646+AA646</f>
        <v/>
      </c>
      <c r="AC646" s="648" t="n"/>
      <c r="AD646" s="648" t="n"/>
      <c r="AE646" s="648" t="n"/>
      <c r="AF646" s="648" t="n"/>
      <c r="AG646" s="648" t="n"/>
      <c r="AH646" s="648" t="n"/>
      <c r="AI646" s="648" t="n"/>
      <c r="AJ646" s="648" t="n"/>
      <c r="AK646" s="648" t="n"/>
      <c r="AL646" s="648" t="n"/>
      <c r="AM646" s="421">
        <f>SUM(AB646:AL650)</f>
        <v/>
      </c>
      <c r="AN646" s="726" t="n"/>
      <c r="AU646" s="1240" t="n"/>
      <c r="AV646" s="1240" t="n"/>
    </row>
    <row r="647" ht="17.1" customHeight="1">
      <c r="A647" s="973" t="n"/>
      <c r="B647" s="971" t="n"/>
      <c r="C647" s="972" t="n"/>
      <c r="D647" s="973"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73"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73"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73"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75" t="n"/>
      <c r="E651" s="975" t="n"/>
      <c r="F651" s="998" t="n"/>
      <c r="G651" s="998" t="n"/>
      <c r="H651" s="975" t="n"/>
      <c r="I651" s="975" t="n"/>
      <c r="J651" s="975" t="n"/>
      <c r="K651" s="1189">
        <f>K646=L651</f>
        <v/>
      </c>
      <c r="L651" s="491">
        <f>SUM(L646:L650)</f>
        <v/>
      </c>
      <c r="M651" s="1190" t="inlineStr">
        <is>
          <t xml:space="preserve">“Verdadero” indica que la cantidad por lote, coincide con el saldo que inicia al mes siguiente. "Falso" no coinicide. </t>
        </is>
      </c>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413">
        <f>JULIO!K652</f>
        <v/>
      </c>
      <c r="E652" s="339">
        <f>H248</f>
        <v/>
      </c>
      <c r="F652" s="338" t="n"/>
      <c r="G652" s="338" t="n"/>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c r="AA652" s="648" t="n"/>
      <c r="AB652" s="649">
        <f>+Z652+AA652</f>
        <v/>
      </c>
      <c r="AC652" s="648" t="n"/>
      <c r="AD652" s="648" t="n"/>
      <c r="AE652" s="648" t="n"/>
      <c r="AF652" s="648" t="n"/>
      <c r="AG652" s="648" t="n"/>
      <c r="AH652" s="648" t="n"/>
      <c r="AI652" s="648" t="n"/>
      <c r="AJ652" s="648" t="n"/>
      <c r="AK652" s="648" t="n"/>
      <c r="AL652" s="648" t="n"/>
      <c r="AM652" s="421">
        <f>SUM(AB652:AL656)</f>
        <v/>
      </c>
      <c r="AN652" s="726" t="n"/>
      <c r="AU652" s="1240" t="n"/>
      <c r="AV652" s="1240" t="n"/>
    </row>
    <row r="653" ht="17.1" customHeight="1">
      <c r="A653" s="973" t="n"/>
      <c r="B653" s="971" t="n"/>
      <c r="C653" s="972" t="n"/>
      <c r="D653" s="973"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73"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73"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73"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75" t="n"/>
      <c r="E657" s="975" t="n"/>
      <c r="F657" s="998" t="n"/>
      <c r="G657" s="998" t="n"/>
      <c r="H657" s="975" t="n"/>
      <c r="I657" s="975" t="n"/>
      <c r="J657" s="975" t="n"/>
      <c r="K657" s="1189">
        <f>K652=L657</f>
        <v/>
      </c>
      <c r="L657" s="491">
        <f>SUM(L652:L656)</f>
        <v/>
      </c>
      <c r="M657" s="1190" t="inlineStr">
        <is>
          <t xml:space="preserve">“Verdadero” indica que la cantidad por lote, coincide con el saldo que inicia al mes siguiente. "Falso" no coinicide. </t>
        </is>
      </c>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413">
        <f>JULIO!K658</f>
        <v/>
      </c>
      <c r="E658" s="339">
        <f>H254</f>
        <v/>
      </c>
      <c r="F658" s="338" t="n"/>
      <c r="G658" s="338" t="n"/>
      <c r="H658" s="1235">
        <f>+F658+G658</f>
        <v/>
      </c>
      <c r="I658" s="340">
        <f>+AM658</f>
        <v/>
      </c>
      <c r="J658" s="341">
        <f>+H658+I658</f>
        <v/>
      </c>
      <c r="K658" s="583">
        <f>+(D658+E658)-(J658)</f>
        <v/>
      </c>
      <c r="L658" s="253" t="n"/>
      <c r="M658" s="254" t="n"/>
      <c r="N658" s="254" t="n"/>
      <c r="O658" s="1183" t="n"/>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c r="AA658" s="648" t="n"/>
      <c r="AB658" s="649">
        <f>+Z658+AA658</f>
        <v/>
      </c>
      <c r="AC658" s="648" t="n"/>
      <c r="AD658" s="648" t="n"/>
      <c r="AE658" s="648" t="n"/>
      <c r="AF658" s="648" t="n"/>
      <c r="AG658" s="648" t="n"/>
      <c r="AH658" s="648" t="n"/>
      <c r="AI658" s="648" t="n"/>
      <c r="AJ658" s="648" t="n"/>
      <c r="AK658" s="648" t="n"/>
      <c r="AL658" s="648" t="n"/>
      <c r="AM658" s="421">
        <f>SUM(AB658:AL662)</f>
        <v/>
      </c>
      <c r="AN658" s="726" t="n"/>
      <c r="AU658" s="1240" t="n"/>
      <c r="AV658" s="1240" t="n"/>
    </row>
    <row r="659" ht="17.1" customHeight="1">
      <c r="A659" s="973" t="n"/>
      <c r="B659" s="971" t="n"/>
      <c r="C659" s="972" t="n"/>
      <c r="D659" s="973" t="n"/>
      <c r="E659" s="973" t="n"/>
      <c r="F659" s="994" t="n"/>
      <c r="G659" s="994" t="n"/>
      <c r="H659" s="973" t="n"/>
      <c r="I659" s="973" t="n"/>
      <c r="J659" s="973" t="n"/>
      <c r="K659" s="973" t="n"/>
      <c r="L659" s="253" t="n"/>
      <c r="M659" s="254" t="n"/>
      <c r="N659" s="254" t="n"/>
      <c r="O659" s="1183" t="n"/>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73" t="n"/>
      <c r="E660" s="973" t="n"/>
      <c r="F660" s="994" t="n"/>
      <c r="G660" s="994" t="n"/>
      <c r="H660" s="973" t="n"/>
      <c r="I660" s="973" t="n"/>
      <c r="J660" s="973" t="n"/>
      <c r="K660" s="973" t="n"/>
      <c r="L660" s="253" t="n"/>
      <c r="M660" s="254" t="n"/>
      <c r="N660" s="254" t="n"/>
      <c r="O660" s="1183" t="n"/>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73" t="n"/>
      <c r="E661" s="973" t="n"/>
      <c r="F661" s="994" t="n"/>
      <c r="G661" s="994" t="n"/>
      <c r="H661" s="973" t="n"/>
      <c r="I661" s="973" t="n"/>
      <c r="J661" s="973" t="n"/>
      <c r="K661" s="973" t="n"/>
      <c r="L661" s="253" t="n"/>
      <c r="M661" s="254" t="n"/>
      <c r="N661" s="254" t="n"/>
      <c r="O661" s="1183" t="n"/>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73"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75" t="n"/>
      <c r="E663" s="975" t="n"/>
      <c r="F663" s="998" t="n"/>
      <c r="G663" s="998" t="n"/>
      <c r="H663" s="975" t="n"/>
      <c r="I663" s="975" t="n"/>
      <c r="J663" s="975" t="n"/>
      <c r="K663" s="1189">
        <f>K658=L663</f>
        <v/>
      </c>
      <c r="L663" s="491">
        <f>SUM(L658:L662)</f>
        <v/>
      </c>
      <c r="M663" s="1190" t="inlineStr">
        <is>
          <t xml:space="preserve">“Verdadero” indica que la cantidad por lote, coincide con el saldo que inicia al mes siguiente. "Falso" no coinicide. </t>
        </is>
      </c>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413">
        <f>JULIO!K664</f>
        <v/>
      </c>
      <c r="E664" s="339">
        <f>H260</f>
        <v/>
      </c>
      <c r="F664" s="338" t="n"/>
      <c r="G664" s="338" t="n"/>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c r="AA664" s="648" t="n"/>
      <c r="AB664" s="649">
        <f>+Z664+AA664</f>
        <v/>
      </c>
      <c r="AC664" s="648" t="n"/>
      <c r="AD664" s="648" t="n"/>
      <c r="AE664" s="648" t="n"/>
      <c r="AF664" s="648" t="n"/>
      <c r="AG664" s="648" t="n"/>
      <c r="AH664" s="648" t="n"/>
      <c r="AI664" s="648" t="n"/>
      <c r="AJ664" s="648" t="n"/>
      <c r="AK664" s="648" t="n"/>
      <c r="AL664" s="648" t="n"/>
      <c r="AM664" s="421">
        <f>SUM(AB664:AL668)</f>
        <v/>
      </c>
      <c r="AN664" s="726" t="n"/>
      <c r="AU664" s="1240" t="n"/>
      <c r="AV664" s="1240" t="n"/>
    </row>
    <row r="665" ht="17.1" customHeight="1">
      <c r="A665" s="973" t="n"/>
      <c r="B665" s="971" t="n"/>
      <c r="C665" s="972" t="n"/>
      <c r="D665" s="973"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73"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73"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73"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75" t="n"/>
      <c r="E669" s="975" t="n"/>
      <c r="F669" s="998" t="n"/>
      <c r="G669" s="998" t="n"/>
      <c r="H669" s="975" t="n"/>
      <c r="I669" s="975" t="n"/>
      <c r="J669" s="975" t="n"/>
      <c r="K669" s="1189">
        <f>K664=L669</f>
        <v/>
      </c>
      <c r="L669" s="491">
        <f>SUM(L664:L668)</f>
        <v/>
      </c>
      <c r="M669" s="1190" t="inlineStr">
        <is>
          <t xml:space="preserve">“Verdadero” indica que la cantidad por lote, coincide con el saldo que inicia al mes siguiente. "Falso" no coinicide. </t>
        </is>
      </c>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413">
        <f>JULIO!K670</f>
        <v/>
      </c>
      <c r="E670" s="339">
        <f>H266</f>
        <v/>
      </c>
      <c r="F670" s="338" t="n"/>
      <c r="G670" s="338" t="n"/>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c r="AA670" s="648" t="n"/>
      <c r="AB670" s="649">
        <f>+Z670+AA670</f>
        <v/>
      </c>
      <c r="AC670" s="648" t="n"/>
      <c r="AD670" s="648" t="n"/>
      <c r="AE670" s="648" t="n"/>
      <c r="AF670" s="648" t="n"/>
      <c r="AG670" s="648" t="n"/>
      <c r="AH670" s="648" t="n"/>
      <c r="AI670" s="648" t="n"/>
      <c r="AJ670" s="648" t="n"/>
      <c r="AK670" s="648" t="n"/>
      <c r="AL670" s="648" t="n"/>
      <c r="AM670" s="421">
        <f>SUM(AB670:AL674)</f>
        <v/>
      </c>
      <c r="AN670" s="726" t="n"/>
      <c r="AU670" s="1240" t="n"/>
      <c r="AV670" s="1240" t="n"/>
    </row>
    <row r="671" ht="17.1" customHeight="1">
      <c r="A671" s="973" t="n"/>
      <c r="B671" s="971" t="n"/>
      <c r="C671" s="972" t="n"/>
      <c r="D671" s="973"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73"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73"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73"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75" t="n"/>
      <c r="E675" s="975" t="n"/>
      <c r="F675" s="998" t="n"/>
      <c r="G675" s="998" t="n"/>
      <c r="H675" s="975" t="n"/>
      <c r="I675" s="975" t="n"/>
      <c r="J675" s="975" t="n"/>
      <c r="K675" s="1189">
        <f>K670=L675</f>
        <v/>
      </c>
      <c r="L675" s="491">
        <f>SUM(L670:L674)</f>
        <v/>
      </c>
      <c r="M675" s="1190" t="inlineStr">
        <is>
          <t xml:space="preserve">“Verdadero” indica que la cantidad por lote, coincide con el saldo que inicia al mes siguiente. "Falso" no coinicide. </t>
        </is>
      </c>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413">
        <f>JULIO!K676</f>
        <v/>
      </c>
      <c r="E676" s="339">
        <f>H272</f>
        <v/>
      </c>
      <c r="F676" s="338" t="n"/>
      <c r="G676" s="338" t="n"/>
      <c r="H676" s="1235">
        <f>+F676+G676</f>
        <v/>
      </c>
      <c r="I676" s="340">
        <f>+AM676</f>
        <v/>
      </c>
      <c r="J676" s="341">
        <f>+H676+I676</f>
        <v/>
      </c>
      <c r="K676" s="583">
        <f>+(D676+E676)-(J676)</f>
        <v/>
      </c>
      <c r="L676" s="253" t="n"/>
      <c r="M676" s="254" t="n"/>
      <c r="N676" s="254" t="n"/>
      <c r="O676" s="1183" t="n"/>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c r="AA676" s="648" t="n"/>
      <c r="AB676" s="649">
        <f>+Z676+AA676</f>
        <v/>
      </c>
      <c r="AC676" s="648" t="n"/>
      <c r="AD676" s="648" t="n"/>
      <c r="AE676" s="648" t="n"/>
      <c r="AF676" s="648" t="n"/>
      <c r="AG676" s="648" t="n"/>
      <c r="AH676" s="648" t="n"/>
      <c r="AI676" s="648" t="n"/>
      <c r="AJ676" s="648" t="n"/>
      <c r="AK676" s="648" t="n"/>
      <c r="AL676" s="648" t="n"/>
      <c r="AM676" s="421">
        <f>SUM(AB676:AL680)</f>
        <v/>
      </c>
      <c r="AN676" s="726" t="n"/>
      <c r="AU676" s="1240" t="n"/>
      <c r="AV676" s="1240" t="n"/>
    </row>
    <row r="677" ht="17.1" customHeight="1">
      <c r="A677" s="973" t="n"/>
      <c r="B677" s="971" t="n"/>
      <c r="C677" s="972" t="n"/>
      <c r="D677" s="973" t="n"/>
      <c r="E677" s="973" t="n"/>
      <c r="F677" s="994" t="n"/>
      <c r="G677" s="994" t="n"/>
      <c r="H677" s="973" t="n"/>
      <c r="I677" s="973" t="n"/>
      <c r="J677" s="973" t="n"/>
      <c r="K677" s="973" t="n"/>
      <c r="L677" s="253" t="n"/>
      <c r="M677" s="254" t="n"/>
      <c r="N677" s="254" t="n"/>
      <c r="O677" s="1183" t="n"/>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73" t="n"/>
      <c r="E678" s="973" t="n"/>
      <c r="F678" s="994" t="n"/>
      <c r="G678" s="994" t="n"/>
      <c r="H678" s="973" t="n"/>
      <c r="I678" s="973" t="n"/>
      <c r="J678" s="973" t="n"/>
      <c r="K678" s="973" t="n"/>
      <c r="L678" s="253" t="n"/>
      <c r="M678" s="254" t="n"/>
      <c r="N678" s="254" t="n"/>
      <c r="O678" s="1183" t="n"/>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73" t="n"/>
      <c r="E679" s="973" t="n"/>
      <c r="F679" s="994" t="n"/>
      <c r="G679" s="994" t="n"/>
      <c r="H679" s="973" t="n"/>
      <c r="I679" s="973" t="n"/>
      <c r="J679" s="973" t="n"/>
      <c r="K679" s="973" t="n"/>
      <c r="L679" s="253" t="n"/>
      <c r="M679" s="254" t="n"/>
      <c r="N679" s="254" t="n"/>
      <c r="O679" s="1183" t="n"/>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73" t="n"/>
      <c r="E680" s="973" t="n"/>
      <c r="F680" s="994" t="n"/>
      <c r="G680" s="994" t="n"/>
      <c r="H680" s="973" t="n"/>
      <c r="I680" s="973" t="n"/>
      <c r="J680" s="973" t="n"/>
      <c r="K680" s="975" t="n"/>
      <c r="L680" s="253" t="n"/>
      <c r="M680" s="254" t="n"/>
      <c r="N680" s="254" t="n"/>
      <c r="O680" s="1183" t="n"/>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75" t="n"/>
      <c r="E681" s="975" t="n"/>
      <c r="F681" s="998" t="n"/>
      <c r="G681" s="998" t="n"/>
      <c r="H681" s="975" t="n"/>
      <c r="I681" s="975" t="n"/>
      <c r="J681" s="975" t="n"/>
      <c r="K681" s="1189">
        <f>K676=L681</f>
        <v/>
      </c>
      <c r="L681" s="491">
        <f>SUM(L676:L680)</f>
        <v/>
      </c>
      <c r="M681" s="1190" t="inlineStr">
        <is>
          <t xml:space="preserve">“Verdadero” indica que la cantidad por lote, coincide con el saldo que inicia al mes siguiente. "Falso" no coinicide. </t>
        </is>
      </c>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413">
        <f>JULIO!K682</f>
        <v/>
      </c>
      <c r="E682" s="339">
        <f>H278</f>
        <v/>
      </c>
      <c r="F682" s="338" t="n"/>
      <c r="G682" s="338" t="n"/>
      <c r="H682" s="1235">
        <f>+F682+G682</f>
        <v/>
      </c>
      <c r="I682" s="340">
        <f>+AM682</f>
        <v/>
      </c>
      <c r="J682" s="341">
        <f>+H682+I682</f>
        <v/>
      </c>
      <c r="K682" s="583">
        <f>+(D682+E682)-(J682)</f>
        <v/>
      </c>
      <c r="L682" s="253" t="n"/>
      <c r="M682" s="254" t="n"/>
      <c r="N682" s="254" t="n"/>
      <c r="O682" s="1183" t="n"/>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c r="AA682" s="648" t="n"/>
      <c r="AB682" s="649">
        <f>+Z682+AA682</f>
        <v/>
      </c>
      <c r="AC682" s="648" t="n"/>
      <c r="AD682" s="648" t="n"/>
      <c r="AE682" s="648" t="n"/>
      <c r="AF682" s="648" t="n"/>
      <c r="AG682" s="648" t="n"/>
      <c r="AH682" s="648" t="n"/>
      <c r="AI682" s="648" t="n"/>
      <c r="AJ682" s="648" t="n"/>
      <c r="AK682" s="648" t="n"/>
      <c r="AL682" s="648" t="n"/>
      <c r="AM682" s="421">
        <f>SUM(AB682:AL686)</f>
        <v/>
      </c>
      <c r="AN682" s="726" t="n"/>
      <c r="AU682" s="1240" t="n"/>
      <c r="AV682" s="1240" t="n"/>
    </row>
    <row r="683" ht="17.1" customHeight="1">
      <c r="A683" s="973" t="n"/>
      <c r="B683" s="971" t="n"/>
      <c r="C683" s="972" t="n"/>
      <c r="D683" s="973" t="n"/>
      <c r="E683" s="973" t="n"/>
      <c r="F683" s="994" t="n"/>
      <c r="G683" s="994" t="n"/>
      <c r="H683" s="973" t="n"/>
      <c r="I683" s="973" t="n"/>
      <c r="J683" s="973" t="n"/>
      <c r="K683" s="973" t="n"/>
      <c r="L683" s="253" t="n"/>
      <c r="M683" s="254" t="n"/>
      <c r="N683" s="254" t="n"/>
      <c r="O683" s="1183" t="n"/>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73" t="n"/>
      <c r="E684" s="973" t="n"/>
      <c r="F684" s="994" t="n"/>
      <c r="G684" s="994" t="n"/>
      <c r="H684" s="973" t="n"/>
      <c r="I684" s="973" t="n"/>
      <c r="J684" s="973" t="n"/>
      <c r="K684" s="973" t="n"/>
      <c r="L684" s="253" t="n"/>
      <c r="M684" s="254" t="n"/>
      <c r="N684" s="254" t="n"/>
      <c r="O684" s="1183" t="n"/>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73"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73"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75" t="n"/>
      <c r="E687" s="975" t="n"/>
      <c r="F687" s="998" t="n"/>
      <c r="G687" s="998" t="n"/>
      <c r="H687" s="975" t="n"/>
      <c r="I687" s="975" t="n"/>
      <c r="J687" s="975" t="n"/>
      <c r="K687" s="1189">
        <f>K682=L687</f>
        <v/>
      </c>
      <c r="L687" s="491">
        <f>SUM(L682:L686)</f>
        <v/>
      </c>
      <c r="M687" s="1190" t="inlineStr">
        <is>
          <t xml:space="preserve">“Verdadero” indica que la cantidad por lote, coincide con el saldo que inicia al mes siguiente. "Falso" no coinicide. </t>
        </is>
      </c>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413">
        <f>JULIO!K688</f>
        <v/>
      </c>
      <c r="E688" s="339">
        <f>H284</f>
        <v/>
      </c>
      <c r="F688" s="338" t="n"/>
      <c r="G688" s="338" t="n"/>
      <c r="H688" s="1235">
        <f>+F688+G688</f>
        <v/>
      </c>
      <c r="I688" s="340">
        <f>+AM688</f>
        <v/>
      </c>
      <c r="J688" s="341">
        <f>+H688+I688</f>
        <v/>
      </c>
      <c r="K688" s="583">
        <f>+(D688+E688)-(J688)</f>
        <v/>
      </c>
      <c r="L688" s="253" t="n"/>
      <c r="M688" s="254" t="n"/>
      <c r="N688" s="254" t="n"/>
      <c r="O688" s="1183" t="n"/>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c r="AA688" s="648" t="n"/>
      <c r="AB688" s="649">
        <f>+Z688+AA688</f>
        <v/>
      </c>
      <c r="AC688" s="648" t="n"/>
      <c r="AD688" s="648" t="n"/>
      <c r="AE688" s="648" t="n"/>
      <c r="AF688" s="648" t="n"/>
      <c r="AG688" s="648" t="n"/>
      <c r="AH688" s="648" t="n"/>
      <c r="AI688" s="648" t="n"/>
      <c r="AJ688" s="648" t="n"/>
      <c r="AK688" s="648" t="n"/>
      <c r="AL688" s="648" t="n"/>
      <c r="AM688" s="421">
        <f>SUM(AB688:AL692)</f>
        <v/>
      </c>
      <c r="AN688" s="726" t="n"/>
      <c r="AU688" s="1240" t="n"/>
      <c r="AV688" s="1240" t="n"/>
    </row>
    <row r="689" ht="17.1" customHeight="1">
      <c r="A689" s="973" t="n"/>
      <c r="B689" s="971" t="n"/>
      <c r="C689" s="972" t="n"/>
      <c r="D689" s="973" t="n"/>
      <c r="E689" s="973" t="n"/>
      <c r="F689" s="994" t="n"/>
      <c r="G689" s="994" t="n"/>
      <c r="H689" s="973" t="n"/>
      <c r="I689" s="973" t="n"/>
      <c r="J689" s="973" t="n"/>
      <c r="K689" s="973" t="n"/>
      <c r="L689" s="253" t="n"/>
      <c r="M689" s="254" t="n"/>
      <c r="N689" s="254" t="n"/>
      <c r="O689" s="1183" t="n"/>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73" t="n"/>
      <c r="E690" s="973" t="n"/>
      <c r="F690" s="994" t="n"/>
      <c r="G690" s="994" t="n"/>
      <c r="H690" s="973" t="n"/>
      <c r="I690" s="973" t="n"/>
      <c r="J690" s="973" t="n"/>
      <c r="K690" s="973" t="n"/>
      <c r="L690" s="253" t="n"/>
      <c r="M690" s="254" t="n"/>
      <c r="N690" s="254" t="n"/>
      <c r="O690" s="1183" t="n"/>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73" t="n"/>
      <c r="E691" s="973" t="n"/>
      <c r="F691" s="994" t="n"/>
      <c r="G691" s="994" t="n"/>
      <c r="H691" s="973" t="n"/>
      <c r="I691" s="973" t="n"/>
      <c r="J691" s="973" t="n"/>
      <c r="K691" s="973" t="n"/>
      <c r="L691" s="253" t="n"/>
      <c r="M691" s="254" t="n"/>
      <c r="N691" s="254" t="n"/>
      <c r="O691" s="1183" t="n"/>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73" t="n"/>
      <c r="E692" s="973" t="n"/>
      <c r="F692" s="994" t="n"/>
      <c r="G692" s="994" t="n"/>
      <c r="H692" s="973" t="n"/>
      <c r="I692" s="973" t="n"/>
      <c r="J692" s="973" t="n"/>
      <c r="K692" s="975" t="n"/>
      <c r="L692" s="253" t="n"/>
      <c r="M692" s="254" t="n"/>
      <c r="N692" s="254" t="n"/>
      <c r="O692" s="1183" t="n"/>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75" t="n"/>
      <c r="E693" s="975" t="n"/>
      <c r="F693" s="998" t="n"/>
      <c r="G693" s="998" t="n"/>
      <c r="H693" s="975" t="n"/>
      <c r="I693" s="975" t="n"/>
      <c r="J693" s="975" t="n"/>
      <c r="K693" s="1189">
        <f>K688=L693</f>
        <v/>
      </c>
      <c r="L693" s="491">
        <f>SUM(L688:L692)</f>
        <v/>
      </c>
      <c r="M693" s="1190" t="inlineStr">
        <is>
          <t xml:space="preserve">“Verdadero” indica que la cantidad por lote, coincide con el saldo que inicia al mes siguiente. "Falso" no coinicide. </t>
        </is>
      </c>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413">
        <f>JULIO!K694</f>
        <v/>
      </c>
      <c r="E694" s="339">
        <f>H290</f>
        <v/>
      </c>
      <c r="F694" s="338" t="n"/>
      <c r="G694" s="338" t="n"/>
      <c r="H694" s="1235">
        <f>+F694+G694</f>
        <v/>
      </c>
      <c r="I694" s="340">
        <f>+AM694</f>
        <v/>
      </c>
      <c r="J694" s="341">
        <f>+H694+I694</f>
        <v/>
      </c>
      <c r="K694" s="583">
        <f>+(D694+E694)-(J694)</f>
        <v/>
      </c>
      <c r="L694" s="253" t="n"/>
      <c r="M694" s="254" t="n"/>
      <c r="N694" s="254" t="n"/>
      <c r="O694" s="1183" t="n"/>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c r="AA694" s="648" t="n"/>
      <c r="AB694" s="649">
        <f>+Z694+AA694</f>
        <v/>
      </c>
      <c r="AC694" s="648" t="n"/>
      <c r="AD694" s="648" t="n"/>
      <c r="AE694" s="648" t="n"/>
      <c r="AF694" s="648" t="n"/>
      <c r="AG694" s="648" t="n"/>
      <c r="AH694" s="648" t="n"/>
      <c r="AI694" s="648" t="n"/>
      <c r="AJ694" s="648" t="n"/>
      <c r="AK694" s="648" t="n"/>
      <c r="AL694" s="648" t="n"/>
      <c r="AM694" s="421">
        <f>SUM(AB694:AL698)</f>
        <v/>
      </c>
      <c r="AN694" s="726" t="n"/>
      <c r="AU694" s="1240" t="n"/>
      <c r="AV694" s="1240" t="n"/>
    </row>
    <row r="695" ht="17.1" customHeight="1">
      <c r="A695" s="973" t="n"/>
      <c r="B695" s="971" t="n"/>
      <c r="C695" s="972" t="n"/>
      <c r="D695" s="973" t="n"/>
      <c r="E695" s="973" t="n"/>
      <c r="F695" s="994" t="n"/>
      <c r="G695" s="994" t="n"/>
      <c r="H695" s="973" t="n"/>
      <c r="I695" s="973" t="n"/>
      <c r="J695" s="973" t="n"/>
      <c r="K695" s="973" t="n"/>
      <c r="L695" s="253" t="n"/>
      <c r="M695" s="254" t="n"/>
      <c r="N695" s="254" t="n"/>
      <c r="O695" s="1183" t="n"/>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73" t="n"/>
      <c r="E696" s="973" t="n"/>
      <c r="F696" s="994" t="n"/>
      <c r="G696" s="994" t="n"/>
      <c r="H696" s="973" t="n"/>
      <c r="I696" s="973" t="n"/>
      <c r="J696" s="973" t="n"/>
      <c r="K696" s="973" t="n"/>
      <c r="L696" s="253" t="n"/>
      <c r="M696" s="254" t="n"/>
      <c r="N696" s="254" t="n"/>
      <c r="O696" s="1183" t="n"/>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73" t="n"/>
      <c r="E697" s="973" t="n"/>
      <c r="F697" s="994" t="n"/>
      <c r="G697" s="994" t="n"/>
      <c r="H697" s="973" t="n"/>
      <c r="I697" s="973" t="n"/>
      <c r="J697" s="973" t="n"/>
      <c r="K697" s="973" t="n"/>
      <c r="L697" s="253" t="n"/>
      <c r="M697" s="254" t="n"/>
      <c r="N697" s="254" t="n"/>
      <c r="O697" s="1183" t="n"/>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73" t="n"/>
      <c r="E698" s="973" t="n"/>
      <c r="F698" s="994" t="n"/>
      <c r="G698" s="994" t="n"/>
      <c r="H698" s="973" t="n"/>
      <c r="I698" s="973" t="n"/>
      <c r="J698" s="973" t="n"/>
      <c r="K698" s="975" t="n"/>
      <c r="L698" s="253" t="n"/>
      <c r="M698" s="254" t="n"/>
      <c r="N698" s="254" t="n"/>
      <c r="O698" s="1183" t="n"/>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75" t="n"/>
      <c r="E699" s="975" t="n"/>
      <c r="F699" s="998" t="n"/>
      <c r="G699" s="998" t="n"/>
      <c r="H699" s="975" t="n"/>
      <c r="I699" s="975" t="n"/>
      <c r="J699" s="975" t="n"/>
      <c r="K699" s="1189">
        <f>K694=L699</f>
        <v/>
      </c>
      <c r="L699" s="491">
        <f>SUM(L694:L698)</f>
        <v/>
      </c>
      <c r="M699" s="1190" t="inlineStr">
        <is>
          <t xml:space="preserve">“Verdadero” indica que la cantidad por lote, coincide con el saldo que inicia al mes siguiente. "Falso" no coinicide. </t>
        </is>
      </c>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413">
        <f>JULIO!K700</f>
        <v/>
      </c>
      <c r="E700" s="339">
        <f>H296</f>
        <v/>
      </c>
      <c r="F700" s="338" t="n"/>
      <c r="G700" s="338" t="n"/>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c r="AA700" s="648" t="n"/>
      <c r="AB700" s="649">
        <f>+Z700+AA700</f>
        <v/>
      </c>
      <c r="AC700" s="648" t="n"/>
      <c r="AD700" s="648" t="n"/>
      <c r="AE700" s="648" t="n"/>
      <c r="AF700" s="648" t="n"/>
      <c r="AG700" s="648" t="n"/>
      <c r="AH700" s="648" t="n"/>
      <c r="AI700" s="648" t="n"/>
      <c r="AJ700" s="648" t="n"/>
      <c r="AK700" s="648" t="n"/>
      <c r="AL700" s="648" t="n"/>
      <c r="AM700" s="421">
        <f>SUM(AB700:AL704)</f>
        <v/>
      </c>
      <c r="AN700" s="726" t="n"/>
      <c r="AU700" s="1240" t="n"/>
      <c r="AV700" s="1240" t="n"/>
    </row>
    <row r="701" ht="17.1" customHeight="1">
      <c r="A701" s="973" t="n"/>
      <c r="B701" s="971" t="n"/>
      <c r="C701" s="972" t="n"/>
      <c r="D701" s="973"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73"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73"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73"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75" t="n"/>
      <c r="E705" s="975" t="n"/>
      <c r="F705" s="998" t="n"/>
      <c r="G705" s="998" t="n"/>
      <c r="H705" s="975" t="n"/>
      <c r="I705" s="975" t="n"/>
      <c r="J705" s="975" t="n"/>
      <c r="K705" s="1189">
        <f>K700=L705</f>
        <v/>
      </c>
      <c r="L705" s="491">
        <f>SUM(L700:L704)</f>
        <v/>
      </c>
      <c r="M705" s="1190" t="inlineStr">
        <is>
          <t xml:space="preserve">“Verdadero” indica que la cantidad por lote, coincide con el saldo que inicia al mes siguiente. "Falso" no coinicide. </t>
        </is>
      </c>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647"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413">
        <f>JULIO!K707</f>
        <v/>
      </c>
      <c r="E707" s="339">
        <f>H303</f>
        <v/>
      </c>
      <c r="F707" s="338" t="n">
        <v>0</v>
      </c>
      <c r="G707" s="338" t="n">
        <v>0</v>
      </c>
      <c r="H707" s="1235">
        <f>+F707+G707</f>
        <v/>
      </c>
      <c r="I707" s="340">
        <f>+AM707</f>
        <v/>
      </c>
      <c r="J707" s="341">
        <f>+H707+I707</f>
        <v/>
      </c>
      <c r="K707" s="583">
        <f>+(D707+E707)-(J707)</f>
        <v/>
      </c>
      <c r="L707" s="253" t="n"/>
      <c r="M707" s="254" t="n"/>
      <c r="N707" s="254" t="n"/>
      <c r="O707" s="1183" t="n"/>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v>0</v>
      </c>
      <c r="AA707" s="648" t="n">
        <v>0</v>
      </c>
      <c r="AB707" s="649">
        <f>+Z707+AA707</f>
        <v/>
      </c>
      <c r="AC707" s="648" t="n">
        <v>0</v>
      </c>
      <c r="AD707" s="648" t="n">
        <v>0</v>
      </c>
      <c r="AE707" s="648" t="n">
        <v>0</v>
      </c>
      <c r="AF707" s="648" t="n">
        <v>0</v>
      </c>
      <c r="AG707" s="648" t="n">
        <v>0</v>
      </c>
      <c r="AH707" s="648" t="n">
        <v>0</v>
      </c>
      <c r="AI707" s="648" t="n">
        <v>0</v>
      </c>
      <c r="AJ707" s="648" t="n">
        <v>0</v>
      </c>
      <c r="AK707" s="648" t="n">
        <v>0</v>
      </c>
      <c r="AL707" s="648" t="n">
        <v>0</v>
      </c>
      <c r="AM707" s="421">
        <f>SUM(AB707:AL711)</f>
        <v/>
      </c>
      <c r="AN707" s="726" t="n"/>
      <c r="AU707" s="1240" t="n"/>
      <c r="AV707" s="1240" t="n"/>
    </row>
    <row r="708" ht="17.1" customHeight="1">
      <c r="A708" s="973" t="n"/>
      <c r="B708" s="971" t="n"/>
      <c r="C708" s="972" t="n"/>
      <c r="D708" s="973" t="n"/>
      <c r="E708" s="973" t="n"/>
      <c r="F708" s="994" t="n"/>
      <c r="G708" s="994" t="n"/>
      <c r="H708" s="973" t="n"/>
      <c r="I708" s="973" t="n"/>
      <c r="J708" s="973" t="n"/>
      <c r="K708" s="973" t="n"/>
      <c r="L708" s="253" t="n"/>
      <c r="M708" s="254" t="n"/>
      <c r="N708" s="254" t="n"/>
      <c r="O708" s="1183" t="n"/>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73" t="n"/>
      <c r="E709" s="973" t="n"/>
      <c r="F709" s="994" t="n"/>
      <c r="G709" s="994" t="n"/>
      <c r="H709" s="973" t="n"/>
      <c r="I709" s="973" t="n"/>
      <c r="J709" s="973" t="n"/>
      <c r="K709" s="973" t="n"/>
      <c r="L709" s="253" t="n"/>
      <c r="M709" s="254" t="n"/>
      <c r="N709" s="254" t="n"/>
      <c r="O709" s="1183" t="n"/>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73"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73" t="n"/>
      <c r="E711" s="973" t="n"/>
      <c r="F711" s="994" t="n"/>
      <c r="G711" s="994" t="n"/>
      <c r="H711" s="973" t="n"/>
      <c r="I711" s="973" t="n"/>
      <c r="J711" s="973" t="n"/>
      <c r="K711" s="973" t="n"/>
      <c r="L711" s="253" t="n"/>
      <c r="M711" s="254" t="n"/>
      <c r="N711" s="254" t="n"/>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73"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75" t="n"/>
      <c r="E713" s="975" t="n"/>
      <c r="F713" s="998" t="n"/>
      <c r="G713" s="998" t="n"/>
      <c r="H713" s="975" t="n"/>
      <c r="I713" s="975" t="n"/>
      <c r="J713" s="975" t="n"/>
      <c r="K713" s="1189">
        <f>K707=L713</f>
        <v/>
      </c>
      <c r="L713" s="491">
        <f>SUM(L707:L712)</f>
        <v/>
      </c>
      <c r="M713" s="1190" t="inlineStr">
        <is>
          <t xml:space="preserve">“Verdadero” indica que la cantidad por lote, coincide con el saldo que inicia al mes siguiente. "Falso" no coinicide. </t>
        </is>
      </c>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413">
        <f>JULIO!K714</f>
        <v/>
      </c>
      <c r="E714" s="339">
        <f>H310</f>
        <v/>
      </c>
      <c r="F714" s="338" t="n"/>
      <c r="G714" s="338" t="n"/>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c r="AA714" s="648" t="n"/>
      <c r="AB714" s="649">
        <f>+Z714+AA714</f>
        <v/>
      </c>
      <c r="AC714" s="648" t="n"/>
      <c r="AD714" s="648" t="n"/>
      <c r="AE714" s="648" t="n"/>
      <c r="AF714" s="648" t="n"/>
      <c r="AG714" s="648" t="n"/>
      <c r="AH714" s="648" t="n"/>
      <c r="AI714" s="648" t="n"/>
      <c r="AJ714" s="648" t="n"/>
      <c r="AK714" s="648" t="n"/>
      <c r="AL714" s="648" t="n"/>
      <c r="AM714" s="421">
        <f>SUM(AB714:AL719)</f>
        <v/>
      </c>
      <c r="AN714" s="726" t="n"/>
      <c r="AU714" s="1240" t="n"/>
      <c r="AV714" s="1240" t="n"/>
    </row>
    <row r="715" ht="17.1" customHeight="1">
      <c r="A715" s="973" t="n"/>
      <c r="B715" s="971" t="n"/>
      <c r="C715" s="972" t="n"/>
      <c r="D715" s="973"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73"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73"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73"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73"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75"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413">
        <f>JULIO!K721</f>
        <v/>
      </c>
      <c r="E721" s="339">
        <f>H317</f>
        <v/>
      </c>
      <c r="F721" s="338" t="n"/>
      <c r="G721" s="338" t="n"/>
      <c r="H721" s="1235">
        <f>+F721+G721</f>
        <v/>
      </c>
      <c r="I721" s="340">
        <f>+AM721</f>
        <v/>
      </c>
      <c r="J721" s="341">
        <f>+H721+I721</f>
        <v/>
      </c>
      <c r="K721" s="583">
        <f>+(D721+E721)-(J721)</f>
        <v/>
      </c>
      <c r="L721" s="253" t="n"/>
      <c r="M721" s="254" t="n"/>
      <c r="N721" s="254" t="n"/>
      <c r="O721" s="1183" t="n"/>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c r="AA721" s="648" t="n"/>
      <c r="AB721" s="649">
        <f>+Z721+AA721</f>
        <v/>
      </c>
      <c r="AC721" s="648" t="n"/>
      <c r="AD721" s="648" t="n"/>
      <c r="AE721" s="648" t="n"/>
      <c r="AF721" s="648" t="n"/>
      <c r="AG721" s="648" t="n"/>
      <c r="AH721" s="648" t="n"/>
      <c r="AI721" s="648" t="n"/>
      <c r="AJ721" s="648" t="n"/>
      <c r="AK721" s="648" t="n"/>
      <c r="AL721" s="648" t="n"/>
      <c r="AM721" s="421">
        <f>SUM(AB721:AL726)</f>
        <v/>
      </c>
      <c r="AN721" s="726" t="n"/>
      <c r="AU721" s="1240" t="n"/>
      <c r="AV721" s="1240" t="n"/>
    </row>
    <row r="722" ht="17.1" customHeight="1">
      <c r="A722" s="973" t="n"/>
      <c r="B722" s="971" t="n"/>
      <c r="C722" s="972" t="n"/>
      <c r="D722" s="973" t="n"/>
      <c r="E722" s="973" t="n"/>
      <c r="F722" s="994" t="n"/>
      <c r="G722" s="994" t="n"/>
      <c r="H722" s="973" t="n"/>
      <c r="I722" s="973" t="n"/>
      <c r="J722" s="973" t="n"/>
      <c r="K722" s="973" t="n"/>
      <c r="L722" s="253" t="n"/>
      <c r="M722" s="254" t="n"/>
      <c r="N722" s="254" t="n"/>
      <c r="O722" s="1183" t="n"/>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73" t="n"/>
      <c r="E723" s="973" t="n"/>
      <c r="F723" s="994" t="n"/>
      <c r="G723" s="994" t="n"/>
      <c r="H723" s="973" t="n"/>
      <c r="I723" s="973" t="n"/>
      <c r="J723" s="973" t="n"/>
      <c r="K723" s="973" t="n"/>
      <c r="L723" s="253" t="n"/>
      <c r="M723" s="254" t="n"/>
      <c r="N723" s="254" t="n"/>
      <c r="O723" s="1183" t="n"/>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73" t="n"/>
      <c r="E724" s="973" t="n"/>
      <c r="F724" s="994" t="n"/>
      <c r="G724" s="994" t="n"/>
      <c r="H724" s="973" t="n"/>
      <c r="I724" s="973" t="n"/>
      <c r="J724" s="973" t="n"/>
      <c r="K724" s="973" t="n"/>
      <c r="L724" s="253" t="n"/>
      <c r="M724" s="254" t="n"/>
      <c r="N724" s="254" t="n"/>
      <c r="O724" s="1183" t="n"/>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73" t="n"/>
      <c r="E725" s="973" t="n"/>
      <c r="F725" s="994" t="n"/>
      <c r="G725" s="994" t="n"/>
      <c r="H725" s="973" t="n"/>
      <c r="I725" s="973" t="n"/>
      <c r="J725" s="973" t="n"/>
      <c r="K725" s="973" t="n"/>
      <c r="L725" s="253" t="n"/>
      <c r="M725" s="254" t="n"/>
      <c r="N725" s="254" t="n"/>
      <c r="O725" s="1183" t="n"/>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73" t="n"/>
      <c r="E726" s="973" t="n"/>
      <c r="F726" s="994" t="n"/>
      <c r="G726" s="994" t="n"/>
      <c r="H726" s="973" t="n"/>
      <c r="I726" s="973" t="n"/>
      <c r="J726" s="973" t="n"/>
      <c r="K726" s="975" t="n"/>
      <c r="L726" s="253" t="n"/>
      <c r="M726" s="254" t="n"/>
      <c r="N726" s="254" t="n"/>
      <c r="O726" s="1183" t="n"/>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75" t="n"/>
      <c r="E727" s="975" t="n"/>
      <c r="F727" s="998" t="n"/>
      <c r="G727" s="998" t="n"/>
      <c r="H727" s="975" t="n"/>
      <c r="I727" s="975" t="n"/>
      <c r="J727" s="975" t="n"/>
      <c r="K727" s="1189">
        <f>K721=L727</f>
        <v/>
      </c>
      <c r="L727" s="491">
        <f>SUM(L721:L726)</f>
        <v/>
      </c>
      <c r="M727" s="1190" t="inlineStr">
        <is>
          <t xml:space="preserve">“Verdadero” indica que la cantidad por lote, coincide con el saldo que inicia al mes siguiente. "Falso" no coinicide. </t>
        </is>
      </c>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413">
        <f>JULIO!K728</f>
        <v/>
      </c>
      <c r="E728" s="339">
        <f>H324</f>
        <v/>
      </c>
      <c r="F728" s="338" t="n"/>
      <c r="G728" s="338" t="n"/>
      <c r="H728" s="1235">
        <f>+F728+G728</f>
        <v/>
      </c>
      <c r="I728" s="340">
        <f>+AM728</f>
        <v/>
      </c>
      <c r="J728" s="341">
        <f>+H728+I728</f>
        <v/>
      </c>
      <c r="K728" s="583">
        <f>+(D728+E728)-(J728)</f>
        <v/>
      </c>
      <c r="L728" s="253" t="n"/>
      <c r="M728" s="254" t="n"/>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c r="AA728" s="648" t="n"/>
      <c r="AB728" s="649">
        <f>+Z728+AA728</f>
        <v/>
      </c>
      <c r="AC728" s="648" t="n"/>
      <c r="AD728" s="648" t="n"/>
      <c r="AE728" s="648" t="n"/>
      <c r="AF728" s="648" t="n"/>
      <c r="AG728" s="648" t="n"/>
      <c r="AH728" s="648" t="n"/>
      <c r="AI728" s="648" t="n"/>
      <c r="AJ728" s="648" t="n"/>
      <c r="AK728" s="648" t="n"/>
      <c r="AL728" s="648" t="n"/>
      <c r="AM728" s="421">
        <f>SUM(AB728:AL733)</f>
        <v/>
      </c>
      <c r="AN728" s="726" t="n"/>
      <c r="AU728" s="1240" t="n"/>
      <c r="AV728" s="1240" t="n"/>
    </row>
    <row r="729" ht="17.1" customHeight="1">
      <c r="A729" s="973" t="n"/>
      <c r="B729" s="971" t="n"/>
      <c r="C729" s="972" t="n"/>
      <c r="D729" s="973" t="n"/>
      <c r="E729" s="973" t="n"/>
      <c r="F729" s="994" t="n"/>
      <c r="G729" s="994" t="n"/>
      <c r="H729" s="973" t="n"/>
      <c r="I729" s="973" t="n"/>
      <c r="J729" s="973" t="n"/>
      <c r="K729" s="973" t="n"/>
      <c r="L729" s="253" t="n"/>
      <c r="M729" s="254" t="n"/>
      <c r="N729" s="254" t="n"/>
      <c r="O729" s="1183" t="n"/>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73"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73"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73"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73"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75" t="n"/>
      <c r="E734" s="975" t="n"/>
      <c r="F734" s="998" t="n"/>
      <c r="G734" s="998" t="n"/>
      <c r="H734" s="975" t="n"/>
      <c r="I734" s="975" t="n"/>
      <c r="J734" s="975" t="n"/>
      <c r="K734" s="1189">
        <f>K728=L734</f>
        <v/>
      </c>
      <c r="L734" s="491">
        <f>SUM(L728:L733)</f>
        <v/>
      </c>
      <c r="M734" s="1190" t="inlineStr">
        <is>
          <t xml:space="preserve">“Verdadero” indica que la cantidad por lote, coincide con el saldo que inicia al mes siguiente. "Falso" no coinicide. </t>
        </is>
      </c>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413">
        <f>JULIO!K735</f>
        <v/>
      </c>
      <c r="E735" s="339">
        <f>H331</f>
        <v/>
      </c>
      <c r="F735" s="338" t="n"/>
      <c r="G735" s="338" t="n"/>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c r="AA735" s="648" t="n"/>
      <c r="AB735" s="649">
        <f>+Z735+AA735</f>
        <v/>
      </c>
      <c r="AC735" s="648" t="n"/>
      <c r="AD735" s="648" t="n"/>
      <c r="AE735" s="648" t="n"/>
      <c r="AF735" s="648" t="n"/>
      <c r="AG735" s="648" t="n"/>
      <c r="AH735" s="648" t="n"/>
      <c r="AI735" s="648" t="n"/>
      <c r="AJ735" s="648" t="n"/>
      <c r="AK735" s="648" t="n"/>
      <c r="AL735" s="648" t="n"/>
      <c r="AM735" s="421">
        <f>SUM(AB735:AL740)</f>
        <v/>
      </c>
      <c r="AN735" s="726" t="n"/>
      <c r="AU735" s="1240" t="n"/>
      <c r="AV735" s="1240" t="n"/>
    </row>
    <row r="736" ht="17.1" customHeight="1">
      <c r="A736" s="973" t="n"/>
      <c r="B736" s="971" t="n"/>
      <c r="C736" s="972" t="n"/>
      <c r="D736" s="973"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73"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73"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73"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73"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75" t="n"/>
      <c r="E741" s="975" t="n"/>
      <c r="F741" s="998" t="n"/>
      <c r="G741" s="998" t="n"/>
      <c r="H741" s="975" t="n"/>
      <c r="I741" s="975" t="n"/>
      <c r="J741" s="975" t="n"/>
      <c r="K741" s="1189">
        <f>K735=L741</f>
        <v/>
      </c>
      <c r="L741" s="491">
        <f>SUM(L735:L740)</f>
        <v/>
      </c>
      <c r="M741" s="1190" t="inlineStr">
        <is>
          <t xml:space="preserve">“Verdadero” indica que la cantidad por lote, coincide con el saldo que inicia al mes siguiente. "Falso" no coinicide. </t>
        </is>
      </c>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413">
        <f>JULIO!K742</f>
        <v/>
      </c>
      <c r="E742" s="339">
        <f>H338</f>
        <v/>
      </c>
      <c r="F742" s="338" t="n"/>
      <c r="G742" s="338" t="n"/>
      <c r="H742" s="1235">
        <f>+F742+G742</f>
        <v/>
      </c>
      <c r="I742" s="340">
        <f>+AM742</f>
        <v/>
      </c>
      <c r="J742" s="341">
        <f>+H742+I742</f>
        <v/>
      </c>
      <c r="K742" s="583">
        <f>+(D742+E742)-(J742)</f>
        <v/>
      </c>
      <c r="L742" s="253" t="n"/>
      <c r="M742" s="254" t="n"/>
      <c r="N742" s="254" t="n"/>
      <c r="O742" s="1183" t="n"/>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c r="AA742" s="648" t="n"/>
      <c r="AB742" s="649">
        <f>+Z742+AA742</f>
        <v/>
      </c>
      <c r="AC742" s="648" t="n"/>
      <c r="AD742" s="648" t="n"/>
      <c r="AE742" s="648" t="n"/>
      <c r="AF742" s="648" t="n"/>
      <c r="AG742" s="648" t="n"/>
      <c r="AH742" s="648" t="n"/>
      <c r="AI742" s="648" t="n"/>
      <c r="AJ742" s="648" t="n"/>
      <c r="AK742" s="648" t="n"/>
      <c r="AL742" s="648" t="n"/>
      <c r="AM742" s="421">
        <f>SUM(AB742:AL747)</f>
        <v/>
      </c>
      <c r="AN742" s="726" t="n"/>
      <c r="AU742" s="1240" t="n"/>
      <c r="AV742" s="1240" t="n"/>
    </row>
    <row r="743" ht="17.1" customHeight="1">
      <c r="A743" s="973" t="n"/>
      <c r="B743" s="971" t="n"/>
      <c r="C743" s="972" t="n"/>
      <c r="D743" s="973" t="n"/>
      <c r="E743" s="973" t="n"/>
      <c r="F743" s="994" t="n"/>
      <c r="G743" s="994" t="n"/>
      <c r="H743" s="973" t="n"/>
      <c r="I743" s="973" t="n"/>
      <c r="J743" s="973" t="n"/>
      <c r="K743" s="973" t="n"/>
      <c r="L743" s="253" t="n"/>
      <c r="M743" s="254" t="n"/>
      <c r="N743" s="254" t="n"/>
      <c r="O743" s="1183" t="n"/>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73" t="n"/>
      <c r="E744" s="973" t="n"/>
      <c r="F744" s="994" t="n"/>
      <c r="G744" s="994" t="n"/>
      <c r="H744" s="973" t="n"/>
      <c r="I744" s="973" t="n"/>
      <c r="J744" s="973" t="n"/>
      <c r="K744" s="973" t="n"/>
      <c r="L744" s="253" t="n"/>
      <c r="M744" s="254" t="n"/>
      <c r="N744" s="254" t="n"/>
      <c r="O744" s="1183" t="n"/>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73" t="n"/>
      <c r="E745" s="973" t="n"/>
      <c r="F745" s="994" t="n"/>
      <c r="G745" s="994" t="n"/>
      <c r="H745" s="973" t="n"/>
      <c r="I745" s="973" t="n"/>
      <c r="J745" s="973" t="n"/>
      <c r="K745" s="973" t="n"/>
      <c r="L745" s="253" t="n"/>
      <c r="M745" s="254" t="n"/>
      <c r="N745" s="254" t="n"/>
      <c r="O745" s="1183" t="n"/>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73" t="n"/>
      <c r="E746" s="973" t="n"/>
      <c r="F746" s="994" t="n"/>
      <c r="G746" s="994" t="n"/>
      <c r="H746" s="973" t="n"/>
      <c r="I746" s="973" t="n"/>
      <c r="J746" s="973" t="n"/>
      <c r="K746" s="973" t="n"/>
      <c r="L746" s="253" t="n"/>
      <c r="M746" s="254" t="n"/>
      <c r="N746" s="254" t="n"/>
      <c r="O746" s="1183" t="n"/>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73" t="n"/>
      <c r="E747" s="973" t="n"/>
      <c r="F747" s="994" t="n"/>
      <c r="G747" s="994" t="n"/>
      <c r="H747" s="973" t="n"/>
      <c r="I747" s="973" t="n"/>
      <c r="J747" s="973" t="n"/>
      <c r="K747" s="975" t="n"/>
      <c r="L747" s="253" t="n"/>
      <c r="M747" s="254" t="n"/>
      <c r="N747" s="254" t="n"/>
      <c r="O747" s="1183" t="n"/>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75" t="n"/>
      <c r="E748" s="975" t="n"/>
      <c r="F748" s="998" t="n"/>
      <c r="G748" s="998" t="n"/>
      <c r="H748" s="975" t="n"/>
      <c r="I748" s="975" t="n"/>
      <c r="J748" s="975" t="n"/>
      <c r="K748" s="1189">
        <f>K742=L748</f>
        <v/>
      </c>
      <c r="L748" s="491">
        <f>SUM(L742:L747)</f>
        <v/>
      </c>
      <c r="M748" s="1190" t="inlineStr">
        <is>
          <t xml:space="preserve">“Verdadero” indica que la cantidad por lote, coincide con el saldo que inicia al mes siguiente. "Falso" no coinicide. </t>
        </is>
      </c>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413">
        <f>JULIO!K749</f>
        <v/>
      </c>
      <c r="E749" s="339">
        <f>H345</f>
        <v/>
      </c>
      <c r="F749" s="338" t="n"/>
      <c r="G749" s="338" t="n"/>
      <c r="H749" s="1235">
        <f>+F749+G749</f>
        <v/>
      </c>
      <c r="I749" s="340">
        <f>+AM749</f>
        <v/>
      </c>
      <c r="J749" s="341">
        <f>+H749+I749</f>
        <v/>
      </c>
      <c r="K749" s="583">
        <f>+(D749+E749)-(J749)</f>
        <v/>
      </c>
      <c r="L749" s="253" t="n"/>
      <c r="M749" s="254" t="n"/>
      <c r="N749" s="254" t="n"/>
      <c r="O749" s="1183" t="n"/>
      <c r="P749" s="256">
        <f>IF(O749=0," ",IFERROR(IF(DATEDIF(TODAY(),O749,"M")&lt;=5,"ROJO",IF(DATEDIF(TODAY(),O749,"M")&gt;=12,"VERDE",IF(AND(DATEDIF(TODAY(),O749,"M")&gt;=6,DATEDIF(TODAY(),O749,"M")&lt;=11),"AMARILLO"))),Q749))</f>
        <v/>
      </c>
      <c r="Q749" s="256">
        <f>IF(O749=0," ",IF(O749&lt;=$L$6,"VENCIDO","NO VENCIDO"))</f>
        <v/>
      </c>
      <c r="R749" s="257" t="n"/>
      <c r="S749" s="258" t="n"/>
      <c r="T749" s="258" t="n"/>
      <c r="U749" s="1184" t="n"/>
      <c r="V749" s="1184" t="n"/>
      <c r="W749" s="1236">
        <f>+AR749</f>
        <v/>
      </c>
      <c r="X749" s="1237" t="n"/>
      <c r="Y749" s="232" t="n"/>
      <c r="Z749" s="648" t="n"/>
      <c r="AA749" s="648" t="n"/>
      <c r="AB749" s="649">
        <f>+Z749+AA749</f>
        <v/>
      </c>
      <c r="AC749" s="648" t="n"/>
      <c r="AD749" s="648" t="n"/>
      <c r="AE749" s="648" t="n"/>
      <c r="AF749" s="648" t="n"/>
      <c r="AG749" s="648" t="n"/>
      <c r="AH749" s="648" t="n"/>
      <c r="AI749" s="648" t="n"/>
      <c r="AJ749" s="648" t="n"/>
      <c r="AK749" s="648" t="n"/>
      <c r="AL749" s="648" t="n"/>
      <c r="AM749" s="421">
        <f>SUM(AB749:AL754)</f>
        <v/>
      </c>
      <c r="AN749" s="726" t="n"/>
      <c r="AU749" s="1240" t="n"/>
      <c r="AV749" s="1240" t="n"/>
    </row>
    <row r="750" ht="17.1" customHeight="1">
      <c r="A750" s="973" t="n"/>
      <c r="B750" s="971" t="n"/>
      <c r="C750" s="972" t="n"/>
      <c r="D750" s="973"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73"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73"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73"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73"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75" t="n"/>
      <c r="E755" s="975" t="n"/>
      <c r="F755" s="998" t="n"/>
      <c r="G755" s="998" t="n"/>
      <c r="H755" s="975" t="n"/>
      <c r="I755" s="975" t="n"/>
      <c r="J755" s="975" t="n"/>
      <c r="K755" s="1189">
        <f>K749=L755</f>
        <v/>
      </c>
      <c r="L755" s="491">
        <f>SUM(L749:L754)</f>
        <v/>
      </c>
      <c r="M755" s="1190" t="inlineStr">
        <is>
          <t xml:space="preserve">“Verdadero” indica que la cantidad por lote, coincide con el saldo que inicia al mes siguiente. "Falso" no coinicide. </t>
        </is>
      </c>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413">
        <f>JULIO!K756</f>
        <v/>
      </c>
      <c r="E756" s="339">
        <f>H352</f>
        <v/>
      </c>
      <c r="F756" s="338" t="n"/>
      <c r="G756" s="338" t="n"/>
      <c r="H756" s="1235">
        <f>+F756+G756</f>
        <v/>
      </c>
      <c r="I756" s="340">
        <f>+AM756</f>
        <v/>
      </c>
      <c r="J756" s="341">
        <f>+H756+I756</f>
        <v/>
      </c>
      <c r="K756" s="583">
        <f>+(D756+E756)-(J756)</f>
        <v/>
      </c>
      <c r="L756" s="253" t="n"/>
      <c r="M756" s="254" t="n"/>
      <c r="N756" s="254" t="n"/>
      <c r="O756" s="1183" t="n"/>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c r="AA756" s="648" t="n"/>
      <c r="AB756" s="649">
        <f>+Z756+AA756</f>
        <v/>
      </c>
      <c r="AC756" s="648" t="n"/>
      <c r="AD756" s="648" t="n"/>
      <c r="AE756" s="648" t="n"/>
      <c r="AF756" s="648" t="n"/>
      <c r="AG756" s="648" t="n"/>
      <c r="AH756" s="648" t="n"/>
      <c r="AI756" s="648" t="n"/>
      <c r="AJ756" s="648" t="n"/>
      <c r="AK756" s="648" t="n"/>
      <c r="AL756" s="648" t="n"/>
      <c r="AM756" s="421">
        <f>SUM(AB756:AL761)</f>
        <v/>
      </c>
      <c r="AN756" s="726" t="n"/>
      <c r="AU756" s="1240" t="n"/>
      <c r="AV756" s="1240" t="n"/>
    </row>
    <row r="757" ht="17.1" customHeight="1">
      <c r="A757" s="973" t="n"/>
      <c r="B757" s="971" t="n"/>
      <c r="C757" s="972" t="n"/>
      <c r="D757" s="973" t="n"/>
      <c r="E757" s="973" t="n"/>
      <c r="F757" s="994" t="n"/>
      <c r="G757" s="994" t="n"/>
      <c r="H757" s="973" t="n"/>
      <c r="I757" s="973" t="n"/>
      <c r="J757" s="973" t="n"/>
      <c r="K757" s="973" t="n"/>
      <c r="L757" s="253" t="n"/>
      <c r="M757" s="254" t="n"/>
      <c r="N757" s="254" t="n"/>
      <c r="O757" s="1183" t="n"/>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73" t="n"/>
      <c r="E758" s="973" t="n"/>
      <c r="F758" s="994" t="n"/>
      <c r="G758" s="994" t="n"/>
      <c r="H758" s="973" t="n"/>
      <c r="I758" s="973" t="n"/>
      <c r="J758" s="973" t="n"/>
      <c r="K758" s="973" t="n"/>
      <c r="L758" s="253" t="n"/>
      <c r="M758" s="254" t="n"/>
      <c r="N758" s="254" t="n"/>
      <c r="O758" s="1183" t="n"/>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73" t="n"/>
      <c r="E759" s="973" t="n"/>
      <c r="F759" s="994" t="n"/>
      <c r="G759" s="994" t="n"/>
      <c r="H759" s="973" t="n"/>
      <c r="I759" s="973" t="n"/>
      <c r="J759" s="973" t="n"/>
      <c r="K759" s="973" t="n"/>
      <c r="L759" s="253" t="n"/>
      <c r="M759" s="254" t="n"/>
      <c r="N759" s="254" t="n"/>
      <c r="O759" s="1183" t="n"/>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73" t="n"/>
      <c r="E760" s="973" t="n"/>
      <c r="F760" s="994" t="n"/>
      <c r="G760" s="994" t="n"/>
      <c r="H760" s="973" t="n"/>
      <c r="I760" s="973" t="n"/>
      <c r="J760" s="973" t="n"/>
      <c r="K760" s="973" t="n"/>
      <c r="L760" s="253" t="n"/>
      <c r="M760" s="254" t="n"/>
      <c r="N760" s="254" t="n"/>
      <c r="O760" s="1183" t="n"/>
      <c r="P760" s="256">
        <f>IF(O760=0," ",IFERROR(IF(DATEDIF(TODAY(),O760,"M")&lt;=5,"ROJO",IF(DATEDIF(TODAY(),O760,"M")&gt;=12,"VERDE",IF(AND(DATEDIF(TODAY(),O760,"M")&gt;=6,DATEDIF(TODAY(),O760,"M")&lt;=11),"AMARILLO"))),Q760))</f>
        <v/>
      </c>
      <c r="Q760" s="256">
        <f>IF(O760=0," ",IF(O760&lt;=$L$6,"VENCIDO","NO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73"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75"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413">
        <f>JULIO!K763</f>
        <v/>
      </c>
      <c r="E763" s="339">
        <f>H359</f>
        <v/>
      </c>
      <c r="F763" s="338" t="n"/>
      <c r="G763" s="338" t="n"/>
      <c r="H763" s="1235">
        <f>+F763+G763</f>
        <v/>
      </c>
      <c r="I763" s="340">
        <f>+AM763</f>
        <v/>
      </c>
      <c r="J763" s="341">
        <f>+H763+I763</f>
        <v/>
      </c>
      <c r="K763" s="583">
        <f>+(D763+E763)-(J763)</f>
        <v/>
      </c>
      <c r="L763" s="253" t="n"/>
      <c r="M763" s="254" t="n"/>
      <c r="N763" s="254" t="n"/>
      <c r="O763" s="1183" t="n"/>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c r="AA763" s="648" t="n"/>
      <c r="AB763" s="649">
        <f>+Z763+AA763</f>
        <v/>
      </c>
      <c r="AC763" s="648" t="n"/>
      <c r="AD763" s="648" t="n"/>
      <c r="AE763" s="648" t="n"/>
      <c r="AF763" s="648" t="n"/>
      <c r="AG763" s="648" t="n"/>
      <c r="AH763" s="648" t="n"/>
      <c r="AI763" s="648" t="n"/>
      <c r="AJ763" s="648" t="n"/>
      <c r="AK763" s="648" t="n"/>
      <c r="AL763" s="648" t="n"/>
      <c r="AM763" s="421">
        <f>SUM(AB763:AL768)</f>
        <v/>
      </c>
      <c r="AN763" s="726" t="n"/>
      <c r="AU763" s="1240" t="n"/>
      <c r="AV763" s="1240" t="n"/>
    </row>
    <row r="764" ht="17.1" customHeight="1">
      <c r="A764" s="973" t="n"/>
      <c r="B764" s="971" t="n"/>
      <c r="C764" s="972" t="n"/>
      <c r="D764" s="973" t="n"/>
      <c r="E764" s="973" t="n"/>
      <c r="F764" s="994" t="n"/>
      <c r="G764" s="994" t="n"/>
      <c r="H764" s="973" t="n"/>
      <c r="I764" s="973" t="n"/>
      <c r="J764" s="973" t="n"/>
      <c r="K764" s="973" t="n"/>
      <c r="L764" s="253" t="n"/>
      <c r="M764" s="254" t="n"/>
      <c r="N764" s="254" t="n"/>
      <c r="O764" s="1183" t="n"/>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73" t="n"/>
      <c r="E765" s="973" t="n"/>
      <c r="F765" s="994" t="n"/>
      <c r="G765" s="994" t="n"/>
      <c r="H765" s="973" t="n"/>
      <c r="I765" s="973" t="n"/>
      <c r="J765" s="973" t="n"/>
      <c r="K765" s="973" t="n"/>
      <c r="L765" s="253" t="n"/>
      <c r="M765" s="254" t="n"/>
      <c r="N765" s="254" t="n"/>
      <c r="O765" s="1183" t="n"/>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73" t="n"/>
      <c r="E766" s="973" t="n"/>
      <c r="F766" s="994" t="n"/>
      <c r="G766" s="994" t="n"/>
      <c r="H766" s="973" t="n"/>
      <c r="I766" s="973" t="n"/>
      <c r="J766" s="973" t="n"/>
      <c r="K766" s="973" t="n"/>
      <c r="L766" s="253" t="n"/>
      <c r="M766" s="254" t="n"/>
      <c r="N766" s="254" t="n"/>
      <c r="O766" s="1183" t="n"/>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73" t="n"/>
      <c r="E767" s="973" t="n"/>
      <c r="F767" s="994" t="n"/>
      <c r="G767" s="994" t="n"/>
      <c r="H767" s="973" t="n"/>
      <c r="I767" s="973" t="n"/>
      <c r="J767" s="973" t="n"/>
      <c r="K767" s="973" t="n"/>
      <c r="L767" s="253" t="n"/>
      <c r="M767" s="254" t="n"/>
      <c r="N767" s="254" t="n"/>
      <c r="O767" s="1183" t="n"/>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73"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75" t="n"/>
      <c r="E769" s="975" t="n"/>
      <c r="F769" s="998" t="n"/>
      <c r="G769" s="998" t="n"/>
      <c r="H769" s="975" t="n"/>
      <c r="I769" s="975" t="n"/>
      <c r="J769" s="975" t="n"/>
      <c r="K769" s="1189">
        <f>K763=L769</f>
        <v/>
      </c>
      <c r="L769" s="491">
        <f>SUM(L763:L768)</f>
        <v/>
      </c>
      <c r="M769" s="1190" t="inlineStr">
        <is>
          <t xml:space="preserve">“Verdadero” indica que la cantidad por lote, coincide con el saldo que inicia al mes siguiente. "Falso" no coinicide. </t>
        </is>
      </c>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413">
        <f>JULIO!K770</f>
        <v/>
      </c>
      <c r="E770" s="339">
        <f>H366</f>
        <v/>
      </c>
      <c r="F770" s="338" t="n"/>
      <c r="G770" s="338" t="n"/>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c r="AA770" s="648" t="n"/>
      <c r="AB770" s="649">
        <f>+Z770+AA770</f>
        <v/>
      </c>
      <c r="AC770" s="648" t="n"/>
      <c r="AD770" s="648" t="n"/>
      <c r="AE770" s="648" t="n"/>
      <c r="AF770" s="648" t="n"/>
      <c r="AG770" s="648" t="n"/>
      <c r="AH770" s="648" t="n"/>
      <c r="AI770" s="648" t="n"/>
      <c r="AJ770" s="648" t="n"/>
      <c r="AK770" s="648" t="n"/>
      <c r="AL770" s="648" t="n"/>
      <c r="AM770" s="421">
        <f>SUM(AB770:AL775)</f>
        <v/>
      </c>
      <c r="AN770" s="726" t="n"/>
      <c r="AU770" s="1240" t="n"/>
      <c r="AV770" s="1240" t="n"/>
    </row>
    <row r="771" ht="17.1" customHeight="1">
      <c r="A771" s="973" t="n"/>
      <c r="B771" s="971" t="n"/>
      <c r="C771" s="972" t="n"/>
      <c r="D771" s="973"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73"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73"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73"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73"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75" t="n"/>
      <c r="E776" s="975" t="n"/>
      <c r="F776" s="998" t="n"/>
      <c r="G776" s="998" t="n"/>
      <c r="H776" s="975" t="n"/>
      <c r="I776" s="975" t="n"/>
      <c r="J776" s="975" t="n"/>
      <c r="K776" s="1189">
        <f>K770=L776</f>
        <v/>
      </c>
      <c r="L776" s="491">
        <f>SUM(L770:L775)</f>
        <v/>
      </c>
      <c r="M776" s="1190" t="inlineStr">
        <is>
          <t xml:space="preserve">“Verdadero” indica que la cantidad por lote, coincide con el saldo que inicia al mes siguiente. "Falso" no coinicide. </t>
        </is>
      </c>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413">
        <f>JULIO!K777</f>
        <v/>
      </c>
      <c r="E777" s="339">
        <f>H373</f>
        <v/>
      </c>
      <c r="F777" s="338" t="n"/>
      <c r="G777" s="338" t="n"/>
      <c r="H777" s="576">
        <f>+F777+G777</f>
        <v/>
      </c>
      <c r="I777" s="340">
        <f>+AM777</f>
        <v/>
      </c>
      <c r="J777" s="341">
        <f>+H777+I777</f>
        <v/>
      </c>
      <c r="K777" s="584">
        <f>+(D777+E777)-(J777)</f>
        <v/>
      </c>
      <c r="L777" s="253" t="n"/>
      <c r="M777" s="254" t="n"/>
      <c r="N777" s="254" t="n"/>
      <c r="O777" s="1183" t="n"/>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c r="AA777" s="648" t="n"/>
      <c r="AB777" s="649">
        <f>+Z777+AA777</f>
        <v/>
      </c>
      <c r="AC777" s="648" t="n"/>
      <c r="AD777" s="648" t="n"/>
      <c r="AE777" s="648" t="n"/>
      <c r="AF777" s="648" t="n"/>
      <c r="AG777" s="648" t="n"/>
      <c r="AH777" s="648" t="n"/>
      <c r="AI777" s="648" t="n"/>
      <c r="AJ777" s="648" t="n"/>
      <c r="AK777" s="648" t="n"/>
      <c r="AL777" s="648" t="n"/>
      <c r="AM777" s="382">
        <f>SUM(AB777:AL777)</f>
        <v/>
      </c>
      <c r="AN777" s="726" t="n"/>
      <c r="AU777" s="1240" t="n"/>
      <c r="AV777" s="1240" t="n"/>
    </row>
    <row r="778" ht="30" customHeight="1">
      <c r="A778" s="585">
        <f>A777+1</f>
        <v/>
      </c>
      <c r="B778" s="629" t="inlineStr">
        <is>
          <t>Carnet de vacunación adultos</t>
        </is>
      </c>
      <c r="C778" s="967" t="n"/>
      <c r="D778" s="413">
        <f>JULIO!K778</f>
        <v/>
      </c>
      <c r="E778" s="339">
        <f>H374</f>
        <v/>
      </c>
      <c r="F778" s="338" t="n"/>
      <c r="G778" s="338" t="n"/>
      <c r="H778" s="576">
        <f>+F778+G778</f>
        <v/>
      </c>
      <c r="I778" s="340">
        <f>+AM778</f>
        <v/>
      </c>
      <c r="J778" s="341">
        <f>+H778+I778</f>
        <v/>
      </c>
      <c r="K778" s="584">
        <f>+(D778+E778)-(J778)</f>
        <v/>
      </c>
      <c r="L778" s="253" t="n"/>
      <c r="M778" s="254" t="n"/>
      <c r="N778" s="254" t="n"/>
      <c r="O778" s="1183" t="n"/>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c r="AA778" s="648" t="n"/>
      <c r="AB778" s="649">
        <f>+Z778+AA778</f>
        <v/>
      </c>
      <c r="AC778" s="648" t="n"/>
      <c r="AD778" s="648" t="n"/>
      <c r="AE778" s="648" t="n"/>
      <c r="AF778" s="648" t="n"/>
      <c r="AG778" s="648" t="n"/>
      <c r="AH778" s="648" t="n"/>
      <c r="AI778" s="648" t="n"/>
      <c r="AJ778" s="648" t="n"/>
      <c r="AK778" s="648" t="n"/>
      <c r="AL778" s="648" t="n"/>
      <c r="AM778" s="382">
        <f>SUM(AB778:AL778)</f>
        <v/>
      </c>
      <c r="AN778" s="726" t="n"/>
      <c r="AU778" s="1240" t="n"/>
      <c r="AV778" s="1240" t="n"/>
    </row>
    <row r="779" ht="30" customHeight="1">
      <c r="A779" s="585">
        <f>A778+1</f>
        <v/>
      </c>
      <c r="B779" s="629" t="inlineStr">
        <is>
          <t>Carnet/Certificado de vacunación (Covid-19)</t>
        </is>
      </c>
      <c r="C779" s="967" t="n"/>
      <c r="D779" s="413">
        <f>JULIO!K779</f>
        <v/>
      </c>
      <c r="E779" s="339">
        <f>H375</f>
        <v/>
      </c>
      <c r="F779" s="338" t="n"/>
      <c r="G779" s="338" t="n"/>
      <c r="H779" s="576">
        <f>+F779+G779</f>
        <v/>
      </c>
      <c r="I779" s="340">
        <f>+AM779</f>
        <v/>
      </c>
      <c r="J779" s="341">
        <f>+H779+I779</f>
        <v/>
      </c>
      <c r="K779" s="584">
        <f>+(D779+E779)-(J779)</f>
        <v/>
      </c>
      <c r="L779" s="253" t="n"/>
      <c r="M779" s="254" t="n"/>
      <c r="N779" s="254" t="n"/>
      <c r="O779" s="1183" t="n"/>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c r="AA779" s="648" t="n"/>
      <c r="AB779" s="649">
        <f>+Z779+AA779</f>
        <v/>
      </c>
      <c r="AC779" s="648" t="n"/>
      <c r="AD779" s="648" t="n"/>
      <c r="AE779" s="648" t="n"/>
      <c r="AF779" s="648" t="n"/>
      <c r="AG779" s="648" t="n"/>
      <c r="AH779" s="648" t="n"/>
      <c r="AI779" s="648" t="n"/>
      <c r="AJ779" s="648" t="n"/>
      <c r="AK779" s="648" t="n"/>
      <c r="AL779" s="648" t="n"/>
      <c r="AM779" s="382">
        <f>SUM(AB779:AL779)</f>
        <v/>
      </c>
      <c r="AN779" s="726" t="n"/>
      <c r="AU779" s="1240" t="n"/>
      <c r="AV779" s="1240" t="n"/>
    </row>
    <row r="780" ht="30" customHeight="1">
      <c r="A780" s="585">
        <f>A779+1</f>
        <v/>
      </c>
      <c r="B780" s="629" t="inlineStr">
        <is>
          <t>Carne/certificado internacional de vacunación</t>
        </is>
      </c>
      <c r="C780" s="967" t="n"/>
      <c r="D780" s="413">
        <f>JULIO!K780</f>
        <v/>
      </c>
      <c r="E780" s="339">
        <f>H376</f>
        <v/>
      </c>
      <c r="F780" s="338" t="n"/>
      <c r="G780" s="338" t="n"/>
      <c r="H780" s="576">
        <f>+F780+G780</f>
        <v/>
      </c>
      <c r="I780" s="340">
        <f>+AM780</f>
        <v/>
      </c>
      <c r="J780" s="341">
        <f>+H780+I780</f>
        <v/>
      </c>
      <c r="K780" s="584">
        <f>+(D780+E780)-(J780)</f>
        <v/>
      </c>
      <c r="L780" s="253" t="n"/>
      <c r="M780" s="254" t="n"/>
      <c r="N780" s="254" t="n"/>
      <c r="O780" s="1183" t="n"/>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c r="AA780" s="648" t="n"/>
      <c r="AB780" s="649">
        <f>+Z780+AA780</f>
        <v/>
      </c>
      <c r="AC780" s="648" t="n"/>
      <c r="AD780" s="648" t="n"/>
      <c r="AE780" s="648" t="n"/>
      <c r="AF780" s="648" t="n"/>
      <c r="AG780" s="648" t="n"/>
      <c r="AH780" s="648" t="n"/>
      <c r="AI780" s="648" t="n"/>
      <c r="AJ780" s="648" t="n"/>
      <c r="AK780" s="648" t="n"/>
      <c r="AL780" s="648" t="n"/>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413">
        <f>JULIO!K781</f>
        <v/>
      </c>
      <c r="E781" s="339">
        <f>H377</f>
        <v/>
      </c>
      <c r="F781" s="338" t="n"/>
      <c r="G781" s="338" t="n"/>
      <c r="H781" s="576">
        <f>+F781+G781</f>
        <v/>
      </c>
      <c r="I781" s="340">
        <f>+AM781</f>
        <v/>
      </c>
      <c r="J781" s="341">
        <f>+H781+I781</f>
        <v/>
      </c>
      <c r="K781" s="584">
        <f>+(D781+E781)-(J781)</f>
        <v/>
      </c>
      <c r="L781" s="253" t="n"/>
      <c r="M781" s="254" t="n"/>
      <c r="N781" s="254" t="n"/>
      <c r="O781" s="1183" t="n"/>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c r="AA781" s="648" t="n"/>
      <c r="AB781" s="649">
        <f>+Z781+AA781</f>
        <v/>
      </c>
      <c r="AC781" s="648" t="n"/>
      <c r="AD781" s="648" t="n"/>
      <c r="AE781" s="648" t="n"/>
      <c r="AF781" s="648" t="n"/>
      <c r="AG781" s="648" t="n"/>
      <c r="AH781" s="648" t="n"/>
      <c r="AI781" s="648" t="n"/>
      <c r="AJ781" s="648" t="n"/>
      <c r="AK781" s="648" t="n"/>
      <c r="AL781" s="648" t="n"/>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413">
        <f>JULIO!K782</f>
        <v/>
      </c>
      <c r="E782" s="339">
        <f>H378</f>
        <v/>
      </c>
      <c r="F782" s="338" t="n"/>
      <c r="G782" s="338" t="n"/>
      <c r="H782" s="576">
        <f>+F782+G782</f>
        <v/>
      </c>
      <c r="I782" s="340">
        <f>+AM782</f>
        <v/>
      </c>
      <c r="J782" s="341">
        <f>+H782+I782</f>
        <v/>
      </c>
      <c r="K782" s="584">
        <f>+(D782+E782)-(J782)</f>
        <v/>
      </c>
      <c r="L782" s="253" t="n"/>
      <c r="M782" s="254" t="n"/>
      <c r="N782" s="254" t="n"/>
      <c r="O782" s="1183" t="n"/>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c r="AA782" s="648" t="n"/>
      <c r="AB782" s="649">
        <f>+Z782+AA782</f>
        <v/>
      </c>
      <c r="AC782" s="648" t="n"/>
      <c r="AD782" s="648" t="n"/>
      <c r="AE782" s="648" t="n"/>
      <c r="AF782" s="648" t="n"/>
      <c r="AG782" s="648" t="n"/>
      <c r="AH782" s="648" t="n"/>
      <c r="AI782" s="648" t="n"/>
      <c r="AJ782" s="648" t="n"/>
      <c r="AK782" s="648" t="n"/>
      <c r="AL782" s="648" t="n"/>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413">
        <f>JULIO!K783</f>
        <v/>
      </c>
      <c r="E783" s="339">
        <f>H379</f>
        <v/>
      </c>
      <c r="F783" s="338" t="n"/>
      <c r="G783" s="338" t="n"/>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c r="AA783" s="648" t="n"/>
      <c r="AB783" s="649">
        <f>+Z783+AA783</f>
        <v/>
      </c>
      <c r="AC783" s="648" t="n"/>
      <c r="AD783" s="648" t="n"/>
      <c r="AE783" s="648" t="n"/>
      <c r="AF783" s="648" t="n"/>
      <c r="AG783" s="648" t="n"/>
      <c r="AH783" s="648" t="n"/>
      <c r="AI783" s="648" t="n"/>
      <c r="AJ783" s="648" t="n"/>
      <c r="AK783" s="648" t="n"/>
      <c r="AL783" s="648" t="n"/>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569" t="inlineStr">
        <is>
          <t>ÍTEM</t>
        </is>
      </c>
      <c r="B785" s="569" t="inlineStr">
        <is>
          <t>VACUNA COVID-19</t>
        </is>
      </c>
      <c r="C785" s="965" t="n"/>
      <c r="D785" s="1231" t="inlineStr">
        <is>
          <t>SALDO MES ANTERIOR</t>
        </is>
      </c>
      <c r="E785" s="961" t="inlineStr">
        <is>
          <t>BIOLÓGICO RECIBIDO DEL CENTRO DE ACOPIO DEPARTAMENTAL / DISTRITAL</t>
        </is>
      </c>
      <c r="F785" s="1231" t="inlineStr">
        <is>
          <t>DOSIS APLICADAS</t>
        </is>
      </c>
      <c r="G785" s="967" t="n"/>
      <c r="H785" s="1232" t="inlineStr">
        <is>
          <t>TOTAL DOSIS APLICADAS</t>
        </is>
      </c>
      <c r="I785" s="961" t="inlineStr">
        <is>
          <t>DOSIS PERDIDAS</t>
        </is>
      </c>
      <c r="J785" s="1231" t="inlineStr">
        <is>
          <t>TOTAL DOSIS ÚTILIZADAS EN EL MES</t>
        </is>
      </c>
      <c r="K785" s="623" t="inlineStr">
        <is>
          <t>SALDO QUE INICIA EL MES SIGUIENTE (SOLO MUNICIPIOS)</t>
        </is>
      </c>
      <c r="L785" s="623" t="inlineStr">
        <is>
          <t>DOSIS POR LOTES</t>
        </is>
      </c>
      <c r="M785" s="623" t="inlineStr">
        <is>
          <t xml:space="preserve">No. LOTE </t>
        </is>
      </c>
      <c r="N785" s="623" t="inlineStr">
        <is>
          <t>LABORATORIO</t>
        </is>
      </c>
      <c r="O785" s="623" t="inlineStr">
        <is>
          <t>FECHA DE VENCIMIENTO</t>
        </is>
      </c>
      <c r="P785" s="623" t="inlineStr">
        <is>
          <t>SEMAFORIZACION VIDA  ÚTIL DEL BIOLÓGICO</t>
        </is>
      </c>
      <c r="Q785" s="623" t="inlineStr">
        <is>
          <t>CONDICIÓN FINAL DEL BIOLÓGICO, DILUYENTE Y CARNET</t>
        </is>
      </c>
      <c r="R785" s="613" t="inlineStr">
        <is>
          <t>DOSIS EN CUARENTENA</t>
        </is>
      </c>
      <c r="S785" s="613" t="inlineStr">
        <is>
          <t>LABORATORIO</t>
        </is>
      </c>
      <c r="T785" s="613" t="inlineStr">
        <is>
          <t>No. LOTE</t>
        </is>
      </c>
      <c r="U785" s="613" t="inlineStr">
        <is>
          <t>FECHA DE VENCIMEINTO</t>
        </is>
      </c>
      <c r="V785" s="613" t="inlineStr">
        <is>
          <t>FECHA DE INICIO CUARENTENA</t>
        </is>
      </c>
      <c r="W785" s="613" t="inlineStr">
        <is>
          <t>OBSERVACIONES</t>
        </is>
      </c>
      <c r="X785" s="351" t="n"/>
      <c r="Y785" s="232" t="n"/>
      <c r="Z785" s="1221" t="inlineStr">
        <is>
          <t>MOTIVOS DE NO USO DE VACUNAS CONTRA LA COVID-19
RESOLUCIÓN 0118 DEL 27 DE ENERO DE 2026
DISPONIBLE EN EL SIGUIENTE LINK: https://www.minsalud.gov.co/Normatividad_Nuevo/Resolucion%20No%20118%20de%202026.pdf</t>
        </is>
      </c>
      <c r="AA785" s="968" t="n"/>
      <c r="AB785" s="968" t="n"/>
      <c r="AC785" s="968" t="n"/>
      <c r="AD785" s="968" t="n"/>
      <c r="AE785" s="968" t="n"/>
      <c r="AF785" s="968" t="n"/>
      <c r="AG785" s="968" t="n"/>
      <c r="AH785" s="968" t="n"/>
      <c r="AI785" s="968" t="n"/>
      <c r="AJ785" s="968" t="n"/>
      <c r="AK785" s="968" t="n"/>
      <c r="AL785" s="967" t="n"/>
      <c r="AM785" s="532" t="inlineStr">
        <is>
          <t xml:space="preserve">TOTAL DOSIS PERDIDAS        </t>
        </is>
      </c>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inlineStr">
        <is>
          <t>POLÍTICA DE FRASCOS ABIERTO</t>
        </is>
      </c>
      <c r="AA787" s="967" t="n"/>
      <c r="AB787" s="1222" t="inlineStr">
        <is>
          <t>INTERRUPCIÓN DE LA CADENA DE FRÍO</t>
        </is>
      </c>
      <c r="AC787" s="537" t="inlineStr">
        <is>
          <t>CONTAMINACIÓN DEL BIOLÓGICO</t>
        </is>
      </c>
      <c r="AD787" s="1222" t="inlineStr">
        <is>
          <t>ERROR EN LA MANIPULACIÓN</t>
        </is>
      </c>
      <c r="AE787" s="537" t="inlineStr">
        <is>
          <t>ERROR EN LA RECONSTITUCIÓN/DILUCIÓN</t>
        </is>
      </c>
      <c r="AF787" s="1222" t="inlineStr">
        <is>
          <t>ERROR EN LA DOSIFICACIÓN</t>
        </is>
      </c>
      <c r="AG787" s="537" t="inlineStr">
        <is>
          <t>VACUNA QUE EXCEDE EL TIEMPO DE ALMACENAMIENTO EN REFRIGERACIÓN</t>
        </is>
      </c>
      <c r="AH787" s="1222" t="inlineStr">
        <is>
          <t>VENCIMIENTO DEL BIOLÓGICO</t>
        </is>
      </c>
      <c r="AI787" s="537" t="inlineStr">
        <is>
          <t>FRASCO VIAL ROTO</t>
        </is>
      </c>
      <c r="AJ787" s="1222" t="inlineStr">
        <is>
          <t>FALLAS DE FABRICACIÓN/CALIDAD</t>
        </is>
      </c>
      <c r="AK787" s="537" t="inlineStr">
        <is>
          <t>SINIESTRO / ACCIDENTE</t>
        </is>
      </c>
      <c r="AL787" s="1222" t="inlineStr">
        <is>
          <t>ROBO/HURTO BIOLÓGICO</t>
        </is>
      </c>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inlineStr">
        <is>
          <t>INSTITUCIONAL</t>
        </is>
      </c>
      <c r="AA788" s="497" t="inlineStr">
        <is>
          <t>EXTRAMURAL</t>
        </is>
      </c>
      <c r="AB788" s="975" t="n"/>
      <c r="AC788" s="975" t="n"/>
      <c r="AD788" s="975" t="n"/>
      <c r="AE788" s="975" t="n"/>
      <c r="AF788" s="975" t="n"/>
      <c r="AG788" s="975" t="n"/>
      <c r="AH788" s="975" t="n"/>
      <c r="AI788" s="975" t="n"/>
      <c r="AJ788" s="975" t="n"/>
      <c r="AK788" s="975" t="n"/>
      <c r="AL788" s="975" t="n"/>
      <c r="AM788" s="975" t="n"/>
      <c r="AN788" s="368" t="n"/>
      <c r="AO788" s="368" t="n"/>
      <c r="AP788" s="416" t="n"/>
      <c r="AQ788" s="546" t="inlineStr">
        <is>
          <t>PORCENTAJE DE PERDIDA DEL MES
%</t>
        </is>
      </c>
      <c r="AR788" s="546" t="inlineStr">
        <is>
          <t>FACTOR DE PERDIDA DEL MES</t>
        </is>
      </c>
      <c r="AS788" s="420" t="inlineStr">
        <is>
          <t>% DE PERDIDA DEL MSPS</t>
        </is>
      </c>
      <c r="AT788" s="420" t="inlineStr">
        <is>
          <t>DOSIS POR VIAL</t>
        </is>
      </c>
      <c r="AV788" s="1240" t="n"/>
      <c r="AW788" s="1240" t="n"/>
    </row>
    <row r="789" ht="19.5" customHeight="1">
      <c r="A789" s="585" t="n">
        <v>1</v>
      </c>
      <c r="B789" s="1249" t="inlineStr">
        <is>
          <t>MODERNA ADULTO</t>
        </is>
      </c>
      <c r="C789" s="965" t="n"/>
      <c r="D789" s="496">
        <f>JULIO!K789</f>
        <v/>
      </c>
      <c r="E789" s="339">
        <f>H385</f>
        <v/>
      </c>
      <c r="F789" s="731" t="n">
        <v>0</v>
      </c>
      <c r="G789" s="731" t="n">
        <v>0</v>
      </c>
      <c r="H789" s="1235">
        <f>+F789+G789</f>
        <v/>
      </c>
      <c r="I789" s="340">
        <f>+AM789</f>
        <v/>
      </c>
      <c r="J789" s="341">
        <f>+H789+I789</f>
        <v/>
      </c>
      <c r="K789" s="583">
        <f>+(D789+E789)-(J789)</f>
        <v/>
      </c>
      <c r="L789" s="486" t="n"/>
      <c r="M789" s="487" t="n"/>
      <c r="N789" s="487" t="n"/>
      <c r="O789" s="1223" t="n"/>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v>20</v>
      </c>
      <c r="AA789" s="648" t="n">
        <v>0</v>
      </c>
      <c r="AB789" s="648">
        <f>+Z789+AA789</f>
        <v/>
      </c>
      <c r="AC789" s="648" t="n">
        <v>0</v>
      </c>
      <c r="AD789" s="648" t="n">
        <v>0</v>
      </c>
      <c r="AE789" s="648" t="n">
        <v>0</v>
      </c>
      <c r="AF789" s="648" t="n">
        <v>0</v>
      </c>
      <c r="AG789" s="648" t="n">
        <v>0</v>
      </c>
      <c r="AH789" s="648" t="n">
        <v>0</v>
      </c>
      <c r="AI789" s="648" t="n">
        <v>0</v>
      </c>
      <c r="AJ789" s="648" t="n">
        <v>0</v>
      </c>
      <c r="AK789" s="648" t="n">
        <v>0</v>
      </c>
      <c r="AL789" s="648" t="n">
        <v>0</v>
      </c>
      <c r="AM789" s="573">
        <f>SUM(AB789:AL793)</f>
        <v/>
      </c>
      <c r="AN789" s="693" t="n"/>
      <c r="AO789" s="485" t="n"/>
      <c r="AP789" s="416" t="n"/>
      <c r="AQ789" s="1238">
        <f>IFERROR(I789/J789*100,"0")</f>
        <v/>
      </c>
      <c r="AR789" s="1238">
        <f>IFERROR(1/(1-(AQ789/100)),"0")</f>
        <v/>
      </c>
      <c r="AS789" s="1238" t="n">
        <v>0</v>
      </c>
      <c r="AT789" s="345" t="n">
        <v>5</v>
      </c>
      <c r="AU789" s="1240" t="n"/>
      <c r="AV789" s="1240" t="n"/>
    </row>
    <row r="790" ht="19.5" customHeight="1">
      <c r="A790" s="973" t="n"/>
      <c r="B790" s="971" t="n"/>
      <c r="C790" s="972" t="n"/>
      <c r="D790" s="973"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73"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73"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75" t="n"/>
      <c r="E793" s="975" t="n"/>
      <c r="F793" s="998" t="n"/>
      <c r="G793" s="998" t="n"/>
      <c r="H793" s="975" t="n"/>
      <c r="I793" s="975" t="n"/>
      <c r="J793" s="975" t="n"/>
      <c r="K793" s="1189">
        <f>K789=L793</f>
        <v/>
      </c>
      <c r="L793" s="491">
        <f>SUM(L789:L792)</f>
        <v/>
      </c>
      <c r="M793" s="1190" t="inlineStr">
        <is>
          <t xml:space="preserve">“Verdadero” indica que la cantidad por lote, coincide con el saldo que inicia al mes siguiente. "Falso" no coinicide. </t>
        </is>
      </c>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496">
        <f>JULIO!K794</f>
        <v/>
      </c>
      <c r="E794" s="339">
        <f>H390</f>
        <v/>
      </c>
      <c r="F794" s="731" t="n"/>
      <c r="G794" s="731" t="n"/>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c r="AA794" s="648" t="n"/>
      <c r="AB794" s="648" t="n"/>
      <c r="AC794" s="648" t="n"/>
      <c r="AD794" s="648" t="n"/>
      <c r="AE794" s="648" t="n"/>
      <c r="AF794" s="648" t="n"/>
      <c r="AG794" s="648" t="n"/>
      <c r="AH794" s="648" t="n"/>
      <c r="AI794" s="648" t="n"/>
      <c r="AJ794" s="648" t="n"/>
      <c r="AK794" s="648" t="n"/>
      <c r="AL794" s="648" t="n"/>
      <c r="AM794" s="573">
        <f>SUM(Z794:AL797)</f>
        <v/>
      </c>
      <c r="AN794" s="693" t="n"/>
      <c r="AO794" s="485" t="n"/>
      <c r="AP794" s="416" t="n"/>
      <c r="AQ794" s="1238">
        <f>IFERROR(I794/J794*100,"0")</f>
        <v/>
      </c>
      <c r="AR794" s="1238">
        <f>IFERROR(1/(1-(AQ794/100)),"0")</f>
        <v/>
      </c>
      <c r="AS794" s="1238" t="n">
        <v>0</v>
      </c>
      <c r="AT794" s="345" t="n">
        <v>10</v>
      </c>
      <c r="AU794" s="1240" t="n"/>
      <c r="AV794" s="1240" t="n"/>
    </row>
    <row r="795" ht="19.5" customHeight="1">
      <c r="A795" s="973" t="n"/>
      <c r="B795" s="971" t="n"/>
      <c r="C795" s="972" t="n"/>
      <c r="D795" s="973"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73"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73"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75" t="n"/>
      <c r="E798" s="975" t="n"/>
      <c r="F798" s="998" t="n"/>
      <c r="G798" s="998" t="n"/>
      <c r="H798" s="975" t="n"/>
      <c r="I798" s="975" t="n"/>
      <c r="J798" s="975" t="n"/>
      <c r="K798" s="1189">
        <f>K794=L798</f>
        <v/>
      </c>
      <c r="L798" s="491">
        <f>SUM(L794:L797)</f>
        <v/>
      </c>
      <c r="M798" s="1190" t="inlineStr">
        <is>
          <t xml:space="preserve">“Verdadero” indica que la cantidad por lote, coincide con el saldo que inicia al mes siguiente. "Falso" no coinicide. </t>
        </is>
      </c>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496">
        <f>JULIO!K799</f>
        <v/>
      </c>
      <c r="E799" s="339">
        <f>H395</f>
        <v/>
      </c>
      <c r="F799" s="731" t="n"/>
      <c r="G799" s="731" t="n"/>
      <c r="H799" s="1235">
        <f>SUM(F799,G799)</f>
        <v/>
      </c>
      <c r="I799" s="340">
        <f>+AM799</f>
        <v/>
      </c>
      <c r="J799" s="341">
        <f>+H799+I799</f>
        <v/>
      </c>
      <c r="K799" s="583">
        <f>+(D799+E799)-(J799)</f>
        <v/>
      </c>
      <c r="L799" s="486" t="n"/>
      <c r="M799" s="487" t="n"/>
      <c r="N799" s="487" t="n"/>
      <c r="O799" s="1223" t="n"/>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c r="AA799" s="648" t="n"/>
      <c r="AB799" s="648" t="n"/>
      <c r="AC799" s="648" t="n"/>
      <c r="AD799" s="648" t="n"/>
      <c r="AE799" s="648" t="n"/>
      <c r="AF799" s="648" t="n"/>
      <c r="AG799" s="648" t="n"/>
      <c r="AH799" s="648" t="n"/>
      <c r="AI799" s="648" t="n"/>
      <c r="AJ799" s="648" t="n"/>
      <c r="AK799" s="648" t="n"/>
      <c r="AL799" s="648" t="n"/>
      <c r="AM799" s="573">
        <f>SUM(Z799:AL802)</f>
        <v/>
      </c>
      <c r="AN799" s="693" t="n"/>
      <c r="AO799" s="485" t="n"/>
      <c r="AP799" s="416" t="n"/>
      <c r="AQ799" s="1238">
        <f>IFERROR(I799/J799*100,"0")</f>
        <v/>
      </c>
      <c r="AR799" s="1238">
        <f>IFERROR(1/(1-(AQ799/100)),"0")</f>
        <v/>
      </c>
      <c r="AS799" s="1238" t="n">
        <v>0</v>
      </c>
      <c r="AT799" s="345" t="n">
        <v>6</v>
      </c>
      <c r="AU799" s="1240" t="n"/>
      <c r="AV799" s="1240" t="n"/>
    </row>
    <row r="800" ht="19.5" customHeight="1">
      <c r="A800" s="973" t="n"/>
      <c r="B800" s="971" t="n"/>
      <c r="C800" s="972" t="n"/>
      <c r="D800" s="973"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73"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73"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75" t="n"/>
      <c r="E803" s="975" t="n"/>
      <c r="F803" s="998" t="n"/>
      <c r="G803" s="998" t="n"/>
      <c r="H803" s="975" t="n"/>
      <c r="I803" s="975" t="n"/>
      <c r="J803" s="975" t="n"/>
      <c r="K803" s="1189">
        <f>K799=L803</f>
        <v/>
      </c>
      <c r="L803" s="491">
        <f>SUM(L799:L802)</f>
        <v/>
      </c>
      <c r="M803" s="1190" t="inlineStr">
        <is>
          <t xml:space="preserve">“Verdadero” indica que la cantidad por lote, coincide con el saldo que inicia al mes siguiente. "Falso" no coinicide. </t>
        </is>
      </c>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496">
        <f>JULIO!K804</f>
        <v/>
      </c>
      <c r="E804" s="339">
        <f>H400</f>
        <v/>
      </c>
      <c r="F804" s="731" t="n"/>
      <c r="G804" s="731" t="n"/>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c r="AA804" s="648" t="n"/>
      <c r="AB804" s="648" t="n"/>
      <c r="AC804" s="648" t="n"/>
      <c r="AD804" s="648" t="n"/>
      <c r="AE804" s="648" t="n"/>
      <c r="AF804" s="648" t="n"/>
      <c r="AG804" s="648" t="n"/>
      <c r="AH804" s="648" t="n"/>
      <c r="AI804" s="648" t="n"/>
      <c r="AJ804" s="648" t="n"/>
      <c r="AK804" s="648" t="n"/>
      <c r="AL804" s="648" t="n"/>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73"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73"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73"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75" t="n"/>
      <c r="E808" s="975" t="n"/>
      <c r="F808" s="998" t="n"/>
      <c r="G808" s="998" t="n"/>
      <c r="H808" s="975" t="n"/>
      <c r="I808" s="975" t="n"/>
      <c r="J808" s="975" t="n"/>
      <c r="K808" s="1189">
        <f>K804=L808</f>
        <v/>
      </c>
      <c r="L808" s="491">
        <f>SUM(L804:L807)</f>
        <v/>
      </c>
      <c r="M808" s="1190" t="inlineStr">
        <is>
          <t xml:space="preserve">“Verdadero” indica que la cantidad por lote, coincide con el saldo que inicia al mes siguiente. "Falso" no coinicide. </t>
        </is>
      </c>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496">
        <f>JULIO!K809</f>
        <v/>
      </c>
      <c r="E809" s="339">
        <f>H405</f>
        <v/>
      </c>
      <c r="F809" s="731" t="n"/>
      <c r="G809" s="731" t="n"/>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c r="AA809" s="648" t="n"/>
      <c r="AB809" s="648" t="n"/>
      <c r="AC809" s="648" t="n"/>
      <c r="AD809" s="648" t="n"/>
      <c r="AE809" s="648" t="n"/>
      <c r="AF809" s="648" t="n"/>
      <c r="AG809" s="648" t="n"/>
      <c r="AH809" s="648" t="n"/>
      <c r="AI809" s="648" t="n"/>
      <c r="AJ809" s="648" t="n"/>
      <c r="AK809" s="648" t="n"/>
      <c r="AL809" s="648" t="n"/>
      <c r="AM809" s="573">
        <f>SUM(Z809:AL812)</f>
        <v/>
      </c>
      <c r="AN809" s="693" t="n"/>
      <c r="AO809" s="485" t="n"/>
      <c r="AP809" s="416" t="n"/>
      <c r="AQ809" s="1238">
        <f>IFERROR(I809/J809*100,"0")</f>
        <v/>
      </c>
      <c r="AR809" s="1238">
        <f>IFERROR(1/(1-(AQ809/100)),"0")</f>
        <v/>
      </c>
      <c r="AS809" s="1238" t="n">
        <v>0</v>
      </c>
      <c r="AT809" s="345" t="n"/>
      <c r="AU809" s="1240" t="n"/>
      <c r="AV809" s="1240" t="n"/>
    </row>
    <row r="810" ht="19.5" customHeight="1">
      <c r="A810" s="973" t="n"/>
      <c r="B810" s="971" t="n"/>
      <c r="C810" s="972" t="n"/>
      <c r="D810" s="973"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73"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73"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75" t="n"/>
      <c r="E813" s="975" t="n"/>
      <c r="F813" s="998" t="n"/>
      <c r="G813" s="998" t="n"/>
      <c r="H813" s="975" t="n"/>
      <c r="I813" s="975" t="n"/>
      <c r="J813" s="975" t="n"/>
      <c r="K813" s="1189">
        <f>K809=L813</f>
        <v/>
      </c>
      <c r="L813" s="491">
        <f>SUM(L809:L812)</f>
        <v/>
      </c>
      <c r="M813" s="1190" t="inlineStr">
        <is>
          <t xml:space="preserve">“Verdadero” indica que la cantidad por lote, coincide con el saldo que inicia al mes siguiente. "Falso" no coinicide. </t>
        </is>
      </c>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569" t="inlineStr">
        <is>
          <t>ÍTEM</t>
        </is>
      </c>
      <c r="B817" s="569" t="inlineStr">
        <is>
          <t>INSUMOS</t>
        </is>
      </c>
      <c r="C817" s="965" t="n"/>
      <c r="D817" s="552" t="inlineStr">
        <is>
          <t>SALDO MES ANTERIOR</t>
        </is>
      </c>
      <c r="E817" s="961" t="inlineStr">
        <is>
          <t xml:space="preserve">BIOLÓGICO RECIBIDO POR MSPS O ET </t>
        </is>
      </c>
      <c r="F817" s="545" t="inlineStr">
        <is>
          <t>DOSIS APLICADAS</t>
        </is>
      </c>
      <c r="G817" s="967" t="n"/>
      <c r="H817" s="1232" t="inlineStr">
        <is>
          <t>TOTAL DE DOSIS APLICADAS</t>
        </is>
      </c>
      <c r="I817" s="961" t="inlineStr">
        <is>
          <t>DOSIS PERDIDAS</t>
        </is>
      </c>
      <c r="J817" s="1231" t="inlineStr">
        <is>
          <t>TOTAL DE DOSIS UTILIZADAS EN EL MES</t>
        </is>
      </c>
      <c r="K817" s="961" t="inlineStr">
        <is>
          <t>DOSIS TRASLADADAS A OTROS DEPARTAMENTOS, DISTRITOS O RETORNO AL MSPS</t>
        </is>
      </c>
      <c r="L817" s="1253" t="inlineStr">
        <is>
          <t xml:space="preserve">TOTAL SALDO QUE INICIA EL MES </t>
        </is>
      </c>
      <c r="M817" s="1232" t="inlineStr">
        <is>
          <t xml:space="preserve">SALDO CON QUE EL CA DEPARTAMENTAL INICIA </t>
        </is>
      </c>
      <c r="N817" s="1231" t="inlineStr">
        <is>
          <t xml:space="preserve">SALDO CON QUE LOS MUNICIPIOS O IPS INICIAN </t>
        </is>
      </c>
      <c r="O817" s="1232" t="inlineStr">
        <is>
          <t>MESES DISPONIBLES SEGÚN DOSIS UTILIZADAS EN EL MES</t>
        </is>
      </c>
      <c r="P817" s="544" t="inlineStr">
        <is>
          <t>DOSIS EN CUARENTENA</t>
        </is>
      </c>
      <c r="Q817" s="544" t="inlineStr">
        <is>
          <t>LABORATORIO</t>
        </is>
      </c>
      <c r="R817" s="544" t="inlineStr">
        <is>
          <t>No. LOTE</t>
        </is>
      </c>
      <c r="S817" s="544" t="inlineStr">
        <is>
          <t>FECHA DE VENCIMEINTO</t>
        </is>
      </c>
      <c r="T817" s="544" t="inlineStr">
        <is>
          <t>CONDICIÓN FINAL DEL BIOLÓGICO O INSUMO</t>
        </is>
      </c>
      <c r="U817" s="561" t="n"/>
      <c r="V817" s="1254" t="n"/>
      <c r="X817" s="366" t="n"/>
      <c r="Y817" s="232" t="n"/>
      <c r="Z817" s="400" t="inlineStr">
        <is>
          <t>CAUSAS PERDIDA DE BIOLÓGICOS (Remítase a la primera hoja donde se especifica la clasificación de las perdidas)</t>
        </is>
      </c>
      <c r="AA817" s="400" t="n"/>
      <c r="AB817" s="400" t="n"/>
      <c r="AC817" s="400" t="n"/>
      <c r="AD817" s="400" t="n"/>
      <c r="AE817" s="400" t="n"/>
      <c r="AF817" s="400" t="n"/>
      <c r="AG817" s="400" t="n"/>
      <c r="AH817" s="400" t="n"/>
      <c r="AI817" s="400" t="n"/>
      <c r="AJ817" s="400" t="n"/>
      <c r="AK817" s="400" t="n"/>
      <c r="AL817" s="400" t="n"/>
      <c r="AM817" s="1181" t="inlineStr">
        <is>
          <t xml:space="preserve">TOTAL DOSIS PERDIDAS        </t>
        </is>
      </c>
      <c r="AN817" s="367" t="n"/>
      <c r="AO817" s="368" t="n"/>
    </row>
    <row r="818" ht="21.75" customHeight="1">
      <c r="A818" s="973" t="n"/>
      <c r="B818" s="971" t="n"/>
      <c r="C818" s="972" t="n"/>
      <c r="D818" s="973" t="n"/>
      <c r="E818" s="973" t="n"/>
      <c r="F818" s="552" t="inlineStr">
        <is>
          <t>DOSIS APLICADAS
COLOMBIANOS</t>
        </is>
      </c>
      <c r="G818" s="552" t="inlineStr">
        <is>
          <t>DOSIS APLICADAS EXTRANJEROS</t>
        </is>
      </c>
      <c r="H818" s="973" t="n"/>
      <c r="I818" s="973" t="n"/>
      <c r="J818" s="973" t="n"/>
      <c r="K818" s="973" t="n"/>
      <c r="L818" s="973" t="n"/>
      <c r="M818" s="973" t="n"/>
      <c r="N818" s="973" t="n"/>
      <c r="O818" s="973" t="n"/>
      <c r="P818" s="973" t="n"/>
      <c r="Q818" s="973" t="n"/>
      <c r="R818" s="973" t="n"/>
      <c r="S818" s="973" t="n"/>
      <c r="T818" s="973" t="n"/>
      <c r="X818" s="366" t="n"/>
      <c r="Y818" s="232" t="n"/>
      <c r="Z818" s="533" t="n">
        <v>1</v>
      </c>
      <c r="AA818" s="968" t="n"/>
      <c r="AB818" s="967" t="n"/>
      <c r="AC818" s="330" t="n">
        <v>2</v>
      </c>
      <c r="AD818" s="566" t="n">
        <v>3</v>
      </c>
      <c r="AE818" s="533" t="n">
        <v>4</v>
      </c>
      <c r="AF818" s="566" t="n">
        <v>5</v>
      </c>
      <c r="AG818" s="533" t="n">
        <v>6</v>
      </c>
      <c r="AH818" s="566" t="n">
        <v>7</v>
      </c>
      <c r="AI818" s="533" t="n">
        <v>8</v>
      </c>
      <c r="AJ818" s="533" t="n">
        <v>9</v>
      </c>
      <c r="AK818" s="533" t="n">
        <v>10</v>
      </c>
      <c r="AL818" s="566" t="n">
        <v>11</v>
      </c>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X819" s="366" t="n"/>
      <c r="Y819" s="232" t="n"/>
      <c r="Z819" s="533" t="inlineStr">
        <is>
          <t>POLÍTICA DE FRASCOS ABIERTO</t>
        </is>
      </c>
      <c r="AA819" s="968" t="n"/>
      <c r="AB819" s="967" t="n"/>
      <c r="AC819" s="330" t="inlineStr">
        <is>
          <t>INTERRUPCIÓN DE CADENA DE FRÍO</t>
        </is>
      </c>
      <c r="AD819" s="566" t="inlineStr">
        <is>
          <t>CONTAMINACION DEL BIOLÓGICO/DISPOSITIVO MÉDICO</t>
        </is>
      </c>
      <c r="AE819" s="533" t="inlineStr">
        <is>
          <t>VIAL ROTO</t>
        </is>
      </c>
      <c r="AF819" s="566" t="inlineStr">
        <is>
          <t>ERRORES EN LA MANIPULACIÓN</t>
        </is>
      </c>
      <c r="AG819" s="533" t="inlineStr">
        <is>
          <t>VENCIMIENTO DEL BIOLÓGICO O JERINGA</t>
        </is>
      </c>
      <c r="AH819" s="566" t="inlineStr">
        <is>
          <t>FARMACOVIGILANCIA / TECNOVIGILANCIA</t>
        </is>
      </c>
      <c r="AI819" s="533" t="inlineStr">
        <is>
          <t>VOMITO FRANCO</t>
        </is>
      </c>
      <c r="AJ819" s="533" t="inlineStr">
        <is>
          <t>APLICACIÓN FUERA DE LA EDAD</t>
        </is>
      </c>
      <c r="AK819" s="533" t="inlineStr">
        <is>
          <t>POR DECISIÓN FINAL DEL PACIENTE DE NO VACUNACIÓN</t>
        </is>
      </c>
      <c r="AL819" s="566" t="inlineStr">
        <is>
          <t>SINIESTRO O ROBO</t>
        </is>
      </c>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X820" s="366" t="n"/>
      <c r="Y820" s="232" t="n"/>
      <c r="Z820" s="533" t="inlineStr">
        <is>
          <t>INSTITUCIONAL</t>
        </is>
      </c>
      <c r="AA820" s="533" t="inlineStr">
        <is>
          <t>EXTRAMURAL</t>
        </is>
      </c>
      <c r="AB820" s="533" t="inlineStr">
        <is>
          <t>TOTAL</t>
        </is>
      </c>
      <c r="AC820" s="975" t="n"/>
      <c r="AD820" s="975" t="n"/>
      <c r="AE820" s="975" t="n"/>
      <c r="AF820" s="975" t="n"/>
      <c r="AG820" s="975" t="n"/>
      <c r="AH820" s="975" t="n"/>
      <c r="AI820" s="975" t="n"/>
      <c r="AJ820" s="975" t="n"/>
      <c r="AK820" s="975" t="n"/>
      <c r="AL820" s="975" t="n"/>
      <c r="AM820" s="975" t="n"/>
      <c r="AN820" s="333" t="n"/>
      <c r="AO820" s="368" t="n"/>
      <c r="AQ820" s="370" t="inlineStr">
        <is>
          <t>PORCENTAJE DE PERDIDA DEL MES
%</t>
        </is>
      </c>
      <c r="AR820" s="370" t="inlineStr">
        <is>
          <t>FACTOR DE PERDIDA DEL MES</t>
        </is>
      </c>
      <c r="AS820" s="371" t="inlineStr">
        <is>
          <t>% DE PERDIDA DEL MSPS</t>
        </is>
      </c>
      <c r="AT820" s="371" t="inlineStr">
        <is>
          <t>DOSIS POR VIAL</t>
        </is>
      </c>
    </row>
    <row r="821" ht="46.5" customHeight="1">
      <c r="A821" s="585" t="n">
        <v>1</v>
      </c>
      <c r="B821" s="1255" t="inlineStr">
        <is>
          <t>Vacuna de BCG (Bacilo de Calmette y Guérin) Liofilizada</t>
        </is>
      </c>
      <c r="C821" s="967" t="n"/>
      <c r="D821" s="372">
        <f>+D417+D13</f>
        <v/>
      </c>
      <c r="E821" s="373">
        <f>G13</f>
        <v/>
      </c>
      <c r="F821" s="373" t="n">
        <v>5</v>
      </c>
      <c r="G821" s="373" t="n">
        <v>0</v>
      </c>
      <c r="H821" s="374">
        <f>+F821+G821</f>
        <v/>
      </c>
      <c r="I821" s="375">
        <f>+AM821</f>
        <v/>
      </c>
      <c r="J821" s="376">
        <f>+H821+I821</f>
        <v/>
      </c>
      <c r="K821" s="373">
        <f>+(D821+E821)-(J821)</f>
        <v/>
      </c>
      <c r="L821" s="377">
        <f>(M821+N821)</f>
        <v/>
      </c>
      <c r="M821" s="378">
        <f>+K13</f>
        <v/>
      </c>
      <c r="N821" s="379">
        <f>+K417</f>
        <v/>
      </c>
      <c r="O821" s="1256">
        <f>IFERROR(L821/J821,"0")</f>
        <v/>
      </c>
      <c r="P821" s="380">
        <f>+R422+R18</f>
        <v/>
      </c>
      <c r="Q821" s="258" t="n"/>
      <c r="R821" s="258" t="n"/>
      <c r="S821" s="1184" t="n"/>
      <c r="T821" s="1184" t="n"/>
      <c r="U821" s="516" t="n"/>
      <c r="V821" s="1246" t="n"/>
      <c r="Y821" s="232" t="n"/>
      <c r="Z821" s="413" t="n">
        <v>45</v>
      </c>
      <c r="AA821" s="413" t="n">
        <v>0</v>
      </c>
      <c r="AB821" s="415">
        <f>+Z821+AA821</f>
        <v/>
      </c>
      <c r="AC821" s="413" t="n">
        <v>0</v>
      </c>
      <c r="AD821" s="413" t="n">
        <v>0</v>
      </c>
      <c r="AE821" s="413" t="n">
        <v>0</v>
      </c>
      <c r="AF821" s="413" t="n">
        <v>0</v>
      </c>
      <c r="AG821" s="413" t="n">
        <v>0</v>
      </c>
      <c r="AH821" s="413" t="n">
        <v>0</v>
      </c>
      <c r="AI821" s="413" t="n">
        <v>0</v>
      </c>
      <c r="AJ821" s="413" t="n">
        <v>0</v>
      </c>
      <c r="AK821" s="413" t="n">
        <v>0</v>
      </c>
      <c r="AL821" s="413" t="n">
        <v>0</v>
      </c>
      <c r="AM821" s="382">
        <f>SUM(AB821:AL825)</f>
        <v/>
      </c>
      <c r="AN821" s="383" t="n"/>
      <c r="AO821" s="384" t="n"/>
      <c r="AQ821" s="1238">
        <f>IFERROR(I821/J821*100,"0")</f>
        <v/>
      </c>
      <c r="AR821" s="343">
        <f>IFERROR(1/(1-(AQ821/100)),"0")</f>
        <v/>
      </c>
      <c r="AS821" s="1239" t="n">
        <v>65</v>
      </c>
      <c r="AT821" s="345" t="n">
        <v>10</v>
      </c>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v>0</v>
      </c>
      <c r="AT823" s="345" t="n">
        <v>0</v>
      </c>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v>15</v>
      </c>
      <c r="AT824" s="345" t="n">
        <v>5</v>
      </c>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v>0</v>
      </c>
      <c r="AT825" s="345" t="n">
        <v>0</v>
      </c>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v>0</v>
      </c>
      <c r="AT826" s="345" t="n">
        <v>0</v>
      </c>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v>0</v>
      </c>
      <c r="AT827" s="345" t="n">
        <v>0</v>
      </c>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v>0</v>
      </c>
      <c r="AT829" s="345" t="n">
        <v>1</v>
      </c>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v>0</v>
      </c>
      <c r="AT830" s="345" t="n">
        <v>1</v>
      </c>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v>0</v>
      </c>
      <c r="AT831" s="345" t="n">
        <v>1</v>
      </c>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v>0</v>
      </c>
      <c r="AT832" s="345" t="n">
        <v>1</v>
      </c>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v>0</v>
      </c>
      <c r="AT833" s="345" t="n">
        <v>1</v>
      </c>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v>0</v>
      </c>
      <c r="AT835" s="345" t="n">
        <v>1</v>
      </c>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v>0</v>
      </c>
      <c r="AT836" s="345" t="n">
        <v>1</v>
      </c>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v>0</v>
      </c>
      <c r="AT837" s="345" t="n">
        <v>1</v>
      </c>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v>25</v>
      </c>
      <c r="AT838" s="345" t="n">
        <v>5</v>
      </c>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v>0</v>
      </c>
      <c r="AT839" s="345" t="n">
        <v>1</v>
      </c>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v>70</v>
      </c>
      <c r="AT841" s="345" t="n">
        <v>10</v>
      </c>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v>0</v>
      </c>
      <c r="AT842" s="345" t="n">
        <v>1</v>
      </c>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v>0</v>
      </c>
      <c r="AT843" s="345" t="n">
        <v>1</v>
      </c>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v>0</v>
      </c>
      <c r="AT844" s="345" t="n">
        <v>1</v>
      </c>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v>10</v>
      </c>
      <c r="AT845" s="345" t="n">
        <v>10</v>
      </c>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v>10</v>
      </c>
      <c r="AT847" s="345" t="n">
        <v>20</v>
      </c>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v>10</v>
      </c>
      <c r="AT848" s="345" t="n">
        <v>10</v>
      </c>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v>0</v>
      </c>
      <c r="AT849" s="345" t="n">
        <v>1</v>
      </c>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v>0</v>
      </c>
      <c r="AT850" s="345" t="n">
        <v>1</v>
      </c>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v>0</v>
      </c>
      <c r="AT851" s="345" t="n">
        <v>1</v>
      </c>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v>0</v>
      </c>
      <c r="AT853" s="345" t="n">
        <v>1</v>
      </c>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v>0</v>
      </c>
      <c r="AT854" s="345" t="n">
        <v>1</v>
      </c>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v>0</v>
      </c>
      <c r="AT855" s="345" t="n">
        <v>1</v>
      </c>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v>0</v>
      </c>
      <c r="AT856" s="345" t="n">
        <v>1</v>
      </c>
    </row>
    <row r="857" ht="28.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t="n">
        <v>5</v>
      </c>
      <c r="G858" s="373" t="n">
        <v>0</v>
      </c>
      <c r="H858" s="374">
        <f>+F858+G858</f>
        <v/>
      </c>
      <c r="I858" s="375">
        <f>+AM858</f>
        <v/>
      </c>
      <c r="J858" s="376">
        <f>+H858+I858</f>
        <v/>
      </c>
      <c r="K858" s="373">
        <f>+(D858+E858)-(J858)</f>
        <v/>
      </c>
      <c r="L858" s="377">
        <f>(M858+N858)</f>
        <v/>
      </c>
      <c r="M858" s="378">
        <f>+K230</f>
        <v/>
      </c>
      <c r="N858" s="379">
        <f>+K634</f>
        <v/>
      </c>
      <c r="O858" s="1256">
        <f>IFERROR(L858/J858,"0")</f>
        <v/>
      </c>
      <c r="P858" s="380">
        <f>+R639+R235</f>
        <v/>
      </c>
      <c r="Q858" s="258" t="n"/>
      <c r="R858" s="1184" t="n"/>
      <c r="S858" s="1184" t="n"/>
      <c r="T858" s="1184" t="n"/>
      <c r="U858" s="516" t="n"/>
      <c r="V858" s="1246" t="n"/>
      <c r="Y858" s="232" t="n"/>
      <c r="Z858" s="413" t="n">
        <v>45</v>
      </c>
      <c r="AA858" s="413" t="n">
        <v>0</v>
      </c>
      <c r="AB858" s="415">
        <f>+Z858+AA858</f>
        <v/>
      </c>
      <c r="AC858" s="413" t="n">
        <v>0</v>
      </c>
      <c r="AD858" s="413" t="n">
        <v>0</v>
      </c>
      <c r="AE858" s="413" t="n">
        <v>0</v>
      </c>
      <c r="AF858" s="413" t="n">
        <v>0</v>
      </c>
      <c r="AG858" s="413" t="n">
        <v>0</v>
      </c>
      <c r="AH858" s="413" t="n">
        <v>0</v>
      </c>
      <c r="AI858" s="413" t="n">
        <v>0</v>
      </c>
      <c r="AJ858" s="413" t="n">
        <v>0</v>
      </c>
      <c r="AK858" s="413" t="n">
        <v>0</v>
      </c>
      <c r="AL858" s="413" t="n">
        <v>0</v>
      </c>
      <c r="AM858" s="382">
        <f>SUM(AB858:AL862)</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7"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inlineStr">
        <is>
          <t>SALDO MES ANTERIOR</t>
        </is>
      </c>
      <c r="E889" s="961" t="inlineStr">
        <is>
          <t xml:space="preserve">BIOLÓGICO RECIBIDO POR MSPS O ET </t>
        </is>
      </c>
      <c r="F889" s="545" t="inlineStr">
        <is>
          <t>DOSIS APLICADAS</t>
        </is>
      </c>
      <c r="G889" s="967" t="n"/>
      <c r="H889" s="1232" t="inlineStr">
        <is>
          <t>TOTAL DE DOSIS APLICADAS</t>
        </is>
      </c>
      <c r="I889" s="961" t="inlineStr">
        <is>
          <t>DOSIS PERDIDAS</t>
        </is>
      </c>
      <c r="J889" s="1231" t="inlineStr">
        <is>
          <t>TOTAL DE DOSIS UTILIZADAS EN EL MES</t>
        </is>
      </c>
      <c r="K889" s="961" t="inlineStr">
        <is>
          <t>DOSIS TRASLADADAS A OTROS DEPARTAMENTOS, DISTRITOS O RETORNO AL MSPS</t>
        </is>
      </c>
      <c r="L889" s="1253" t="inlineStr">
        <is>
          <t xml:space="preserve">TOTAL SALDO QUE INICIA EL MES </t>
        </is>
      </c>
      <c r="M889" s="1232" t="inlineStr">
        <is>
          <t xml:space="preserve">SALDO CON QUE EL CA DEPARTAMENTAL INICIA </t>
        </is>
      </c>
      <c r="N889" s="1231" t="inlineStr">
        <is>
          <t xml:space="preserve">SALDO CON QUE LOS MUNICIPIOS O IPS INICIAN </t>
        </is>
      </c>
      <c r="O889" s="1232" t="inlineStr">
        <is>
          <t>MESES DISPONIBLES SEGÚN DOSIS UTILIZADAS EN EL MES</t>
        </is>
      </c>
      <c r="P889" s="544" t="inlineStr">
        <is>
          <t>DOSIS EN CUARENTENA</t>
        </is>
      </c>
      <c r="Q889" s="544" t="inlineStr">
        <is>
          <t>LABORATORIO</t>
        </is>
      </c>
      <c r="R889" s="544" t="inlineStr">
        <is>
          <t>No. LOTE</t>
        </is>
      </c>
      <c r="S889" s="544" t="inlineStr">
        <is>
          <t>FECHA DE VENCIMEINTO</t>
        </is>
      </c>
      <c r="T889" s="544" t="inlineStr">
        <is>
          <t>CONDICIÓN FINAL DEL BIOLÓGICO O INSUMO</t>
        </is>
      </c>
      <c r="U889" s="561" t="n"/>
      <c r="V889" s="1254" t="n"/>
      <c r="Y889" s="232" t="n"/>
      <c r="Z889" s="1221" t="inlineStr">
        <is>
          <t>MOTIVOS DE NO USO DE VACUNAS CONTRA LA COVID-19
RESOLUCIÓN 0118 DEL 27 DE ENERO DE 2026
DISPONIBLE EN EL SIGUIENTE LINK: https://www.minsalud.gov.co/Normatividad_Nuevo/Resolucion%20No%20118%20de%202026.pdf</t>
        </is>
      </c>
      <c r="AA889" s="968" t="n"/>
      <c r="AB889" s="968" t="n"/>
      <c r="AC889" s="968" t="n"/>
      <c r="AD889" s="968" t="n"/>
      <c r="AE889" s="968" t="n"/>
      <c r="AF889" s="968" t="n"/>
      <c r="AG889" s="968" t="n"/>
      <c r="AH889" s="968" t="n"/>
      <c r="AI889" s="968" t="n"/>
      <c r="AJ889" s="968" t="n"/>
      <c r="AK889" s="968" t="n"/>
      <c r="AL889" s="967" t="n"/>
      <c r="AM889" s="532" t="inlineStr">
        <is>
          <t xml:space="preserve">TOTAL DOSIS PERDIDAS        </t>
        </is>
      </c>
      <c r="AP889" s="416" t="n"/>
      <c r="AQ889" s="416" t="n"/>
      <c r="AR889" s="416" t="n"/>
      <c r="AS889" s="416" t="n"/>
      <c r="AT889" s="416" t="n"/>
      <c r="AU889" s="1240" t="n"/>
      <c r="AV889" s="1240" t="n"/>
    </row>
    <row r="890" ht="22.5" customHeight="1">
      <c r="A890" s="971" t="n"/>
      <c r="C890" s="972" t="n"/>
      <c r="D890" s="973" t="n"/>
      <c r="E890" s="973" t="n"/>
      <c r="F890" s="552" t="inlineStr">
        <is>
          <t>DOSIS APLICADAS
COLOMBIANOS</t>
        </is>
      </c>
      <c r="G890" s="552" t="inlineStr">
        <is>
          <t>DOSIS APLICADAS EXTRANJEROS</t>
        </is>
      </c>
      <c r="H890" s="973" t="n"/>
      <c r="I890" s="973" t="n"/>
      <c r="J890" s="973" t="n"/>
      <c r="K890" s="973" t="n"/>
      <c r="L890" s="973" t="n"/>
      <c r="M890" s="973" t="n"/>
      <c r="N890" s="973" t="n"/>
      <c r="O890" s="973" t="n"/>
      <c r="P890" s="973" t="n"/>
      <c r="Q890" s="973" t="n"/>
      <c r="R890" s="973" t="n"/>
      <c r="S890" s="973" t="n"/>
      <c r="T890" s="973" t="n"/>
      <c r="Y890" s="232" t="n"/>
      <c r="Z890" s="533" t="n">
        <v>1</v>
      </c>
      <c r="AA890" s="967" t="n"/>
      <c r="AB890" s="533" t="n">
        <v>2</v>
      </c>
      <c r="AC890" s="533" t="n">
        <v>3</v>
      </c>
      <c r="AD890" s="533" t="n">
        <v>4</v>
      </c>
      <c r="AE890" s="533" t="n">
        <v>5</v>
      </c>
      <c r="AF890" s="533" t="n">
        <v>6</v>
      </c>
      <c r="AG890" s="533" t="n">
        <v>7</v>
      </c>
      <c r="AH890" s="533" t="n">
        <v>8</v>
      </c>
      <c r="AI890" s="533" t="n">
        <v>9</v>
      </c>
      <c r="AJ890" s="533" t="n">
        <v>10</v>
      </c>
      <c r="AK890" s="533" t="n">
        <v>11</v>
      </c>
      <c r="AL890" s="533" t="n">
        <v>12</v>
      </c>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inlineStr">
        <is>
          <t>POLÍTICA DE FRASCOS ABIERTO</t>
        </is>
      </c>
      <c r="AA891" s="967" t="n"/>
      <c r="AB891" s="1222" t="inlineStr">
        <is>
          <t>INTERRUPCIÓN DE LA CADENA DE FRÍO</t>
        </is>
      </c>
      <c r="AC891" s="537" t="inlineStr">
        <is>
          <t>CONTAMINACIÓN DEL BIOLÓGICO</t>
        </is>
      </c>
      <c r="AD891" s="1222" t="inlineStr">
        <is>
          <t>ERROR EN LA MANIPULACIÓN</t>
        </is>
      </c>
      <c r="AE891" s="537" t="inlineStr">
        <is>
          <t>ERROR EN LA RECONSTITUCIÓN/DILUCIÓN</t>
        </is>
      </c>
      <c r="AF891" s="1222" t="inlineStr">
        <is>
          <t>ERROR EN LA DOSIFICACIÓN</t>
        </is>
      </c>
      <c r="AG891" s="537" t="inlineStr">
        <is>
          <t>VACUNA QUE EXCEDE EL TIEMPO DE ALMACENAMIENTO EN REFRIGERACIÓN</t>
        </is>
      </c>
      <c r="AH891" s="1222" t="inlineStr">
        <is>
          <t>VENCIMIENTO DEL BIOLÓGICO</t>
        </is>
      </c>
      <c r="AI891" s="537" t="inlineStr">
        <is>
          <t>FRASCO VIAL ROTO</t>
        </is>
      </c>
      <c r="AJ891" s="1222" t="inlineStr">
        <is>
          <t>FALLAS DE FABRICACIÓN/CALIDAD</t>
        </is>
      </c>
      <c r="AK891" s="537" t="inlineStr">
        <is>
          <t>SINIESTRO / ACCIDENTE</t>
        </is>
      </c>
      <c r="AL891" s="1222" t="inlineStr">
        <is>
          <t>ROBO/HURTO BIOLÓGICO</t>
        </is>
      </c>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inlineStr">
        <is>
          <t>INSTITUCIONAL</t>
        </is>
      </c>
      <c r="AA892" s="497" t="inlineStr">
        <is>
          <t>EXTRAMURAL</t>
        </is>
      </c>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inlineStr">
        <is>
          <t>Observación</t>
        </is>
      </c>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xKLWyxFlZPGRKMa99HKUcQ==" formatRows="1" sort="1" spinCount="100000" hashValue="hZluaSrOOxOUMOywB9esrZAMwNYx7xZTaGtLibXUKerZDBKvSos0ZXAESG3Rxr873kki/pC5smJTTxa1XrK2TQ=="/>
  <mergeCells count="3720">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AC25:AC29"/>
    <mergeCell ref="I133:I138"/>
    <mergeCell ref="B181:C186"/>
    <mergeCell ref="AI352:AI357"/>
    <mergeCell ref="D413:D416"/>
    <mergeCell ref="AL787:AL788"/>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AH11:AH12"/>
    <mergeCell ref="E31:E36"/>
    <mergeCell ref="I435:I440"/>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Z11:AB11"/>
    <mergeCell ref="AG211:AG215"/>
    <mergeCell ref="W742:W748"/>
    <mergeCell ref="AN163:AN167"/>
    <mergeCell ref="D236:D241"/>
    <mergeCell ref="J465:J470"/>
    <mergeCell ref="AV465:AV469"/>
    <mergeCell ref="B507:C512"/>
    <mergeCell ref="Z223:Z227"/>
    <mergeCell ref="D359:D365"/>
    <mergeCell ref="A525:A530"/>
    <mergeCell ref="B778:C778"/>
    <mergeCell ref="I609:I614"/>
    <mergeCell ref="AF230:AF234"/>
    <mergeCell ref="K115:K119"/>
    <mergeCell ref="AF537:AF541"/>
    <mergeCell ref="AC79:AC83"/>
    <mergeCell ref="U9:U12"/>
    <mergeCell ref="AC73:AC77"/>
    <mergeCell ref="J272:J277"/>
    <mergeCell ref="K543:K547"/>
    <mergeCell ref="F652:F657"/>
    <mergeCell ref="K579:K583"/>
    <mergeCell ref="B37:C42"/>
    <mergeCell ref="AA615:AA619"/>
    <mergeCell ref="AK664:AK668"/>
    <mergeCell ref="AH296:AH300"/>
    <mergeCell ref="AH303:AH308"/>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E61:AE65"/>
    <mergeCell ref="AJ441:AJ445"/>
    <mergeCell ref="AF714:AF719"/>
    <mergeCell ref="B121:C126"/>
    <mergeCell ref="E272:E277"/>
    <mergeCell ref="AH676:AH680"/>
    <mergeCell ref="AD543:AD547"/>
    <mergeCell ref="G459:G464"/>
    <mergeCell ref="E735:E741"/>
    <mergeCell ref="D634:D639"/>
    <mergeCell ref="AE519:AE523"/>
    <mergeCell ref="H441:H446"/>
    <mergeCell ref="J199:J204"/>
    <mergeCell ref="B579:C584"/>
    <mergeCell ref="AG11:AG12"/>
    <mergeCell ref="AE891:AE892"/>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I193:I198"/>
    <mergeCell ref="AG296:AG300"/>
    <mergeCell ref="AG303:AG308"/>
    <mergeCell ref="AD804:AD807"/>
    <mergeCell ref="AI489:AI493"/>
    <mergeCell ref="K513:K517"/>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H85:H90"/>
    <mergeCell ref="AC187:AC191"/>
    <mergeCell ref="I175:I180"/>
    <mergeCell ref="AM809:AM812"/>
    <mergeCell ref="AI405:AI408"/>
    <mergeCell ref="AR441:AR445"/>
    <mergeCell ref="AB555:AB559"/>
    <mergeCell ref="H303:H309"/>
    <mergeCell ref="AB549:AB553"/>
    <mergeCell ref="AM97:AM101"/>
    <mergeCell ref="AE721:AE726"/>
    <mergeCell ref="AD749:AD754"/>
    <mergeCell ref="AL423:AL427"/>
    <mergeCell ref="AE591:AE595"/>
    <mergeCell ref="AV447:AV451"/>
    <mergeCell ref="D103:D108"/>
    <mergeCell ref="H507:H512"/>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AA55:AA59"/>
    <mergeCell ref="AT525:AT529"/>
    <mergeCell ref="B782:C782"/>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J284:J289"/>
    <mergeCell ref="K585:K5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K103:AK107"/>
    <mergeCell ref="AA37:AA41"/>
    <mergeCell ref="AL139:AL143"/>
    <mergeCell ref="J749:J755"/>
    <mergeCell ref="AA73:AA77"/>
    <mergeCell ref="AH338:AH343"/>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AI25:AI29"/>
    <mergeCell ref="K211:K215"/>
    <mergeCell ref="B290:C295"/>
    <mergeCell ref="AI181:AI185"/>
    <mergeCell ref="B826:C826"/>
    <mergeCell ref="AW609:AW613"/>
    <mergeCell ref="I278:I283"/>
    <mergeCell ref="AQ441:AQ445"/>
    <mergeCell ref="F531:F536"/>
    <mergeCell ref="AF756:AF761"/>
    <mergeCell ref="B785:C788"/>
    <mergeCell ref="K763:K768"/>
    <mergeCell ref="A187:A192"/>
    <mergeCell ref="AN290:AN294"/>
    <mergeCell ref="AT477:AT481"/>
    <mergeCell ref="AD591:AD595"/>
    <mergeCell ref="AC794:AC797"/>
    <mergeCell ref="B828:C828"/>
    <mergeCell ref="B853:C853"/>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E352:AE357"/>
    <mergeCell ref="E169:E174"/>
    <mergeCell ref="K331:K336"/>
    <mergeCell ref="D501:D506"/>
    <mergeCell ref="I573:I578"/>
    <mergeCell ref="AM603:AM607"/>
    <mergeCell ref="AL664:AL668"/>
    <mergeCell ref="AB390:AB393"/>
    <mergeCell ref="AH787:AH78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Z139:Z143"/>
    <mergeCell ref="G345:G351"/>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565:C565"/>
    <mergeCell ref="Z799:Z802"/>
    <mergeCell ref="B894:C894"/>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AR447:AR451"/>
    <mergeCell ref="D507:D512"/>
    <mergeCell ref="H205:H210"/>
    <mergeCell ref="AK609:AK613"/>
    <mergeCell ref="A682:A687"/>
    <mergeCell ref="R889:R892"/>
    <mergeCell ref="F413:G413"/>
    <mergeCell ref="AA714:AA719"/>
    <mergeCell ref="K278:K282"/>
    <mergeCell ref="H634:H639"/>
    <mergeCell ref="I735:I741"/>
    <mergeCell ref="AF694:AF698"/>
    <mergeCell ref="H31:H36"/>
    <mergeCell ref="AL272:AL27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AN345:AN350"/>
    <mergeCell ref="Z381:AL381"/>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AC248:AC252"/>
    <mergeCell ref="AA175:AA179"/>
    <mergeCell ref="J447:J452"/>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T561:AT565"/>
    <mergeCell ref="AD700:AD704"/>
    <mergeCell ref="AD891:AD892"/>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A109:A114"/>
    <mergeCell ref="H382:H38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Z609:Z613"/>
    <mergeCell ref="B862:C862"/>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W429:AW433"/>
    <mergeCell ref="AL435:AL439"/>
    <mergeCell ref="AG543:AG547"/>
    <mergeCell ref="AG537:AG541"/>
    <mergeCell ref="AA646:AA650"/>
    <mergeCell ref="J459:J464"/>
    <mergeCell ref="A567:A572"/>
    <mergeCell ref="N817:N820"/>
    <mergeCell ref="A561:A566"/>
    <mergeCell ref="K157:K161"/>
    <mergeCell ref="I91:I96"/>
    <mergeCell ref="Z549:Z553"/>
    <mergeCell ref="AF728:AF733"/>
    <mergeCell ref="AK67:AK71"/>
    <mergeCell ref="AN395:AN398"/>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I417:I422"/>
    <mergeCell ref="B781:C781"/>
    <mergeCell ref="I531:I536"/>
    <mergeCell ref="D317:D323"/>
    <mergeCell ref="D187:D192"/>
    <mergeCell ref="AF794:AF797"/>
    <mergeCell ref="D912:G912"/>
    <mergeCell ref="F103:F108"/>
    <mergeCell ref="B571:C571"/>
    <mergeCell ref="AI199:AI203"/>
    <mergeCell ref="J230:J235"/>
    <mergeCell ref="AE395:AE398"/>
    <mergeCell ref="AH561:AH565"/>
    <mergeCell ref="K501:K505"/>
    <mergeCell ref="Z417:Z421"/>
    <mergeCell ref="B871:C871"/>
    <mergeCell ref="Z199:Z203"/>
    <mergeCell ref="J652:J657"/>
    <mergeCell ref="AL85:AL89"/>
    <mergeCell ref="J400:J404"/>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AK133:AK137"/>
    <mergeCell ref="V817:V820"/>
    <mergeCell ref="I799:I803"/>
    <mergeCell ref="B804:C808"/>
    <mergeCell ref="A199:A204"/>
    <mergeCell ref="AV429:AV433"/>
    <mergeCell ref="Z652:Z656"/>
    <mergeCell ref="Z646:Z650"/>
    <mergeCell ref="B145:C150"/>
    <mergeCell ref="AW555:AW559"/>
    <mergeCell ref="AF211:AF215"/>
    <mergeCell ref="AR423:AR427"/>
    <mergeCell ref="Z43:Z47"/>
    <mergeCell ref="A331:A337"/>
    <mergeCell ref="H91:H96"/>
    <mergeCell ref="G513:G518"/>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AK459:AK463"/>
    <mergeCell ref="I519:I524"/>
    <mergeCell ref="AD621:AD625"/>
    <mergeCell ref="B163:C168"/>
    <mergeCell ref="B794:C798"/>
    <mergeCell ref="K242:K246"/>
    <mergeCell ref="Z61:Z65"/>
    <mergeCell ref="K236:K240"/>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D615:D620"/>
    <mergeCell ref="B413:C416"/>
    <mergeCell ref="B395:C399"/>
    <mergeCell ref="Z889:AL889"/>
    <mergeCell ref="B779:C779"/>
    <mergeCell ref="AL181:AL185"/>
    <mergeCell ref="D272:D277"/>
    <mergeCell ref="B543:C548"/>
    <mergeCell ref="AM447:AM451"/>
    <mergeCell ref="Z818:AB818"/>
    <mergeCell ref="AA483:AA487"/>
    <mergeCell ref="AF609:AF613"/>
    <mergeCell ref="K799:K802"/>
    <mergeCell ref="AA694:AA698"/>
    <mergeCell ref="AJ133:AJ137"/>
    <mergeCell ref="AH646:AH650"/>
    <mergeCell ref="H567:H572"/>
    <mergeCell ref="U817:U820"/>
    <mergeCell ref="H561:H566"/>
    <mergeCell ref="B839:C839"/>
    <mergeCell ref="AM573:AM577"/>
    <mergeCell ref="AB471:AB475"/>
    <mergeCell ref="A573:A578"/>
    <mergeCell ref="AB507:AB511"/>
    <mergeCell ref="E429:E434"/>
    <mergeCell ref="J317:J323"/>
    <mergeCell ref="AL163:AL167"/>
    <mergeCell ref="Q381:Q384"/>
    <mergeCell ref="H465:H470"/>
    <mergeCell ref="E97:E102"/>
    <mergeCell ref="AI345:AI350"/>
    <mergeCell ref="B707:C713"/>
    <mergeCell ref="AT465:AT469"/>
    <mergeCell ref="AL199:AL203"/>
    <mergeCell ref="AK531:AK535"/>
    <mergeCell ref="B378:C378"/>
    <mergeCell ref="AD579:AD583"/>
    <mergeCell ref="AK525:AK529"/>
    <mergeCell ref="B115:C120"/>
    <mergeCell ref="AE809:AE812"/>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Z441:Z445"/>
    <mergeCell ref="H489:H494"/>
    <mergeCell ref="AH61:AH65"/>
    <mergeCell ref="AM284:AM288"/>
    <mergeCell ref="A284:A289"/>
    <mergeCell ref="AF331:AF336"/>
    <mergeCell ref="U413:U416"/>
    <mergeCell ref="AJ459:AJ463"/>
    <mergeCell ref="E151:E156"/>
    <mergeCell ref="H193:H198"/>
    <mergeCell ref="AF296:AF300"/>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AK157:AK161"/>
    <mergeCell ref="G385:G389"/>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C67:AC71"/>
    <mergeCell ref="AL278:AL282"/>
    <mergeCell ref="D682:D687"/>
    <mergeCell ref="AH441:AH445"/>
    <mergeCell ref="U889:U892"/>
    <mergeCell ref="AD317:AD322"/>
    <mergeCell ref="AC97:AC101"/>
    <mergeCell ref="AE290:AE294"/>
    <mergeCell ref="K567:K571"/>
    <mergeCell ref="K561:K565"/>
    <mergeCell ref="E459:E464"/>
    <mergeCell ref="AL115:AL119"/>
    <mergeCell ref="J181:J186"/>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E317:E323"/>
    <mergeCell ref="D97:D102"/>
    <mergeCell ref="G465:G470"/>
    <mergeCell ref="AB447:AB451"/>
    <mergeCell ref="AJ531:AJ535"/>
    <mergeCell ref="K714:K719"/>
    <mergeCell ref="K139:K143"/>
    <mergeCell ref="AF248:AF252"/>
    <mergeCell ref="AL477:AL481"/>
    <mergeCell ref="AM567:AM571"/>
    <mergeCell ref="AT435:AT439"/>
    <mergeCell ref="AC537:AC541"/>
    <mergeCell ref="AN331:AN336"/>
    <mergeCell ref="AW585:AW589"/>
    <mergeCell ref="H217:H222"/>
    <mergeCell ref="A707:A713"/>
    <mergeCell ref="J817:J820"/>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AK395:AK398"/>
    <mergeCell ref="B832:C832"/>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Z127:Z131"/>
    <mergeCell ref="AM763:AM768"/>
    <mergeCell ref="H175:H180"/>
    <mergeCell ref="B845:C845"/>
    <mergeCell ref="AJ447:AJ451"/>
    <mergeCell ref="AL205:AL209"/>
    <mergeCell ref="AE682:AE686"/>
    <mergeCell ref="AH405:AH408"/>
    <mergeCell ref="AC609:AC613"/>
    <mergeCell ref="AR531:AR535"/>
    <mergeCell ref="AR525:AR529"/>
    <mergeCell ref="F525:F530"/>
    <mergeCell ref="W423:W428"/>
    <mergeCell ref="AG19:AG23"/>
    <mergeCell ref="Z181:Z185"/>
    <mergeCell ref="AD272:AD276"/>
    <mergeCell ref="AK537:AK541"/>
    <mergeCell ref="AG133:AG137"/>
    <mergeCell ref="AA447:AA451"/>
    <mergeCell ref="R817:R820"/>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K591:K595"/>
    <mergeCell ref="AF891:AF892"/>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AJ97:AJ101"/>
    <mergeCell ref="I465:I470"/>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M477:AM481"/>
    <mergeCell ref="P9:P12"/>
    <mergeCell ref="A477:A482"/>
    <mergeCell ref="K670:K674"/>
    <mergeCell ref="D809:D813"/>
    <mergeCell ref="AM652:AM656"/>
    <mergeCell ref="AL67:AL71"/>
    <mergeCell ref="A79:A84"/>
    <mergeCell ref="E483:E488"/>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AH447:AH451"/>
    <mergeCell ref="B477:C482"/>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L97:AL101"/>
    <mergeCell ref="A317:A323"/>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W465:AW469"/>
    <mergeCell ref="AL345:AL350"/>
    <mergeCell ref="AG579:AG583"/>
    <mergeCell ref="AD405:AD408"/>
    <mergeCell ref="F91:F96"/>
    <mergeCell ref="AN254:AN258"/>
    <mergeCell ref="B375:C375"/>
    <mergeCell ref="AG423:AG427"/>
    <mergeCell ref="K483:K487"/>
    <mergeCell ref="A290:A295"/>
    <mergeCell ref="AI385:AI388"/>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AN157:AN161"/>
    <mergeCell ref="AA272:AA276"/>
    <mergeCell ref="J385:J389"/>
    <mergeCell ref="D555:D560"/>
    <mergeCell ref="AV417:AV421"/>
    <mergeCell ref="AA735:AA740"/>
    <mergeCell ref="AI688:AI692"/>
    <mergeCell ref="AB248:AB252"/>
    <mergeCell ref="Z31:Z35"/>
    <mergeCell ref="H79:H84"/>
    <mergeCell ref="K400:K403"/>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J109:J114"/>
    <mergeCell ref="AH290:AH29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D181:AD185"/>
    <mergeCell ref="AC366:AC371"/>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AB133:AB137"/>
    <mergeCell ref="M817:M820"/>
    <mergeCell ref="AL799:AL802"/>
    <mergeCell ref="J585:J590"/>
    <mergeCell ref="W646:W651"/>
    <mergeCell ref="J382:J384"/>
    <mergeCell ref="F31:F36"/>
    <mergeCell ref="AH310:AH315"/>
    <mergeCell ref="AB477:AB481"/>
    <mergeCell ref="AG236:AG240"/>
    <mergeCell ref="J789:J793"/>
    <mergeCell ref="AI423:AI427"/>
    <mergeCell ref="AD331:AD336"/>
    <mergeCell ref="AN400:AN403"/>
    <mergeCell ref="J193:J198"/>
    <mergeCell ref="S413:S416"/>
    <mergeCell ref="Z352:Z357"/>
    <mergeCell ref="I390:I394"/>
    <mergeCell ref="AI640:AI644"/>
    <mergeCell ref="B531:C536"/>
    <mergeCell ref="AG664:AG668"/>
    <mergeCell ref="AV483:AV487"/>
    <mergeCell ref="AG707:AG712"/>
    <mergeCell ref="T381:T384"/>
    <mergeCell ref="AD507:AD511"/>
    <mergeCell ref="AH205:AH209"/>
    <mergeCell ref="AM714:AM719"/>
    <mergeCell ref="A714:A720"/>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V435:AV439"/>
    <mergeCell ref="AJ477:AJ481"/>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M400:AM403"/>
    <mergeCell ref="A400:A404"/>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D13:D18"/>
    <mergeCell ref="AM115:AM119"/>
    <mergeCell ref="J175:J180"/>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K794:K797"/>
    <mergeCell ref="P413:P416"/>
    <mergeCell ref="T817:T820"/>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AB310:AB315"/>
    <mergeCell ref="J331:J337"/>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AN49:AN53"/>
    <mergeCell ref="I248:I253"/>
    <mergeCell ref="F809:F813"/>
    <mergeCell ref="B835:C835"/>
    <mergeCell ref="B829:C829"/>
    <mergeCell ref="E85:E90"/>
    <mergeCell ref="AA199:AA203"/>
    <mergeCell ref="AN260:AN264"/>
    <mergeCell ref="AK345:AK350"/>
    <mergeCell ref="AV615:AV619"/>
    <mergeCell ref="J615:J620"/>
    <mergeCell ref="F211:F216"/>
    <mergeCell ref="I676:I681"/>
    <mergeCell ref="AG513:AG517"/>
    <mergeCell ref="AH91:AH95"/>
    <mergeCell ref="AM749:AM754"/>
    <mergeCell ref="AK223:AK227"/>
    <mergeCell ref="AA395:AA398"/>
    <mergeCell ref="AS447:AS451"/>
    <mergeCell ref="A621:A626"/>
    <mergeCell ref="AH385:AH388"/>
    <mergeCell ref="F763:F769"/>
    <mergeCell ref="Z254:Z258"/>
    <mergeCell ref="S889:S892"/>
    <mergeCell ref="AA103:AA107"/>
    <mergeCell ref="Z248:Z252"/>
    <mergeCell ref="AB317:AB322"/>
    <mergeCell ref="AM742:AM747"/>
    <mergeCell ref="B830:C830"/>
    <mergeCell ref="D19:D24"/>
    <mergeCell ref="AB441:AB445"/>
    <mergeCell ref="E109:E114"/>
    <mergeCell ref="AC290:AC294"/>
    <mergeCell ref="J43:J48"/>
    <mergeCell ref="Z465:Z469"/>
    <mergeCell ref="AB223:AB227"/>
    <mergeCell ref="J489:J494"/>
    <mergeCell ref="E145:E150"/>
    <mergeCell ref="W413:W416"/>
    <mergeCell ref="K640:K644"/>
    <mergeCell ref="E139:E144"/>
    <mergeCell ref="O785:O788"/>
    <mergeCell ref="J700:J705"/>
    <mergeCell ref="AM615:AM619"/>
    <mergeCell ref="AJ157:AJ161"/>
    <mergeCell ref="AJ151:AJ155"/>
    <mergeCell ref="AM193:AM197"/>
    <mergeCell ref="AA217:AA221"/>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Z151:Z155"/>
    <mergeCell ref="K366:K371"/>
    <mergeCell ref="AA543:AA547"/>
    <mergeCell ref="AR435:AR439"/>
    <mergeCell ref="B193:C198"/>
    <mergeCell ref="AK236:AK240"/>
    <mergeCell ref="AF477:AF481"/>
    <mergeCell ref="A809:A813"/>
    <mergeCell ref="H817:H820"/>
    <mergeCell ref="AR555:AR559"/>
    <mergeCell ref="E585:E590"/>
    <mergeCell ref="AE67:AE71"/>
    <mergeCell ref="AB242:AB246"/>
    <mergeCell ref="AQ789:AQ792"/>
    <mergeCell ref="AJ597:AJ601"/>
    <mergeCell ref="E789:E793"/>
    <mergeCell ref="AD429:AD433"/>
    <mergeCell ref="I109:I114"/>
    <mergeCell ref="W573:W578"/>
    <mergeCell ref="G352:G358"/>
    <mergeCell ref="AI400:AI403"/>
    <mergeCell ref="E193:E198"/>
    <mergeCell ref="N413:N416"/>
    <mergeCell ref="B570:C570"/>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E400:E404"/>
    <mergeCell ref="D585:D590"/>
    <mergeCell ref="AD67:AD71"/>
    <mergeCell ref="AL640:AL644"/>
    <mergeCell ref="G818:G820"/>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M9:AM12"/>
    <mergeCell ref="AD97:AD101"/>
    <mergeCell ref="AI223:AI227"/>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AJ260:AJ264"/>
    <mergeCell ref="B390:C394"/>
    <mergeCell ref="E676:E681"/>
    <mergeCell ref="J804:J808"/>
    <mergeCell ref="AV471:AV475"/>
    <mergeCell ref="J471:J476"/>
    <mergeCell ref="AD91:AD95"/>
    <mergeCell ref="G13:G18"/>
    <mergeCell ref="AK37:AK41"/>
    <mergeCell ref="I324:I330"/>
    <mergeCell ref="AD385:AD388"/>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G151:G156"/>
    <mergeCell ref="AE230:AE234"/>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AN151:AN155"/>
    <mergeCell ref="E489:E494"/>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AM230:AM234"/>
    <mergeCell ref="E61:E66"/>
    <mergeCell ref="H429:H4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D109:D114"/>
    <mergeCell ref="S381:S38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B841:C841"/>
    <mergeCell ref="AK91:AK95"/>
    <mergeCell ref="H573:H578"/>
    <mergeCell ref="B373:C373"/>
    <mergeCell ref="K804:K807"/>
    <mergeCell ref="AM278:AM282"/>
    <mergeCell ref="A278:A283"/>
    <mergeCell ref="G49:G54"/>
    <mergeCell ref="AK385:AK388"/>
    <mergeCell ref="AC254:AC258"/>
    <mergeCell ref="AJ453:AJ457"/>
    <mergeCell ref="K471:K475"/>
    <mergeCell ref="AE317:AE322"/>
    <mergeCell ref="AL809:AL812"/>
    <mergeCell ref="AW603:AW607"/>
    <mergeCell ref="AC465:AC469"/>
    <mergeCell ref="G303:G309"/>
    <mergeCell ref="Z97:Z101"/>
    <mergeCell ref="AE223:AE227"/>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AD242:AD246"/>
    <mergeCell ref="AD217:AD221"/>
    <mergeCell ref="AL519:AL523"/>
    <mergeCell ref="AG585:AG589"/>
    <mergeCell ref="B846:C846"/>
    <mergeCell ref="AH682:AH686"/>
    <mergeCell ref="A609:A614"/>
    <mergeCell ref="AL891:AL892"/>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F223:F228"/>
    <mergeCell ref="K324:K329"/>
    <mergeCell ref="AE345:AE350"/>
    <mergeCell ref="AK567:AK571"/>
    <mergeCell ref="I591:I596"/>
    <mergeCell ref="Z19:Z23"/>
    <mergeCell ref="A640:A645"/>
    <mergeCell ref="AE670:AE674"/>
    <mergeCell ref="AT794:AT797"/>
    <mergeCell ref="AL405:AL408"/>
    <mergeCell ref="H794:H798"/>
    <mergeCell ref="B849:C849"/>
    <mergeCell ref="AB627:AB631"/>
    <mergeCell ref="G395:G399"/>
    <mergeCell ref="AJ799:AJ802"/>
    <mergeCell ref="AL230:AL234"/>
    <mergeCell ref="AM79:AM83"/>
    <mergeCell ref="AV561:AV565"/>
    <mergeCell ref="H585:H590"/>
    <mergeCell ref="G890:G892"/>
    <mergeCell ref="AI73:AI77"/>
    <mergeCell ref="AE242:AE246"/>
    <mergeCell ref="Z477:Z481"/>
    <mergeCell ref="AE236:AE240"/>
    <mergeCell ref="A633:C633"/>
    <mergeCell ref="H789:H793"/>
    <mergeCell ref="K217:K221"/>
    <mergeCell ref="B303:C309"/>
    <mergeCell ref="D25:D30"/>
    <mergeCell ref="AI187:AI191"/>
    <mergeCell ref="B296:C301"/>
    <mergeCell ref="AG429:AG433"/>
    <mergeCell ref="AB331:AB336"/>
    <mergeCell ref="AB85:AB89"/>
    <mergeCell ref="I284:I289"/>
    <mergeCell ref="J133:J138"/>
    <mergeCell ref="J352:J358"/>
    <mergeCell ref="AG770:AG775"/>
    <mergeCell ref="I785:I788"/>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AA133:AA137"/>
    <mergeCell ref="H413:H416"/>
    <mergeCell ref="B860:C860"/>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K175:AK179"/>
    <mergeCell ref="A248:A253"/>
    <mergeCell ref="AQ501:AQ505"/>
    <mergeCell ref="W489:W494"/>
    <mergeCell ref="AL157:AL161"/>
    <mergeCell ref="AC345:AC350"/>
    <mergeCell ref="AF260:AF264"/>
    <mergeCell ref="H700:H705"/>
    <mergeCell ref="F181:F186"/>
    <mergeCell ref="AA459:AA463"/>
    <mergeCell ref="H115:H120"/>
    <mergeCell ref="AC217:AC221"/>
    <mergeCell ref="B317:C323"/>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AS794:AS797"/>
    <mergeCell ref="Z205:Z209"/>
    <mergeCell ref="G794:G798"/>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AT459:AT463"/>
    <mergeCell ref="F519:F524"/>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AS809:AS812"/>
    <mergeCell ref="AJ465:AJ469"/>
    <mergeCell ref="AL223:AL227"/>
    <mergeCell ref="G809:G813"/>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AE266:AE270"/>
    <mergeCell ref="L785:L788"/>
    <mergeCell ref="AB345:AB350"/>
    <mergeCell ref="AE260:AE264"/>
    <mergeCell ref="AM770:AM775"/>
    <mergeCell ref="E181:E186"/>
    <mergeCell ref="B858:C85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G405:G409"/>
    <mergeCell ref="AK603:AK607"/>
    <mergeCell ref="B817:C820"/>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Z310:Z315"/>
    <mergeCell ref="H331:H337"/>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AK324:AK329"/>
    <mergeCell ref="AF11:AF12"/>
    <mergeCell ref="D513:D518"/>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AL13:AL17"/>
    <mergeCell ref="AM49:AM53"/>
    <mergeCell ref="H248:H253"/>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AK676:AK680"/>
    <mergeCell ref="W555:W560"/>
    <mergeCell ref="AK670:AK674"/>
    <mergeCell ref="B260:C265"/>
    <mergeCell ref="B827:C827"/>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M55:AM59"/>
    <mergeCell ref="AB205:AB20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AK13:AK17"/>
    <mergeCell ref="AL49:AL53"/>
    <mergeCell ref="G248:G253"/>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AG809:AG812"/>
    <mergeCell ref="AR603:AR607"/>
    <mergeCell ref="B895:C895"/>
    <mergeCell ref="AB721:AB726"/>
    <mergeCell ref="AM501:AM505"/>
    <mergeCell ref="G272:G277"/>
    <mergeCell ref="AL400:AL403"/>
    <mergeCell ref="B471:C476"/>
    <mergeCell ref="AK615:AK619"/>
    <mergeCell ref="AH157:AH161"/>
    <mergeCell ref="I459:I464"/>
    <mergeCell ref="D115:D120"/>
    <mergeCell ref="AG519:AG523"/>
    <mergeCell ref="A405:A409"/>
    <mergeCell ref="AC682:AC686"/>
    <mergeCell ref="AJ390:AJ393"/>
    <mergeCell ref="AI11:AI12"/>
    <mergeCell ref="J435:J440"/>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G109:G114"/>
    <mergeCell ref="F324:F330"/>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AH223:AH227"/>
    <mergeCell ref="J303:J309"/>
    <mergeCell ref="AC640:AC644"/>
    <mergeCell ref="I525:I530"/>
    <mergeCell ref="AG591:AG595"/>
    <mergeCell ref="J507:J512"/>
    <mergeCell ref="G489:G494"/>
    <mergeCell ref="B109:C114"/>
    <mergeCell ref="AG217:AG221"/>
    <mergeCell ref="D905:G905"/>
    <mergeCell ref="AD417:AD421"/>
    <mergeCell ref="AA49:AA53"/>
    <mergeCell ref="W567:W572"/>
    <mergeCell ref="AL501:AL505"/>
    <mergeCell ref="B564:C564"/>
    <mergeCell ref="AK400:AK403"/>
    <mergeCell ref="AI383:AI384"/>
    <mergeCell ref="AA266:AA270"/>
    <mergeCell ref="AA260:AA264"/>
    <mergeCell ref="H459:H464"/>
    <mergeCell ref="AN109:AN113"/>
    <mergeCell ref="A181:A186"/>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AG603:AG607"/>
    <mergeCell ref="W721:W727"/>
    <mergeCell ref="F817:G817"/>
    <mergeCell ref="AD145:AD149"/>
    <mergeCell ref="G67:G72"/>
    <mergeCell ref="J395:J399"/>
    <mergeCell ref="J429:J434"/>
    <mergeCell ref="G61:G66"/>
    <mergeCell ref="E756:E762"/>
    <mergeCell ref="AM799:AM802"/>
    <mergeCell ref="A799:A803"/>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K405:K408"/>
    <mergeCell ref="F597:F602"/>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B67:C72"/>
    <mergeCell ref="AG324:AG329"/>
    <mergeCell ref="J573:J578"/>
    <mergeCell ref="W640:W645"/>
    <mergeCell ref="E9:G9"/>
    <mergeCell ref="AJ55:AJ59"/>
    <mergeCell ref="I49:I54"/>
    <mergeCell ref="AM385:AM388"/>
    <mergeCell ref="AE254:AE258"/>
    <mergeCell ref="AN61:AN65"/>
    <mergeCell ref="AB97:AB101"/>
    <mergeCell ref="I303:I309"/>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AH199:AH203"/>
    <mergeCell ref="I181:I186"/>
    <mergeCell ref="H381:J381"/>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G352:AG357"/>
    <mergeCell ref="AL471:AL475"/>
    <mergeCell ref="AJ787:AJ788"/>
    <mergeCell ref="AL145:AL149"/>
    <mergeCell ref="A359:A365"/>
    <mergeCell ref="AE483:AE487"/>
    <mergeCell ref="AB115:AB119"/>
    <mergeCell ref="J163:J168"/>
    <mergeCell ref="J794:J798"/>
    <mergeCell ref="AK507:AK511"/>
    <mergeCell ref="AG676:AG680"/>
    <mergeCell ref="B537:C542"/>
    <mergeCell ref="AG670:AG674"/>
    <mergeCell ref="AN405:AN408"/>
    <mergeCell ref="AW441:AW445"/>
    <mergeCell ref="D735:D741"/>
    <mergeCell ref="F67:F72"/>
    <mergeCell ref="I395:I399"/>
    <mergeCell ref="AN230:AN234"/>
    <mergeCell ref="AD519:AD523"/>
    <mergeCell ref="G435:G440"/>
    <mergeCell ref="AA501:AA505"/>
    <mergeCell ref="AK79:AK83"/>
    <mergeCell ref="AK73:AK77"/>
    <mergeCell ref="AG242:AG246"/>
    <mergeCell ref="AQ573:AQ577"/>
    <mergeCell ref="K459:K463"/>
    <mergeCell ref="A266:A271"/>
    <mergeCell ref="F25:F30"/>
    <mergeCell ref="AI429:AI433"/>
    <mergeCell ref="A260:A265"/>
    <mergeCell ref="D603:D608"/>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Z121:Z125"/>
    <mergeCell ref="J242:J247"/>
    <mergeCell ref="B374:C374"/>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AA242:AA246"/>
    <mergeCell ref="H471:H476"/>
    <mergeCell ref="B609:C614"/>
    <mergeCell ref="B847:C847"/>
    <mergeCell ref="E13:E18"/>
    <mergeCell ref="AB385:AB388"/>
    <mergeCell ref="AF352:AF357"/>
    <mergeCell ref="AI787:AI788"/>
    <mergeCell ref="AC809:AC812"/>
    <mergeCell ref="A664:A669"/>
    <mergeCell ref="AK145:AK149"/>
    <mergeCell ref="I728:I734"/>
    <mergeCell ref="K531:K535"/>
    <mergeCell ref="AA115:AA119"/>
    <mergeCell ref="AI501:AI505"/>
    <mergeCell ref="Z447:Z451"/>
    <mergeCell ref="K525:K529"/>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AC405:AC408"/>
    <mergeCell ref="AN199:AN203"/>
    <mergeCell ref="J728:J734"/>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A187:AA191"/>
    <mergeCell ref="AD555:AD559"/>
    <mergeCell ref="AN248:AN252"/>
    <mergeCell ref="AN352:AN357"/>
    <mergeCell ref="AD400:AD403"/>
    <mergeCell ref="AJ579:AJ583"/>
    <mergeCell ref="AK770:AK775"/>
    <mergeCell ref="AV603:AV607"/>
    <mergeCell ref="AS804:AS807"/>
    <mergeCell ref="AB465:AB469"/>
    <mergeCell ref="AD223:AD227"/>
    <mergeCell ref="F303:F309"/>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AG400:AG403"/>
    <mergeCell ref="L413:L416"/>
    <mergeCell ref="AF615:AF619"/>
    <mergeCell ref="AC157:AC161"/>
    <mergeCell ref="AV627:AV631"/>
    <mergeCell ref="J627:J632"/>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AD278:AD282"/>
    <mergeCell ref="B844:C844"/>
    <mergeCell ref="Z145:Z149"/>
    <mergeCell ref="AM756:AM761"/>
    <mergeCell ref="B838:C838"/>
    <mergeCell ref="AK230:AK234"/>
    <mergeCell ref="F429:F434"/>
    <mergeCell ref="D338:D344"/>
    <mergeCell ref="I290:I295"/>
    <mergeCell ref="AJ163:AJ167"/>
    <mergeCell ref="AK441:AK445"/>
    <mergeCell ref="AH73:AH77"/>
    <mergeCell ref="Q413:Q416"/>
    <mergeCell ref="F890:F892"/>
    <mergeCell ref="AC175:AC179"/>
    <mergeCell ref="D157:D162"/>
    <mergeCell ref="AH400:AH403"/>
    <mergeCell ref="A603:A608"/>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G115:G120"/>
    <mergeCell ref="AB217:AB221"/>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C352:AC357"/>
    <mergeCell ref="AH471:AH475"/>
    <mergeCell ref="AA193:AA197"/>
    <mergeCell ref="AF787:AF788"/>
    <mergeCell ref="AJ664:AJ668"/>
    <mergeCell ref="I756:I762"/>
    <mergeCell ref="K597:K601"/>
    <mergeCell ref="H236:H241"/>
    <mergeCell ref="F163:F168"/>
    <mergeCell ref="AI567:AI571"/>
    <mergeCell ref="F794:F798"/>
    <mergeCell ref="AR794:AR797"/>
    <mergeCell ref="AJ405:AJ408"/>
    <mergeCell ref="AS441:AS445"/>
    <mergeCell ref="AQ525:AQ529"/>
    <mergeCell ref="E525:E530"/>
    <mergeCell ref="AM248:AM252"/>
    <mergeCell ref="AL735:AL740"/>
    <mergeCell ref="E395:E399"/>
    <mergeCell ref="AJ230:AJ234"/>
    <mergeCell ref="AT567:AT571"/>
    <mergeCell ref="B874:C874"/>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B700:C705"/>
    <mergeCell ref="AL296:AL300"/>
    <mergeCell ref="D127:D132"/>
    <mergeCell ref="AL303:AL308"/>
    <mergeCell ref="G495:G500"/>
    <mergeCell ref="AN359:AN364"/>
    <mergeCell ref="I688:I693"/>
    <mergeCell ref="Z786:AA786"/>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7:F713"/>
    <mergeCell ref="F700:F705"/>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B352:AB357"/>
    <mergeCell ref="F573:F578"/>
    <mergeCell ref="AE787:AE78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K303:AK308"/>
    <mergeCell ref="AM338:AM343"/>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I169:I174"/>
    <mergeCell ref="AH284:AH288"/>
    <mergeCell ref="AI133:AI137"/>
    <mergeCell ref="Z414:AB414"/>
    <mergeCell ref="H9:J9"/>
    <mergeCell ref="W597:W602"/>
    <mergeCell ref="AD819:AD820"/>
    <mergeCell ref="AN25:AN29"/>
    <mergeCell ref="B338:C344"/>
    <mergeCell ref="AA296:AA300"/>
    <mergeCell ref="AA303:AA308"/>
    <mergeCell ref="D579:D584"/>
    <mergeCell ref="AQ809:AQ812"/>
    <mergeCell ref="AM405:AM408"/>
    <mergeCell ref="AV441:AV445"/>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AC266:AC270"/>
    <mergeCell ref="AB417:AB421"/>
    <mergeCell ref="H714:H720"/>
    <mergeCell ref="J785:J788"/>
    <mergeCell ref="G382:G384"/>
    <mergeCell ref="AJ352:AJ357"/>
    <mergeCell ref="Z400:Z403"/>
    <mergeCell ref="E413:E416"/>
    <mergeCell ref="AJ127:AJ131"/>
    <mergeCell ref="AG390:AG393"/>
    <mergeCell ref="I495:I500"/>
    <mergeCell ref="E664:E669"/>
    <mergeCell ref="D597:D602"/>
    <mergeCell ref="AH483:AH487"/>
    <mergeCell ref="AL415:AL416"/>
    <mergeCell ref="AD359:AD364"/>
    <mergeCell ref="AI609:AI613"/>
    <mergeCell ref="B79:C84"/>
    <mergeCell ref="I67:I72"/>
    <mergeCell ref="G804:G808"/>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391" operator="containsText" dxfId="325" text="VERDE">
      <formula>NOT(ISERROR(SEARCH("VERDE",D229)))</formula>
    </cfRule>
    <cfRule type="containsText" priority="392" operator="containsText" dxfId="324" text="AMARILLO">
      <formula>NOT(ISERROR(SEARCH("AMARILLO",D229)))</formula>
    </cfRule>
    <cfRule type="containsText" priority="393" operator="containsText" dxfId="323" text="ROJO">
      <formula>NOT(ISERROR(SEARCH("ROJO",D229)))</formula>
    </cfRule>
  </conditionalFormatting>
  <conditionalFormatting sqref="D821:D856">
    <cfRule type="cellIs" priority="389" operator="lessThan" dxfId="0" stopIfTrue="1">
      <formula>0</formula>
    </cfRule>
  </conditionalFormatting>
  <conditionalFormatting sqref="D858:D869">
    <cfRule type="cellIs" priority="388" operator="lessThan" dxfId="0" stopIfTrue="1">
      <formula>0</formula>
    </cfRule>
  </conditionalFormatting>
  <conditionalFormatting sqref="D871:D888">
    <cfRule type="cellIs" priority="387" operator="lessThan" dxfId="0" stopIfTrue="1">
      <formula>0</formula>
    </cfRule>
  </conditionalFormatting>
  <conditionalFormatting sqref="D893:D894">
    <cfRule type="cellIs" priority="390" operator="lessThan" dxfId="0" stopIfTrue="1">
      <formula>0</formula>
    </cfRule>
  </conditionalFormatting>
  <conditionalFormatting sqref="D566">
    <cfRule type="cellIs" priority="386" operator="lessThan" dxfId="384" stopIfTrue="1">
      <formula>0</formula>
    </cfRule>
  </conditionalFormatting>
  <conditionalFormatting sqref="D572">
    <cfRule type="cellIs" priority="385" operator="lessThan" dxfId="384" stopIfTrue="1">
      <formula>0</formula>
    </cfRule>
  </conditionalFormatting>
  <conditionalFormatting sqref="D895:D897">
    <cfRule type="cellIs" priority="384" operator="lessThan" dxfId="0" stopIfTrue="1">
      <formula>0</formula>
    </cfRule>
  </conditionalFormatting>
  <conditionalFormatting sqref="E229 P410">
    <cfRule type="containsText" priority="376" operator="containsText" dxfId="325" text="VERDE">
      <formula>NOT(ISERROR(SEARCH("VERDE",E229)))</formula>
    </cfRule>
    <cfRule type="containsText" priority="377" operator="containsText" dxfId="324" text="AMARILLO">
      <formula>NOT(ISERROR(SEARCH("AMARILLO",E229)))</formula>
    </cfRule>
    <cfRule type="containsText" priority="378" operator="containsText" dxfId="323" text="ROJO">
      <formula>NOT(ISERROR(SEARCH("ROJO",E229)))</formula>
    </cfRule>
  </conditionalFormatting>
  <conditionalFormatting sqref="E821:I856">
    <cfRule type="cellIs" priority="253" operator="lessThan" dxfId="0" stopIfTrue="1">
      <formula>0</formula>
    </cfRule>
  </conditionalFormatting>
  <conditionalFormatting sqref="E858:I869">
    <cfRule type="cellIs" priority="252" operator="lessThan" dxfId="0" stopIfTrue="1">
      <formula>0</formula>
    </cfRule>
  </conditionalFormatting>
  <conditionalFormatting sqref="E871:I888">
    <cfRule type="cellIs" priority="251" operator="lessThan" dxfId="0" stopIfTrue="1">
      <formula>0</formula>
    </cfRule>
  </conditionalFormatting>
  <conditionalFormatting sqref="E893:I893 E894:G894 H894:I897">
    <cfRule type="cellIs" priority="369" operator="lessThan" dxfId="0" stopIfTrue="1">
      <formula>0</formula>
    </cfRule>
  </conditionalFormatting>
  <conditionalFormatting sqref="K13:K17">
    <cfRule type="cellIs" priority="379" operator="lessThan" dxfId="0" stopIfTrue="1">
      <formula>0</formula>
    </cfRule>
  </conditionalFormatting>
  <conditionalFormatting sqref="K303:K308 K777:K783">
    <cfRule type="cellIs" priority="365" operator="lessThan" dxfId="0" stopIfTrue="1">
      <formula>0</formula>
    </cfRule>
  </conditionalFormatting>
  <conditionalFormatting sqref="K309">
    <cfRule type="containsText" priority="375" operator="containsText" dxfId="8" text="Falso">
      <formula>NOT(ISERROR(SEARCH("Falso",K309)))</formula>
    </cfRule>
  </conditionalFormatting>
  <conditionalFormatting sqref="K373:K380">
    <cfRule type="cellIs" priority="372" operator="lessThan" dxfId="0" stopIfTrue="1">
      <formula>0</formula>
    </cfRule>
  </conditionalFormatting>
  <conditionalFormatting sqref="K385:K388">
    <cfRule type="cellIs" priority="380" operator="lessThan" dxfId="0" stopIfTrue="1">
      <formula>0</formula>
    </cfRule>
  </conditionalFormatting>
  <conditionalFormatting sqref="K389">
    <cfRule type="containsText" priority="381" operator="containsText" dxfId="8" text="Falso">
      <formula>NOT(ISERROR(SEARCH("Falso",K389)))</formula>
    </cfRule>
  </conditionalFormatting>
  <conditionalFormatting sqref="K394">
    <cfRule type="containsText" priority="371" operator="containsText" dxfId="8" text="Falso">
      <formula>NOT(ISERROR(SEARCH("Falso",K394)))</formula>
    </cfRule>
  </conditionalFormatting>
  <conditionalFormatting sqref="K399 K404 K409">
    <cfRule type="containsText" priority="370" operator="containsText" dxfId="8" text="Falso">
      <formula>NOT(ISERROR(SEARCH("Falso",K399)))</formula>
    </cfRule>
  </conditionalFormatting>
  <conditionalFormatting sqref="K714:K719 K721:K726">
    <cfRule type="cellIs" priority="273" operator="lessThan" dxfId="0" stopIfTrue="1">
      <formula>0</formula>
    </cfRule>
  </conditionalFormatting>
  <conditionalFormatting sqref="K634:K638">
    <cfRule type="cellIs" priority="279" operator="lessThan" dxfId="0" stopIfTrue="1">
      <formula>0</formula>
    </cfRule>
  </conditionalFormatting>
  <conditionalFormatting sqref="K749:K754 K756:K761">
    <cfRule type="cellIs" priority="271" operator="lessThan" dxfId="0" stopIfTrue="1">
      <formula>0</formula>
    </cfRule>
  </conditionalFormatting>
  <conditionalFormatting sqref="K763:K768">
    <cfRule type="cellIs" priority="270" operator="lessThan" dxfId="0" stopIfTrue="1">
      <formula>0</formula>
    </cfRule>
  </conditionalFormatting>
  <conditionalFormatting sqref="K770:K775">
    <cfRule type="cellIs" priority="269" operator="lessThan" dxfId="0" stopIfTrue="1">
      <formula>0</formula>
    </cfRule>
  </conditionalFormatting>
  <conditionalFormatting sqref="K707:K712">
    <cfRule type="cellIs" priority="278" operator="lessThan" dxfId="0" stopIfTrue="1">
      <formula>0</formula>
    </cfRule>
  </conditionalFormatting>
  <conditionalFormatting sqref="K728:K733 K735:K740 K742:K747">
    <cfRule type="cellIs" priority="272" operator="lessThan" dxfId="0" stopIfTrue="1">
      <formula>0</formula>
    </cfRule>
  </conditionalFormatting>
  <conditionalFormatting sqref="K821:K856 M821:O856">
    <cfRule type="cellIs" priority="250" operator="lessThan" dxfId="0" stopIfTrue="1">
      <formula>0</formula>
    </cfRule>
  </conditionalFormatting>
  <conditionalFormatting sqref="K858:K869 M858:N869">
    <cfRule type="cellIs" priority="249" operator="lessThan" dxfId="0" stopIfTrue="1">
      <formula>0</formula>
    </cfRule>
  </conditionalFormatting>
  <conditionalFormatting sqref="K871:K888 M871:N887 M888:O888">
    <cfRule type="cellIs" priority="248" operator="lessThan" dxfId="0" stopIfTrue="1">
      <formula>0</formula>
    </cfRule>
  </conditionalFormatting>
  <conditionalFormatting sqref="K893:K894 M893:N894">
    <cfRule type="cellIs" priority="247" operator="lessThan" dxfId="0" stopIfTrue="1">
      <formula>0</formula>
    </cfRule>
  </conditionalFormatting>
  <conditionalFormatting sqref="P13:P17 P303:P308">
    <cfRule type="containsText" priority="361" operator="containsText" dxfId="131" text="VENCIDO">
      <formula>NOT(ISERROR(SEARCH("VENCIDO",P13)))</formula>
    </cfRule>
    <cfRule type="containsText" priority="362" operator="containsText" dxfId="130" text="VERDE">
      <formula>NOT(ISERROR(SEARCH("VERDE",P13)))</formula>
    </cfRule>
    <cfRule type="containsText" priority="363" operator="containsText" dxfId="129" stopIfTrue="1" text="AMARILLO">
      <formula>NOT(ISERROR(SEARCH("AMARILLO",P13)))</formula>
    </cfRule>
    <cfRule type="containsText" priority="364" operator="containsText" dxfId="128" text="ROJO">
      <formula>NOT(ISERROR(SEARCH("ROJO",P13)))</formula>
    </cfRule>
  </conditionalFormatting>
  <conditionalFormatting sqref="P373:P379">
    <cfRule type="containsText" priority="357" operator="containsText" dxfId="131" text="VENCIDO">
      <formula>NOT(ISERROR(SEARCH("VENCIDO",P373)))</formula>
    </cfRule>
    <cfRule type="containsText" priority="358" operator="containsText" dxfId="130" text="VERDE">
      <formula>NOT(ISERROR(SEARCH("VERDE",P373)))</formula>
    </cfRule>
    <cfRule type="containsText" priority="359" operator="containsText" dxfId="129" stopIfTrue="1" text="AMARILLO">
      <formula>NOT(ISERROR(SEARCH("AMARILLO",P373)))</formula>
    </cfRule>
    <cfRule type="containsText" priority="360" operator="containsText" dxfId="128" text="ROJO">
      <formula>NOT(ISERROR(SEARCH("ROJO",P373)))</formula>
    </cfRule>
  </conditionalFormatting>
  <conditionalFormatting sqref="P385:P388">
    <cfRule type="containsText" priority="353" operator="containsText" dxfId="131" text="VENCIDO">
      <formula>NOT(ISERROR(SEARCH("VENCIDO",P385)))</formula>
    </cfRule>
    <cfRule type="containsText" priority="354" operator="containsText" dxfId="130" text="VERDE">
      <formula>NOT(ISERROR(SEARCH("VERDE",P385)))</formula>
    </cfRule>
    <cfRule type="containsText" priority="355" operator="containsText" dxfId="129" stopIfTrue="1" text="AMARILLO">
      <formula>NOT(ISERROR(SEARCH("AMARILLO",P385)))</formula>
    </cfRule>
    <cfRule type="containsText" priority="356" operator="containsText" dxfId="128" text="ROJO">
      <formula>NOT(ISERROR(SEARCH("ROJO",P385)))</formula>
    </cfRule>
  </conditionalFormatting>
  <conditionalFormatting sqref="P417:P421">
    <cfRule type="containsText" priority="346" operator="containsText" dxfId="131" text="VENCIDO">
      <formula>NOT(ISERROR(SEARCH("VENCIDO",P417)))</formula>
    </cfRule>
    <cfRule type="containsText" priority="347" operator="containsText" dxfId="130" text="VERDE">
      <formula>NOT(ISERROR(SEARCH("VERDE",P417)))</formula>
    </cfRule>
    <cfRule type="containsText" priority="348" operator="containsText" dxfId="129" stopIfTrue="1" text="AMARILLO">
      <formula>NOT(ISERROR(SEARCH("AMARILLO",P417)))</formula>
    </cfRule>
    <cfRule type="containsText" priority="349" operator="containsText" dxfId="128" text="ROJO">
      <formula>NOT(ISERROR(SEARCH("ROJO",P417)))</formula>
    </cfRule>
  </conditionalFormatting>
  <conditionalFormatting sqref="P561:P565">
    <cfRule type="containsText" priority="342" operator="containsText" dxfId="131" text="VENCIDO">
      <formula>NOT(ISERROR(SEARCH("VENCIDO",P561)))</formula>
    </cfRule>
    <cfRule type="containsText" priority="343" operator="containsText" dxfId="130" text="VERDE">
      <formula>NOT(ISERROR(SEARCH("VERDE",P561)))</formula>
    </cfRule>
    <cfRule type="containsText" priority="344" operator="containsText" dxfId="129" stopIfTrue="1" text="AMARILLO">
      <formula>NOT(ISERROR(SEARCH("AMARILLO",P561)))</formula>
    </cfRule>
    <cfRule type="containsText" priority="345" operator="containsText" dxfId="128" text="ROJO">
      <formula>NOT(ISERROR(SEARCH("ROJO",P561)))</formula>
    </cfRule>
  </conditionalFormatting>
  <conditionalFormatting sqref="P707:P712">
    <cfRule type="containsText" priority="274" operator="containsText" dxfId="131" text="VENCIDO">
      <formula>NOT(ISERROR(SEARCH("VENCIDO",P707)))</formula>
    </cfRule>
    <cfRule type="containsText" priority="275" operator="containsText" dxfId="130" text="VERDE">
      <formula>NOT(ISERROR(SEARCH("VERDE",P707)))</formula>
    </cfRule>
    <cfRule type="containsText" priority="276" operator="containsText" dxfId="129" stopIfTrue="1" text="AMARILLO">
      <formula>NOT(ISERROR(SEARCH("AMARILLO",P707)))</formula>
    </cfRule>
    <cfRule type="containsText" priority="277" operator="containsText" dxfId="128" text="ROJO">
      <formula>NOT(ISERROR(SEARCH("ROJO",P707)))</formula>
    </cfRule>
  </conditionalFormatting>
  <conditionalFormatting sqref="P777:P783">
    <cfRule type="containsText" priority="265" operator="containsText" dxfId="131" text="VENCIDO">
      <formula>NOT(ISERROR(SEARCH("VENCIDO",P777)))</formula>
    </cfRule>
    <cfRule type="containsText" priority="266" operator="containsText" dxfId="130" text="VERDE">
      <formula>NOT(ISERROR(SEARCH("VERDE",P777)))</formula>
    </cfRule>
    <cfRule type="containsText" priority="267" operator="containsText" dxfId="129" stopIfTrue="1" text="AMARILLO">
      <formula>NOT(ISERROR(SEARCH("AMARILLO",P777)))</formula>
    </cfRule>
    <cfRule type="containsText" priority="268" operator="containsText" dxfId="128" text="ROJO">
      <formula>NOT(ISERROR(SEARCH("ROJO",P777)))</formula>
    </cfRule>
  </conditionalFormatting>
  <conditionalFormatting sqref="Q833:Q848">
    <cfRule type="containsText" priority="259" operator="containsText" dxfId="325" text="VERDE">
      <formula>NOT(ISERROR(SEARCH("VERDE",Q833)))</formula>
    </cfRule>
    <cfRule type="containsText" priority="260" operator="containsText" dxfId="324" text="AMARILLO">
      <formula>NOT(ISERROR(SEARCH("AMARILLO",Q833)))</formula>
    </cfRule>
    <cfRule type="containsText" priority="261" operator="containsText" dxfId="323" text="ROJO">
      <formula>NOT(ISERROR(SEARCH("ROJO",Q833)))</formula>
    </cfRule>
  </conditionalFormatting>
  <conditionalFormatting sqref="Q821:R832">
    <cfRule type="containsText" priority="350" operator="containsText" dxfId="325" text="VERDE">
      <formula>NOT(ISERROR(SEARCH("VERDE",Q821)))</formula>
    </cfRule>
    <cfRule type="containsText" priority="351" operator="containsText" dxfId="324" text="AMARILLO">
      <formula>NOT(ISERROR(SEARCH("AMARILLO",Q821)))</formula>
    </cfRule>
    <cfRule type="containsText" priority="352" operator="containsText" dxfId="323" text="ROJO">
      <formula>NOT(ISERROR(SEARCH("ROJO",Q821)))</formula>
    </cfRule>
  </conditionalFormatting>
  <conditionalFormatting sqref="AO821:AO827 AO838:AO860 AO868:AO871 AO873 AO875:AO887">
    <cfRule type="expression" priority="366" dxfId="314">
      <formula>$AO821&lt;&gt;#REF!</formula>
    </cfRule>
  </conditionalFormatting>
  <conditionalFormatting sqref="AO828:AO835">
    <cfRule type="expression" priority="382" dxfId="314">
      <formula>$AO828&lt;&gt;#REF!</formula>
    </cfRule>
  </conditionalFormatting>
  <conditionalFormatting sqref="AO836:AO837">
    <cfRule type="expression" priority="264" dxfId="314">
      <formula>$AO836&lt;&gt;#REF!</formula>
    </cfRule>
  </conditionalFormatting>
  <conditionalFormatting sqref="AO861">
    <cfRule type="expression" priority="258" dxfId="314">
      <formula>$AO861&lt;&gt;#REF!</formula>
    </cfRule>
  </conditionalFormatting>
  <conditionalFormatting sqref="AO862:AO866">
    <cfRule type="expression" priority="257" dxfId="314">
      <formula>$AO862&lt;&gt;#REF!</formula>
    </cfRule>
  </conditionalFormatting>
  <conditionalFormatting sqref="AO867">
    <cfRule type="expression" priority="256" dxfId="314">
      <formula>$AO867&lt;&gt;#REF!</formula>
    </cfRule>
  </conditionalFormatting>
  <conditionalFormatting sqref="AO872">
    <cfRule type="expression" priority="255" dxfId="314">
      <formula>$AO872&lt;&gt;#REF!</formula>
    </cfRule>
  </conditionalFormatting>
  <conditionalFormatting sqref="AO874">
    <cfRule type="expression" priority="254" dxfId="314">
      <formula>$AO874&lt;&gt;#REF!</formula>
    </cfRule>
  </conditionalFormatting>
  <conditionalFormatting sqref="AO888">
    <cfRule type="expression" priority="383" dxfId="314">
      <formula>$AO888&lt;&gt;$L888</formula>
    </cfRule>
  </conditionalFormatting>
  <conditionalFormatting sqref="AS417">
    <cfRule type="cellIs" priority="368" operator="greaterThan" dxfId="8">
      <formula>1</formula>
    </cfRule>
  </conditionalFormatting>
  <conditionalFormatting sqref="AS423">
    <cfRule type="cellIs" priority="341" operator="greaterThan" dxfId="8">
      <formula>1</formula>
    </cfRule>
  </conditionalFormatting>
  <conditionalFormatting sqref="AS429">
    <cfRule type="cellIs" priority="339" operator="greaterThan" dxfId="8">
      <formula>1</formula>
    </cfRule>
  </conditionalFormatting>
  <conditionalFormatting sqref="AS435">
    <cfRule type="cellIs" priority="337" operator="greaterThan" dxfId="8">
      <formula>1</formula>
    </cfRule>
  </conditionalFormatting>
  <conditionalFormatting sqref="AS441">
    <cfRule type="cellIs" priority="335" operator="greaterThan" dxfId="8">
      <formula>1</formula>
    </cfRule>
  </conditionalFormatting>
  <conditionalFormatting sqref="AS447">
    <cfRule type="cellIs" priority="333" operator="greaterThan" dxfId="8">
      <formula>1</formula>
    </cfRule>
  </conditionalFormatting>
  <conditionalFormatting sqref="AS453">
    <cfRule type="cellIs" priority="331" operator="greaterThan" dxfId="8">
      <formula>1</formula>
    </cfRule>
  </conditionalFormatting>
  <conditionalFormatting sqref="AS459">
    <cfRule type="cellIs" priority="329" operator="greaterThan" dxfId="8">
      <formula>1</formula>
    </cfRule>
  </conditionalFormatting>
  <conditionalFormatting sqref="AS465">
    <cfRule type="cellIs" priority="327" operator="greaterThan" dxfId="8">
      <formula>1</formula>
    </cfRule>
  </conditionalFormatting>
  <conditionalFormatting sqref="AS471">
    <cfRule type="cellIs" priority="325" operator="greaterThan" dxfId="8">
      <formula>1</formula>
    </cfRule>
  </conditionalFormatting>
  <conditionalFormatting sqref="AS477">
    <cfRule type="cellIs" priority="323" operator="greaterThan" dxfId="8">
      <formula>1</formula>
    </cfRule>
  </conditionalFormatting>
  <conditionalFormatting sqref="AS483">
    <cfRule type="cellIs" priority="321" operator="greaterThan" dxfId="8">
      <formula>1</formula>
    </cfRule>
  </conditionalFormatting>
  <conditionalFormatting sqref="AS489">
    <cfRule type="cellIs" priority="319" operator="greaterThan" dxfId="8">
      <formula>1</formula>
    </cfRule>
  </conditionalFormatting>
  <conditionalFormatting sqref="AS495">
    <cfRule type="cellIs" priority="317" operator="greaterThan" dxfId="8">
      <formula>1</formula>
    </cfRule>
  </conditionalFormatting>
  <conditionalFormatting sqref="AS501">
    <cfRule type="cellIs" priority="315" operator="greaterThan" dxfId="8">
      <formula>1</formula>
    </cfRule>
  </conditionalFormatting>
  <conditionalFormatting sqref="AS507">
    <cfRule type="cellIs" priority="313" operator="greaterThan" dxfId="8">
      <formula>1</formula>
    </cfRule>
  </conditionalFormatting>
  <conditionalFormatting sqref="AS513">
    <cfRule type="cellIs" priority="311" operator="greaterThan" dxfId="8">
      <formula>1</formula>
    </cfRule>
  </conditionalFormatting>
  <conditionalFormatting sqref="AS519">
    <cfRule type="cellIs" priority="309" operator="greaterThan" dxfId="8">
      <formula>1</formula>
    </cfRule>
  </conditionalFormatting>
  <conditionalFormatting sqref="AS525">
    <cfRule type="cellIs" priority="307" operator="greaterThan" dxfId="8">
      <formula>1</formula>
    </cfRule>
  </conditionalFormatting>
  <conditionalFormatting sqref="AS531">
    <cfRule type="cellIs" priority="305" operator="greaterThan" dxfId="8">
      <formula>1</formula>
    </cfRule>
  </conditionalFormatting>
  <conditionalFormatting sqref="AS537">
    <cfRule type="cellIs" priority="303" operator="greaterThan" dxfId="8">
      <formula>1</formula>
    </cfRule>
  </conditionalFormatting>
  <conditionalFormatting sqref="AS543">
    <cfRule type="cellIs" priority="301" operator="greaterThan" dxfId="8">
      <formula>1</formula>
    </cfRule>
  </conditionalFormatting>
  <conditionalFormatting sqref="AS549">
    <cfRule type="cellIs" priority="299" operator="greaterThan" dxfId="8">
      <formula>1</formula>
    </cfRule>
  </conditionalFormatting>
  <conditionalFormatting sqref="AS555">
    <cfRule type="cellIs" priority="297" operator="greaterThan" dxfId="8">
      <formula>1</formula>
    </cfRule>
  </conditionalFormatting>
  <conditionalFormatting sqref="AS561">
    <cfRule type="cellIs" priority="295" operator="greaterThan" dxfId="8">
      <formula>1</formula>
    </cfRule>
  </conditionalFormatting>
  <conditionalFormatting sqref="AS567">
    <cfRule type="cellIs" priority="293" operator="greaterThan" dxfId="8">
      <formula>1</formula>
    </cfRule>
  </conditionalFormatting>
  <conditionalFormatting sqref="AS573">
    <cfRule type="cellIs" priority="288" operator="greaterThan" dxfId="8">
      <formula>1</formula>
    </cfRule>
  </conditionalFormatting>
  <conditionalFormatting sqref="AS579">
    <cfRule type="cellIs" priority="290" operator="greaterThan" dxfId="8">
      <formula>1</formula>
    </cfRule>
  </conditionalFormatting>
  <conditionalFormatting sqref="AS585">
    <cfRule type="cellIs" priority="287" operator="greaterThan" dxfId="8">
      <formula>1</formula>
    </cfRule>
  </conditionalFormatting>
  <conditionalFormatting sqref="AS591">
    <cfRule type="cellIs" priority="285" operator="greaterThan" dxfId="8">
      <formula>1</formula>
    </cfRule>
  </conditionalFormatting>
  <conditionalFormatting sqref="AS597 AS603">
    <cfRule type="cellIs" priority="283" operator="greaterThan" dxfId="8">
      <formula>1</formula>
    </cfRule>
  </conditionalFormatting>
  <conditionalFormatting sqref="AS609 AS615 AS621 AS627">
    <cfRule type="cellIs" priority="281" operator="greaterThan" dxfId="8">
      <formula>1</formula>
    </cfRule>
  </conditionalFormatting>
  <conditionalFormatting sqref="AS780:AS787">
    <cfRule type="cellIs" priority="374" operator="greaterThan" dxfId="8">
      <formula>1</formula>
    </cfRule>
  </conditionalFormatting>
  <conditionalFormatting sqref="AS821:AS856">
    <cfRule type="cellIs" priority="263" operator="greaterThan" dxfId="8">
      <formula>1</formula>
    </cfRule>
  </conditionalFormatting>
  <conditionalFormatting sqref="AT417">
    <cfRule type="cellIs" priority="367" operator="greaterThan" dxfId="121">
      <formula>1</formula>
    </cfRule>
  </conditionalFormatting>
  <conditionalFormatting sqref="AT423">
    <cfRule type="cellIs" priority="340" operator="greaterThan" dxfId="121">
      <formula>1</formula>
    </cfRule>
  </conditionalFormatting>
  <conditionalFormatting sqref="AT429">
    <cfRule type="cellIs" priority="338" operator="greaterThan" dxfId="121">
      <formula>1</formula>
    </cfRule>
  </conditionalFormatting>
  <conditionalFormatting sqref="AT435">
    <cfRule type="cellIs" priority="336" operator="greaterThan" dxfId="121">
      <formula>1</formula>
    </cfRule>
  </conditionalFormatting>
  <conditionalFormatting sqref="AT441">
    <cfRule type="cellIs" priority="334" operator="greaterThan" dxfId="121">
      <formula>1</formula>
    </cfRule>
  </conditionalFormatting>
  <conditionalFormatting sqref="AT447">
    <cfRule type="cellIs" priority="332" operator="greaterThan" dxfId="121">
      <formula>1</formula>
    </cfRule>
  </conditionalFormatting>
  <conditionalFormatting sqref="AT453">
    <cfRule type="cellIs" priority="330" operator="greaterThan" dxfId="121">
      <formula>1</formula>
    </cfRule>
  </conditionalFormatting>
  <conditionalFormatting sqref="AT459">
    <cfRule type="cellIs" priority="328" operator="greaterThan" dxfId="121">
      <formula>1</formula>
    </cfRule>
  </conditionalFormatting>
  <conditionalFormatting sqref="AT465">
    <cfRule type="cellIs" priority="326" operator="greaterThan" dxfId="121">
      <formula>1</formula>
    </cfRule>
  </conditionalFormatting>
  <conditionalFormatting sqref="AT471">
    <cfRule type="cellIs" priority="324" operator="greaterThan" dxfId="121">
      <formula>1</formula>
    </cfRule>
  </conditionalFormatting>
  <conditionalFormatting sqref="AT477">
    <cfRule type="cellIs" priority="322" operator="greaterThan" dxfId="121">
      <formula>1</formula>
    </cfRule>
  </conditionalFormatting>
  <conditionalFormatting sqref="AT483">
    <cfRule type="cellIs" priority="320" operator="greaterThan" dxfId="121">
      <formula>1</formula>
    </cfRule>
  </conditionalFormatting>
  <conditionalFormatting sqref="AT489">
    <cfRule type="cellIs" priority="318" operator="greaterThan" dxfId="121">
      <formula>1</formula>
    </cfRule>
  </conditionalFormatting>
  <conditionalFormatting sqref="AT495">
    <cfRule type="cellIs" priority="316" operator="greaterThan" dxfId="121">
      <formula>1</formula>
    </cfRule>
  </conditionalFormatting>
  <conditionalFormatting sqref="AT501">
    <cfRule type="cellIs" priority="314" operator="greaterThan" dxfId="121">
      <formula>1</formula>
    </cfRule>
  </conditionalFormatting>
  <conditionalFormatting sqref="AT507">
    <cfRule type="cellIs" priority="312" operator="greaterThan" dxfId="121">
      <formula>1</formula>
    </cfRule>
  </conditionalFormatting>
  <conditionalFormatting sqref="AT513">
    <cfRule type="cellIs" priority="310" operator="greaterThan" dxfId="121">
      <formula>1</formula>
    </cfRule>
  </conditionalFormatting>
  <conditionalFormatting sqref="AT519">
    <cfRule type="cellIs" priority="308" operator="greaterThan" dxfId="121">
      <formula>1</formula>
    </cfRule>
  </conditionalFormatting>
  <conditionalFormatting sqref="AT525">
    <cfRule type="cellIs" priority="306" operator="greaterThan" dxfId="121">
      <formula>1</formula>
    </cfRule>
  </conditionalFormatting>
  <conditionalFormatting sqref="AT531">
    <cfRule type="cellIs" priority="304" operator="greaterThan" dxfId="121">
      <formula>1</formula>
    </cfRule>
  </conditionalFormatting>
  <conditionalFormatting sqref="AT537">
    <cfRule type="cellIs" priority="302" operator="greaterThan" dxfId="121">
      <formula>1</formula>
    </cfRule>
  </conditionalFormatting>
  <conditionalFormatting sqref="AT543">
    <cfRule type="cellIs" priority="300" operator="greaterThan" dxfId="121">
      <formula>1</formula>
    </cfRule>
  </conditionalFormatting>
  <conditionalFormatting sqref="AT549">
    <cfRule type="cellIs" priority="298" operator="greaterThan" dxfId="121">
      <formula>1</formula>
    </cfRule>
  </conditionalFormatting>
  <conditionalFormatting sqref="AT555">
    <cfRule type="cellIs" priority="296" operator="greaterThan" dxfId="121">
      <formula>1</formula>
    </cfRule>
  </conditionalFormatting>
  <conditionalFormatting sqref="AT561">
    <cfRule type="cellIs" priority="294" operator="greaterThan" dxfId="121">
      <formula>1</formula>
    </cfRule>
  </conditionalFormatting>
  <conditionalFormatting sqref="AT567">
    <cfRule type="cellIs" priority="292" operator="greaterThan" dxfId="121">
      <formula>1</formula>
    </cfRule>
  </conditionalFormatting>
  <conditionalFormatting sqref="AT573">
    <cfRule type="cellIs" priority="291" operator="greaterThan" dxfId="121">
      <formula>1</formula>
    </cfRule>
  </conditionalFormatting>
  <conditionalFormatting sqref="AT579">
    <cfRule type="cellIs" priority="289" operator="greaterThan" dxfId="121">
      <formula>1</formula>
    </cfRule>
  </conditionalFormatting>
  <conditionalFormatting sqref="AT585">
    <cfRule type="cellIs" priority="286" operator="greaterThan" dxfId="121">
      <formula>1</formula>
    </cfRule>
  </conditionalFormatting>
  <conditionalFormatting sqref="AT591">
    <cfRule type="cellIs" priority="284" operator="greaterThan" dxfId="121">
      <formula>1</formula>
    </cfRule>
  </conditionalFormatting>
  <conditionalFormatting sqref="AT597 AT603">
    <cfRule type="cellIs" priority="282" operator="greaterThan" dxfId="121">
      <formula>1</formula>
    </cfRule>
  </conditionalFormatting>
  <conditionalFormatting sqref="AT609 AT615 AT621 AT627">
    <cfRule type="cellIs" priority="280" operator="greaterThan" dxfId="121">
      <formula>1</formula>
    </cfRule>
  </conditionalFormatting>
  <conditionalFormatting sqref="AT780:AT787">
    <cfRule type="cellIs" priority="373" operator="greaterThan" dxfId="121">
      <formula>1</formula>
    </cfRule>
  </conditionalFormatting>
  <conditionalFormatting sqref="AT821:AT856">
    <cfRule type="cellIs" priority="262" operator="greaterThan" dxfId="121">
      <formula>1</formula>
    </cfRule>
  </conditionalFormatting>
  <conditionalFormatting sqref="K561:K565">
    <cfRule type="cellIs" priority="246" operator="lessThan" dxfId="0" stopIfTrue="1">
      <formula>0</formula>
    </cfRule>
  </conditionalFormatting>
  <conditionalFormatting sqref="K417:K421">
    <cfRule type="cellIs" priority="245" operator="lessThan" dxfId="0" stopIfTrue="1">
      <formula>0</formula>
    </cfRule>
  </conditionalFormatting>
  <conditionalFormatting sqref="K405:K408">
    <cfRule type="cellIs" priority="244" operator="lessThan" dxfId="0" stopIfTrue="1">
      <formula>0</formula>
    </cfRule>
  </conditionalFormatting>
  <conditionalFormatting sqref="K395:K398">
    <cfRule type="cellIs" priority="243" operator="lessThan" dxfId="0" stopIfTrue="1">
      <formula>0</formula>
    </cfRule>
  </conditionalFormatting>
  <conditionalFormatting sqref="K400:K403">
    <cfRule type="cellIs" priority="242" operator="lessThan" dxfId="0" stopIfTrue="1">
      <formula>0</formula>
    </cfRule>
  </conditionalFormatting>
  <conditionalFormatting sqref="K390:K393">
    <cfRule type="cellIs" priority="241" operator="lessThan" dxfId="0" stopIfTrue="1">
      <formula>0</formula>
    </cfRule>
  </conditionalFormatting>
  <conditionalFormatting sqref="P390:P393">
    <cfRule type="containsText" priority="237" operator="containsText" dxfId="131" text="VENCIDO">
      <formula>NOT(ISERROR(SEARCH("VENCIDO",P390)))</formula>
    </cfRule>
    <cfRule type="containsText" priority="238" operator="containsText" dxfId="130" text="VERDE">
      <formula>NOT(ISERROR(SEARCH("VERDE",P390)))</formula>
    </cfRule>
    <cfRule type="containsText" priority="239" operator="containsText" dxfId="129" stopIfTrue="1" text="AMARILLO">
      <formula>NOT(ISERROR(SEARCH("AMARILLO",P390)))</formula>
    </cfRule>
    <cfRule type="containsText" priority="240" operator="containsText" dxfId="128" text="ROJO">
      <formula>NOT(ISERROR(SEARCH("ROJO",P390)))</formula>
    </cfRule>
  </conditionalFormatting>
  <conditionalFormatting sqref="P395:P398">
    <cfRule type="containsText" priority="233" operator="containsText" dxfId="131" text="VENCIDO">
      <formula>NOT(ISERROR(SEARCH("VENCIDO",P395)))</formula>
    </cfRule>
    <cfRule type="containsText" priority="234" operator="containsText" dxfId="130" text="VERDE">
      <formula>NOT(ISERROR(SEARCH("VERDE",P395)))</formula>
    </cfRule>
    <cfRule type="containsText" priority="235" operator="containsText" dxfId="129" stopIfTrue="1" text="AMARILLO">
      <formula>NOT(ISERROR(SEARCH("AMARILLO",P395)))</formula>
    </cfRule>
    <cfRule type="containsText" priority="236" operator="containsText" dxfId="128" text="ROJO">
      <formula>NOT(ISERROR(SEARCH("ROJO",P395)))</formula>
    </cfRule>
  </conditionalFormatting>
  <conditionalFormatting sqref="P400:P403">
    <cfRule type="containsText" priority="229" operator="containsText" dxfId="131" text="VENCIDO">
      <formula>NOT(ISERROR(SEARCH("VENCIDO",P400)))</formula>
    </cfRule>
    <cfRule type="containsText" priority="230" operator="containsText" dxfId="130" text="VERDE">
      <formula>NOT(ISERROR(SEARCH("VERDE",P400)))</formula>
    </cfRule>
    <cfRule type="containsText" priority="231" operator="containsText" dxfId="129" stopIfTrue="1" text="AMARILLO">
      <formula>NOT(ISERROR(SEARCH("AMARILLO",P400)))</formula>
    </cfRule>
    <cfRule type="containsText" priority="232" operator="containsText" dxfId="128" text="ROJO">
      <formula>NOT(ISERROR(SEARCH("ROJO",P400)))</formula>
    </cfRule>
  </conditionalFormatting>
  <conditionalFormatting sqref="P405:P408">
    <cfRule type="containsText" priority="225" operator="containsText" dxfId="131" text="VENCIDO">
      <formula>NOT(ISERROR(SEARCH("VENCIDO",P405)))</formula>
    </cfRule>
    <cfRule type="containsText" priority="226" operator="containsText" dxfId="130" text="VERDE">
      <formula>NOT(ISERROR(SEARCH("VERDE",P405)))</formula>
    </cfRule>
    <cfRule type="containsText" priority="227" operator="containsText" dxfId="129" stopIfTrue="1" text="AMARILLO">
      <formula>NOT(ISERROR(SEARCH("AMARILLO",P405)))</formula>
    </cfRule>
    <cfRule type="containsText" priority="228" operator="containsText" dxfId="128" text="ROJO">
      <formula>NOT(ISERROR(SEARCH("ROJO",P405)))</formula>
    </cfRule>
  </conditionalFormatting>
  <conditionalFormatting sqref="K640:K644 K646:K650 K652:K656 K658:K662 K664:K668 K670:K674 K676:K680 K682:K686 K688:K692 K694:K698 K700:K704">
    <cfRule type="cellIs" priority="181"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24"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20" operator="containsText" dxfId="131" text="VENCIDO">
      <formula>NOT(ISERROR(SEARCH("VENCIDO",P19)))</formula>
    </cfRule>
    <cfRule type="containsText" priority="221" operator="containsText" dxfId="130" text="VERDE">
      <formula>NOT(ISERROR(SEARCH("VERDE",P19)))</formula>
    </cfRule>
    <cfRule type="containsText" priority="222" operator="containsText" dxfId="129" stopIfTrue="1" text="AMARILLO">
      <formula>NOT(ISERROR(SEARCH("AMARILLO",P19)))</formula>
    </cfRule>
    <cfRule type="containsText" priority="223" operator="containsText" dxfId="128" text="ROJO">
      <formula>NOT(ISERROR(SEARCH("ROJO",P19)))</formula>
    </cfRule>
  </conditionalFormatting>
  <conditionalFormatting sqref="K230:K234 K236:K240 K242:K246 K248:K252 K254:K258 K260:K264 K266:K270 K272:K276 K278:K282 K284:K288 K290:K294 K296:K300">
    <cfRule type="cellIs" priority="219" operator="lessThan" dxfId="0" stopIfTrue="1">
      <formula>0</formula>
    </cfRule>
  </conditionalFormatting>
  <conditionalFormatting sqref="P230:P234 P236:P240 P242:P246 P248:P252 P254:P258 P260:P264 P266:P270 P272:P276 P278:P282 P284:P288 P290:P294 P296:P300">
    <cfRule type="containsText" priority="215" operator="containsText" dxfId="131" text="VENCIDO">
      <formula>NOT(ISERROR(SEARCH("VENCIDO",P230)))</formula>
    </cfRule>
    <cfRule type="containsText" priority="216" operator="containsText" dxfId="130" text="VERDE">
      <formula>NOT(ISERROR(SEARCH("VERDE",P230)))</formula>
    </cfRule>
    <cfRule type="containsText" priority="217" operator="containsText" dxfId="129" stopIfTrue="1" text="AMARILLO">
      <formula>NOT(ISERROR(SEARCH("AMARILLO",P230)))</formula>
    </cfRule>
    <cfRule type="containsText" priority="218" operator="containsText" dxfId="128" text="ROJO">
      <formula>NOT(ISERROR(SEARCH("ROJO",P230)))</formula>
    </cfRule>
  </conditionalFormatting>
  <conditionalFormatting sqref="K316 K323 K330 K337 K344 K351 K358 K365 K372">
    <cfRule type="containsText" priority="214" operator="containsText" dxfId="8" text="Falso">
      <formula>NOT(ISERROR(SEARCH("Falso",K316)))</formula>
    </cfRule>
  </conditionalFormatting>
  <conditionalFormatting sqref="P310:P315 P317:P322 P324:P329 P331:P336 P338:P343 P345:P350 P352:P357 P359:P364 P366:P371">
    <cfRule type="containsText" priority="210" operator="containsText" dxfId="131" text="VENCIDO">
      <formula>NOT(ISERROR(SEARCH("VENCIDO",P310)))</formula>
    </cfRule>
    <cfRule type="containsText" priority="211" operator="containsText" dxfId="130" text="VERDE">
      <formula>NOT(ISERROR(SEARCH("VERDE",P310)))</formula>
    </cfRule>
    <cfRule type="containsText" priority="212" operator="containsText" dxfId="129" stopIfTrue="1" text="AMARILLO">
      <formula>NOT(ISERROR(SEARCH("AMARILLO",P310)))</formula>
    </cfRule>
    <cfRule type="containsText" priority="213" operator="containsText" dxfId="128" text="ROJO">
      <formula>NOT(ISERROR(SEARCH("ROJO",P310)))</formula>
    </cfRule>
  </conditionalFormatting>
  <conditionalFormatting sqref="K310:K315">
    <cfRule type="cellIs" priority="209" operator="lessThan" dxfId="0" stopIfTrue="1">
      <formula>0</formula>
    </cfRule>
  </conditionalFormatting>
  <conditionalFormatting sqref="K317:K322">
    <cfRule type="cellIs" priority="208" operator="lessThan" dxfId="0" stopIfTrue="1">
      <formula>0</formula>
    </cfRule>
  </conditionalFormatting>
  <conditionalFormatting sqref="K324:K329">
    <cfRule type="cellIs" priority="207" operator="lessThan" dxfId="0" stopIfTrue="1">
      <formula>0</formula>
    </cfRule>
  </conditionalFormatting>
  <conditionalFormatting sqref="K331:K336">
    <cfRule type="cellIs" priority="206" operator="lessThan" dxfId="0" stopIfTrue="1">
      <formula>0</formula>
    </cfRule>
  </conditionalFormatting>
  <conditionalFormatting sqref="K338:K343">
    <cfRule type="cellIs" priority="205" operator="lessThan" dxfId="0" stopIfTrue="1">
      <formula>0</formula>
    </cfRule>
  </conditionalFormatting>
  <conditionalFormatting sqref="K345:K350">
    <cfRule type="cellIs" priority="204" operator="lessThan" dxfId="0" stopIfTrue="1">
      <formula>0</formula>
    </cfRule>
  </conditionalFormatting>
  <conditionalFormatting sqref="K352:K357">
    <cfRule type="cellIs" priority="203" operator="lessThan" dxfId="0" stopIfTrue="1">
      <formula>0</formula>
    </cfRule>
  </conditionalFormatting>
  <conditionalFormatting sqref="K359:K364">
    <cfRule type="cellIs" priority="202" operator="lessThan" dxfId="0" stopIfTrue="1">
      <formula>0</formula>
    </cfRule>
  </conditionalFormatting>
  <conditionalFormatting sqref="K366:K371">
    <cfRule type="cellIs" priority="201"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197" operator="containsText" dxfId="131" text="VENCIDO">
      <formula>NOT(ISERROR(SEARCH("VENCIDO",P423)))</formula>
    </cfRule>
    <cfRule type="containsText" priority="198" operator="containsText" dxfId="130" text="VERDE">
      <formula>NOT(ISERROR(SEARCH("VERDE",P423)))</formula>
    </cfRule>
    <cfRule type="containsText" priority="199" operator="containsText" dxfId="129" stopIfTrue="1" text="AMARILLO">
      <formula>NOT(ISERROR(SEARCH("AMARILLO",P423)))</formula>
    </cfRule>
    <cfRule type="containsText" priority="200"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196" operator="lessThan" dxfId="0" stopIfTrue="1">
      <formula>0</formula>
    </cfRule>
  </conditionalFormatting>
  <conditionalFormatting sqref="P567:P571">
    <cfRule type="containsText" priority="192" operator="containsText" dxfId="131" text="VENCIDO">
      <formula>NOT(ISERROR(SEARCH("VENCIDO",P567)))</formula>
    </cfRule>
    <cfRule type="containsText" priority="193" operator="containsText" dxfId="130" text="VERDE">
      <formula>NOT(ISERROR(SEARCH("VERDE",P567)))</formula>
    </cfRule>
    <cfRule type="containsText" priority="194" operator="containsText" dxfId="129" stopIfTrue="1" text="AMARILLO">
      <formula>NOT(ISERROR(SEARCH("AMARILLO",P567)))</formula>
    </cfRule>
    <cfRule type="containsText" priority="195" operator="containsText" dxfId="128" text="ROJO">
      <formula>NOT(ISERROR(SEARCH("ROJO",P567)))</formula>
    </cfRule>
  </conditionalFormatting>
  <conditionalFormatting sqref="K567:K571">
    <cfRule type="cellIs" priority="191" operator="lessThan" dxfId="0" stopIfTrue="1">
      <formula>0</formula>
    </cfRule>
  </conditionalFormatting>
  <conditionalFormatting sqref="P573:P577 P579:P583 P585:P589 P591:P595 P597:P601 P603:P607 P609:P613 P615:P619 P621:P625 P627:P631">
    <cfRule type="containsText" priority="187" operator="containsText" dxfId="131" text="VENCIDO">
      <formula>NOT(ISERROR(SEARCH("VENCIDO",P573)))</formula>
    </cfRule>
    <cfRule type="containsText" priority="188" operator="containsText" dxfId="130" text="VERDE">
      <formula>NOT(ISERROR(SEARCH("VERDE",P573)))</formula>
    </cfRule>
    <cfRule type="containsText" priority="189" operator="containsText" dxfId="129" stopIfTrue="1" text="AMARILLO">
      <formula>NOT(ISERROR(SEARCH("AMARILLO",P573)))</formula>
    </cfRule>
    <cfRule type="containsText" priority="190" operator="containsText" dxfId="128" text="ROJO">
      <formula>NOT(ISERROR(SEARCH("ROJO",P573)))</formula>
    </cfRule>
  </conditionalFormatting>
  <conditionalFormatting sqref="K573:K577 K579:K583 K585:K589 K591:K595 K597:K601 K603:K607 K609:K613 K615:K619 K621:K625 K627:K631">
    <cfRule type="cellIs" priority="186" operator="lessThan" dxfId="0" stopIfTrue="1">
      <formula>0</formula>
    </cfRule>
  </conditionalFormatting>
  <conditionalFormatting sqref="P634:P638">
    <cfRule type="containsText" priority="182" operator="containsText" dxfId="131" text="VENCIDO">
      <formula>NOT(ISERROR(SEARCH("VENCIDO",P634)))</formula>
    </cfRule>
    <cfRule type="containsText" priority="183" operator="containsText" dxfId="130" text="VERDE">
      <formula>NOT(ISERROR(SEARCH("VERDE",P634)))</formula>
    </cfRule>
    <cfRule type="containsText" priority="184" operator="containsText" dxfId="129" stopIfTrue="1" text="AMARILLO">
      <formula>NOT(ISERROR(SEARCH("AMARILLO",P634)))</formula>
    </cfRule>
    <cfRule type="containsText" priority="185" operator="containsText" dxfId="128" text="ROJO">
      <formula>NOT(ISERROR(SEARCH("ROJO",P634)))</formula>
    </cfRule>
  </conditionalFormatting>
  <conditionalFormatting sqref="P640:P644 P646:P650 P652:P656 P658:P662 P664:P668 P670:P674 P676:P680 P682:P686 P688:P692 P694:P698 P700:P704">
    <cfRule type="containsText" priority="177" operator="containsText" dxfId="131" text="VENCIDO">
      <formula>NOT(ISERROR(SEARCH("VENCIDO",P640)))</formula>
    </cfRule>
    <cfRule type="containsText" priority="178" operator="containsText" dxfId="130" text="VERDE">
      <formula>NOT(ISERROR(SEARCH("VERDE",P640)))</formula>
    </cfRule>
    <cfRule type="containsText" priority="179" operator="containsText" dxfId="129" stopIfTrue="1" text="AMARILLO">
      <formula>NOT(ISERROR(SEARCH("AMARILLO",P640)))</formula>
    </cfRule>
    <cfRule type="containsText" priority="180" operator="containsText" dxfId="128" text="ROJO">
      <formula>NOT(ISERROR(SEARCH("ROJO",P640)))</formula>
    </cfRule>
  </conditionalFormatting>
  <conditionalFormatting sqref="P714:P719">
    <cfRule type="containsText" priority="173" operator="containsText" dxfId="131" text="VENCIDO">
      <formula>NOT(ISERROR(SEARCH("VENCIDO",P714)))</formula>
    </cfRule>
    <cfRule type="containsText" priority="174" operator="containsText" dxfId="130" text="VERDE">
      <formula>NOT(ISERROR(SEARCH("VERDE",P714)))</formula>
    </cfRule>
    <cfRule type="containsText" priority="175" operator="containsText" dxfId="129" stopIfTrue="1" text="AMARILLO">
      <formula>NOT(ISERROR(SEARCH("AMARILLO",P714)))</formula>
    </cfRule>
    <cfRule type="containsText" priority="176" operator="containsText" dxfId="128" text="ROJO">
      <formula>NOT(ISERROR(SEARCH("ROJO",P714)))</formula>
    </cfRule>
  </conditionalFormatting>
  <conditionalFormatting sqref="P721:P726">
    <cfRule type="containsText" priority="169" operator="containsText" dxfId="131" text="VENCIDO">
      <formula>NOT(ISERROR(SEARCH("VENCIDO",P721)))</formula>
    </cfRule>
    <cfRule type="containsText" priority="170" operator="containsText" dxfId="130" text="VERDE">
      <formula>NOT(ISERROR(SEARCH("VERDE",P721)))</formula>
    </cfRule>
    <cfRule type="containsText" priority="171" operator="containsText" dxfId="129" stopIfTrue="1" text="AMARILLO">
      <formula>NOT(ISERROR(SEARCH("AMARILLO",P721)))</formula>
    </cfRule>
    <cfRule type="containsText" priority="172" operator="containsText" dxfId="128" text="ROJO">
      <formula>NOT(ISERROR(SEARCH("ROJO",P721)))</formula>
    </cfRule>
  </conditionalFormatting>
  <conditionalFormatting sqref="P728:P733">
    <cfRule type="containsText" priority="165" operator="containsText" dxfId="131" text="VENCIDO">
      <formula>NOT(ISERROR(SEARCH("VENCIDO",P728)))</formula>
    </cfRule>
    <cfRule type="containsText" priority="166" operator="containsText" dxfId="130" text="VERDE">
      <formula>NOT(ISERROR(SEARCH("VERDE",P728)))</formula>
    </cfRule>
    <cfRule type="containsText" priority="167" operator="containsText" dxfId="129" stopIfTrue="1" text="AMARILLO">
      <formula>NOT(ISERROR(SEARCH("AMARILLO",P728)))</formula>
    </cfRule>
    <cfRule type="containsText" priority="168" operator="containsText" dxfId="128" text="ROJO">
      <formula>NOT(ISERROR(SEARCH("ROJO",P728)))</formula>
    </cfRule>
  </conditionalFormatting>
  <conditionalFormatting sqref="P735:P740">
    <cfRule type="containsText" priority="161" operator="containsText" dxfId="131" text="VENCIDO">
      <formula>NOT(ISERROR(SEARCH("VENCIDO",P735)))</formula>
    </cfRule>
    <cfRule type="containsText" priority="162" operator="containsText" dxfId="130" text="VERDE">
      <formula>NOT(ISERROR(SEARCH("VERDE",P735)))</formula>
    </cfRule>
    <cfRule type="containsText" priority="163" operator="containsText" dxfId="129" stopIfTrue="1" text="AMARILLO">
      <formula>NOT(ISERROR(SEARCH("AMARILLO",P735)))</formula>
    </cfRule>
    <cfRule type="containsText" priority="164" operator="containsText" dxfId="128" text="ROJO">
      <formula>NOT(ISERROR(SEARCH("ROJO",P735)))</formula>
    </cfRule>
  </conditionalFormatting>
  <conditionalFormatting sqref="P742:P747">
    <cfRule type="containsText" priority="157" operator="containsText" dxfId="131" text="VENCIDO">
      <formula>NOT(ISERROR(SEARCH("VENCIDO",P742)))</formula>
    </cfRule>
    <cfRule type="containsText" priority="158" operator="containsText" dxfId="130" text="VERDE">
      <formula>NOT(ISERROR(SEARCH("VERDE",P742)))</formula>
    </cfRule>
    <cfRule type="containsText" priority="159" operator="containsText" dxfId="129" stopIfTrue="1" text="AMARILLO">
      <formula>NOT(ISERROR(SEARCH("AMARILLO",P742)))</formula>
    </cfRule>
    <cfRule type="containsText" priority="160" operator="containsText" dxfId="128" text="ROJO">
      <formula>NOT(ISERROR(SEARCH("ROJO",P742)))</formula>
    </cfRule>
  </conditionalFormatting>
  <conditionalFormatting sqref="P749:P754">
    <cfRule type="containsText" priority="153" operator="containsText" dxfId="131" text="VENCIDO">
      <formula>NOT(ISERROR(SEARCH("VENCIDO",P749)))</formula>
    </cfRule>
    <cfRule type="containsText" priority="154" operator="containsText" dxfId="130" text="VERDE">
      <formula>NOT(ISERROR(SEARCH("VERDE",P749)))</formula>
    </cfRule>
    <cfRule type="containsText" priority="155" operator="containsText" dxfId="129" stopIfTrue="1" text="AMARILLO">
      <formula>NOT(ISERROR(SEARCH("AMARILLO",P749)))</formula>
    </cfRule>
    <cfRule type="containsText" priority="156" operator="containsText" dxfId="128" text="ROJO">
      <formula>NOT(ISERROR(SEARCH("ROJO",P749)))</formula>
    </cfRule>
  </conditionalFormatting>
  <conditionalFormatting sqref="P756:P761">
    <cfRule type="containsText" priority="149" operator="containsText" dxfId="131" text="VENCIDO">
      <formula>NOT(ISERROR(SEARCH("VENCIDO",P756)))</formula>
    </cfRule>
    <cfRule type="containsText" priority="150" operator="containsText" dxfId="130" text="VERDE">
      <formula>NOT(ISERROR(SEARCH("VERDE",P756)))</formula>
    </cfRule>
    <cfRule type="containsText" priority="151" operator="containsText" dxfId="129" stopIfTrue="1" text="AMARILLO">
      <formula>NOT(ISERROR(SEARCH("AMARILLO",P756)))</formula>
    </cfRule>
    <cfRule type="containsText" priority="152" operator="containsText" dxfId="128" text="ROJO">
      <formula>NOT(ISERROR(SEARCH("ROJO",P756)))</formula>
    </cfRule>
  </conditionalFormatting>
  <conditionalFormatting sqref="P763:P768">
    <cfRule type="containsText" priority="145" operator="containsText" dxfId="131" text="VENCIDO">
      <formula>NOT(ISERROR(SEARCH("VENCIDO",P763)))</formula>
    </cfRule>
    <cfRule type="containsText" priority="146" operator="containsText" dxfId="130" text="VERDE">
      <formula>NOT(ISERROR(SEARCH("VERDE",P763)))</formula>
    </cfRule>
    <cfRule type="containsText" priority="147" operator="containsText" dxfId="129" stopIfTrue="1" text="AMARILLO">
      <formula>NOT(ISERROR(SEARCH("AMARILLO",P763)))</formula>
    </cfRule>
    <cfRule type="containsText" priority="148" operator="containsText" dxfId="128" text="ROJO">
      <formula>NOT(ISERROR(SEARCH("ROJO",P763)))</formula>
    </cfRule>
  </conditionalFormatting>
  <conditionalFormatting sqref="P770:P775">
    <cfRule type="containsText" priority="141" operator="containsText" dxfId="131" text="VENCIDO">
      <formula>NOT(ISERROR(SEARCH("VENCIDO",P770)))</formula>
    </cfRule>
    <cfRule type="containsText" priority="142" operator="containsText" dxfId="130" text="VERDE">
      <formula>NOT(ISERROR(SEARCH("VERDE",P770)))</formula>
    </cfRule>
    <cfRule type="containsText" priority="143" operator="containsText" dxfId="129" stopIfTrue="1" text="AMARILLO">
      <formula>NOT(ISERROR(SEARCH("AMARILLO",P770)))</formula>
    </cfRule>
    <cfRule type="containsText" priority="144" operator="containsText" dxfId="128" text="ROJO">
      <formula>NOT(ISERROR(SEARCH("ROJO",P770)))</formula>
    </cfRule>
  </conditionalFormatting>
  <conditionalFormatting sqref="P789:P792">
    <cfRule type="containsText" priority="137" operator="containsText" dxfId="131" text="VENCIDO">
      <formula>NOT(ISERROR(SEARCH("VENCIDO",P789)))</formula>
    </cfRule>
    <cfRule type="containsText" priority="138" operator="containsText" dxfId="130" text="VERDE">
      <formula>NOT(ISERROR(SEARCH("VERDE",P789)))</formula>
    </cfRule>
    <cfRule type="containsText" priority="139" operator="containsText" dxfId="129" stopIfTrue="1" text="AMARILLO">
      <formula>NOT(ISERROR(SEARCH("AMARILLO",P789)))</formula>
    </cfRule>
    <cfRule type="containsText" priority="140" operator="containsText" dxfId="128" text="ROJO">
      <formula>NOT(ISERROR(SEARCH("ROJO",P789)))</formula>
    </cfRule>
  </conditionalFormatting>
  <conditionalFormatting sqref="P794:P797">
    <cfRule type="containsText" priority="133" operator="containsText" dxfId="131" text="VENCIDO">
      <formula>NOT(ISERROR(SEARCH("VENCIDO",P794)))</formula>
    </cfRule>
    <cfRule type="containsText" priority="134" operator="containsText" dxfId="130" text="VERDE">
      <formula>NOT(ISERROR(SEARCH("VERDE",P794)))</formula>
    </cfRule>
    <cfRule type="containsText" priority="135" operator="containsText" dxfId="129" stopIfTrue="1" text="AMARILLO">
      <formula>NOT(ISERROR(SEARCH("AMARILLO",P794)))</formula>
    </cfRule>
    <cfRule type="containsText" priority="136" operator="containsText" dxfId="128" text="ROJO">
      <formula>NOT(ISERROR(SEARCH("ROJO",P794)))</formula>
    </cfRule>
  </conditionalFormatting>
  <conditionalFormatting sqref="P799:P802 P804:P807 P809:P812">
    <cfRule type="containsText" priority="129" operator="containsText" dxfId="131" text="VENCIDO">
      <formula>NOT(ISERROR(SEARCH("VENCIDO",P799)))</formula>
    </cfRule>
    <cfRule type="containsText" priority="130" operator="containsText" dxfId="130" text="VERDE">
      <formula>NOT(ISERROR(SEARCH("VERDE",P799)))</formula>
    </cfRule>
    <cfRule type="containsText" priority="131" operator="containsText" dxfId="129" stopIfTrue="1" text="AMARILLO">
      <formula>NOT(ISERROR(SEARCH("AMARILLO",P799)))</formula>
    </cfRule>
    <cfRule type="containsText" priority="132" operator="containsText" dxfId="128" text="ROJO">
      <formula>NOT(ISERROR(SEARCH("ROJO",P799)))</formula>
    </cfRule>
  </conditionalFormatting>
  <conditionalFormatting sqref="K789:K792">
    <cfRule type="cellIs" priority="128" operator="lessThan" dxfId="0" stopIfTrue="1">
      <formula>0</formula>
    </cfRule>
  </conditionalFormatting>
  <conditionalFormatting sqref="K794:K797">
    <cfRule type="cellIs" priority="127" operator="lessThan" dxfId="0" stopIfTrue="1">
      <formula>0</formula>
    </cfRule>
  </conditionalFormatting>
  <conditionalFormatting sqref="K799:K802">
    <cfRule type="cellIs" priority="126" operator="lessThan" dxfId="0" stopIfTrue="1">
      <formula>0</formula>
    </cfRule>
  </conditionalFormatting>
  <conditionalFormatting sqref="K804:K807">
    <cfRule type="cellIs" priority="125" operator="lessThan" dxfId="0" stopIfTrue="1">
      <formula>0</formula>
    </cfRule>
  </conditionalFormatting>
  <conditionalFormatting sqref="K809:K812">
    <cfRule type="cellIs" priority="124" operator="lessThan" dxfId="0" stopIfTrue="1">
      <formula>0</formula>
    </cfRule>
  </conditionalFormatting>
  <conditionalFormatting sqref="AT789">
    <cfRule type="cellIs" priority="123" operator="greaterThan" dxfId="121">
      <formula>1</formula>
    </cfRule>
  </conditionalFormatting>
  <conditionalFormatting sqref="AT794 AT799 AT804 AT809">
    <cfRule type="cellIs" priority="122" operator="greaterThan" dxfId="121">
      <formula>1</formula>
    </cfRule>
  </conditionalFormatting>
  <conditionalFormatting sqref="E895:G897">
    <cfRule type="cellIs" priority="121" operator="lessThan" dxfId="0" stopIfTrue="1">
      <formula>0</formula>
    </cfRule>
  </conditionalFormatting>
  <conditionalFormatting sqref="K895:K897 M895:N897">
    <cfRule type="cellIs" priority="120" operator="lessThan" dxfId="0" stopIfTrue="1">
      <formula>0</formula>
    </cfRule>
  </conditionalFormatting>
  <conditionalFormatting sqref="K301">
    <cfRule type="containsText" priority="119" operator="containsText" dxfId="8" text="Falso">
      <formula>NOT(ISERROR(SEARCH("Falso",K301)))</formula>
    </cfRule>
  </conditionalFormatting>
  <conditionalFormatting sqref="K295">
    <cfRule type="containsText" priority="118" operator="containsText" dxfId="8" text="Falso">
      <formula>NOT(ISERROR(SEARCH("Falso",K295)))</formula>
    </cfRule>
  </conditionalFormatting>
  <conditionalFormatting sqref="K289">
    <cfRule type="containsText" priority="117" operator="containsText" dxfId="8" text="Falso">
      <formula>NOT(ISERROR(SEARCH("Falso",K289)))</formula>
    </cfRule>
  </conditionalFormatting>
  <conditionalFormatting sqref="K283">
    <cfRule type="containsText" priority="116" operator="containsText" dxfId="8" text="Falso">
      <formula>NOT(ISERROR(SEARCH("Falso",K283)))</formula>
    </cfRule>
  </conditionalFormatting>
  <conditionalFormatting sqref="K277">
    <cfRule type="containsText" priority="115" operator="containsText" dxfId="8" text="Falso">
      <formula>NOT(ISERROR(SEARCH("Falso",K277)))</formula>
    </cfRule>
  </conditionalFormatting>
  <conditionalFormatting sqref="K271">
    <cfRule type="containsText" priority="114" operator="containsText" dxfId="8" text="Falso">
      <formula>NOT(ISERROR(SEARCH("Falso",K271)))</formula>
    </cfRule>
  </conditionalFormatting>
  <conditionalFormatting sqref="K265">
    <cfRule type="containsText" priority="113" operator="containsText" dxfId="8" text="Falso">
      <formula>NOT(ISERROR(SEARCH("Falso",K265)))</formula>
    </cfRule>
  </conditionalFormatting>
  <conditionalFormatting sqref="K259">
    <cfRule type="containsText" priority="112" operator="containsText" dxfId="8" text="Falso">
      <formula>NOT(ISERROR(SEARCH("Falso",K259)))</formula>
    </cfRule>
  </conditionalFormatting>
  <conditionalFormatting sqref="K253">
    <cfRule type="containsText" priority="111" operator="containsText" dxfId="8" text="Falso">
      <formula>NOT(ISERROR(SEARCH("Falso",K253)))</formula>
    </cfRule>
  </conditionalFormatting>
  <conditionalFormatting sqref="K247">
    <cfRule type="containsText" priority="110" operator="containsText" dxfId="8" text="Falso">
      <formula>NOT(ISERROR(SEARCH("Falso",K247)))</formula>
    </cfRule>
  </conditionalFormatting>
  <conditionalFormatting sqref="K235">
    <cfRule type="containsText" priority="109" operator="containsText" dxfId="8" text="Falso">
      <formula>NOT(ISERROR(SEARCH("Falso",K235)))</formula>
    </cfRule>
  </conditionalFormatting>
  <conditionalFormatting sqref="K241">
    <cfRule type="containsText" priority="108" operator="containsText" dxfId="8" text="Falso">
      <formula>NOT(ISERROR(SEARCH("Falso",K241)))</formula>
    </cfRule>
  </conditionalFormatting>
  <conditionalFormatting sqref="K228">
    <cfRule type="containsText" priority="107" operator="containsText" dxfId="8" text="Falso">
      <formula>NOT(ISERROR(SEARCH("Falso",K228)))</formula>
    </cfRule>
  </conditionalFormatting>
  <conditionalFormatting sqref="K222">
    <cfRule type="containsText" priority="106" operator="containsText" dxfId="8" text="Falso">
      <formula>NOT(ISERROR(SEARCH("Falso",K222)))</formula>
    </cfRule>
  </conditionalFormatting>
  <conditionalFormatting sqref="K216">
    <cfRule type="containsText" priority="105" operator="containsText" dxfId="8" text="Falso">
      <formula>NOT(ISERROR(SEARCH("Falso",K216)))</formula>
    </cfRule>
  </conditionalFormatting>
  <conditionalFormatting sqref="K210">
    <cfRule type="containsText" priority="104" operator="containsText" dxfId="8" text="Falso">
      <formula>NOT(ISERROR(SEARCH("Falso",K210)))</formula>
    </cfRule>
  </conditionalFormatting>
  <conditionalFormatting sqref="K204">
    <cfRule type="containsText" priority="103" operator="containsText" dxfId="8" text="Falso">
      <formula>NOT(ISERROR(SEARCH("Falso",K204)))</formula>
    </cfRule>
  </conditionalFormatting>
  <conditionalFormatting sqref="K198">
    <cfRule type="containsText" priority="102" operator="containsText" dxfId="8" text="Falso">
      <formula>NOT(ISERROR(SEARCH("Falso",K198)))</formula>
    </cfRule>
  </conditionalFormatting>
  <conditionalFormatting sqref="K192">
    <cfRule type="containsText" priority="101" operator="containsText" dxfId="8" text="Falso">
      <formula>NOT(ISERROR(SEARCH("Falso",K192)))</formula>
    </cfRule>
  </conditionalFormatting>
  <conditionalFormatting sqref="K186">
    <cfRule type="containsText" priority="100" operator="containsText" dxfId="8" text="Falso">
      <formula>NOT(ISERROR(SEARCH("Falso",K186)))</formula>
    </cfRule>
  </conditionalFormatting>
  <conditionalFormatting sqref="K180">
    <cfRule type="containsText" priority="99" operator="containsText" dxfId="8" text="Falso">
      <formula>NOT(ISERROR(SEARCH("Falso",K180)))</formula>
    </cfRule>
  </conditionalFormatting>
  <conditionalFormatting sqref="K174">
    <cfRule type="containsText" priority="98" operator="containsText" dxfId="8" text="Falso">
      <formula>NOT(ISERROR(SEARCH("Falso",K174)))</formula>
    </cfRule>
  </conditionalFormatting>
  <conditionalFormatting sqref="K168">
    <cfRule type="containsText" priority="97" operator="containsText" dxfId="8" text="Falso">
      <formula>NOT(ISERROR(SEARCH("Falso",K168)))</formula>
    </cfRule>
  </conditionalFormatting>
  <conditionalFormatting sqref="K162">
    <cfRule type="containsText" priority="96" operator="containsText" dxfId="8" text="Falso">
      <formula>NOT(ISERROR(SEARCH("Falso",K162)))</formula>
    </cfRule>
  </conditionalFormatting>
  <conditionalFormatting sqref="K156">
    <cfRule type="containsText" priority="95" operator="containsText" dxfId="8" text="Falso">
      <formula>NOT(ISERROR(SEARCH("Falso",K156)))</formula>
    </cfRule>
  </conditionalFormatting>
  <conditionalFormatting sqref="K150">
    <cfRule type="containsText" priority="94" operator="containsText" dxfId="8" text="Falso">
      <formula>NOT(ISERROR(SEARCH("Falso",K150)))</formula>
    </cfRule>
  </conditionalFormatting>
  <conditionalFormatting sqref="K144">
    <cfRule type="containsText" priority="93" operator="containsText" dxfId="8" text="Falso">
      <formula>NOT(ISERROR(SEARCH("Falso",K144)))</formula>
    </cfRule>
  </conditionalFormatting>
  <conditionalFormatting sqref="K138">
    <cfRule type="containsText" priority="92" operator="containsText" dxfId="8" text="Falso">
      <formula>NOT(ISERROR(SEARCH("Falso",K138)))</formula>
    </cfRule>
  </conditionalFormatting>
  <conditionalFormatting sqref="K132">
    <cfRule type="containsText" priority="91" operator="containsText" dxfId="8" text="Falso">
      <formula>NOT(ISERROR(SEARCH("Falso",K132)))</formula>
    </cfRule>
  </conditionalFormatting>
  <conditionalFormatting sqref="K126">
    <cfRule type="containsText" priority="90" operator="containsText" dxfId="8" text="Falso">
      <formula>NOT(ISERROR(SEARCH("Falso",K126)))</formula>
    </cfRule>
  </conditionalFormatting>
  <conditionalFormatting sqref="K120">
    <cfRule type="containsText" priority="89" operator="containsText" dxfId="8" text="Falso">
      <formula>NOT(ISERROR(SEARCH("Falso",K120)))</formula>
    </cfRule>
  </conditionalFormatting>
  <conditionalFormatting sqref="K114">
    <cfRule type="containsText" priority="88" operator="containsText" dxfId="8" text="Falso">
      <formula>NOT(ISERROR(SEARCH("Falso",K114)))</formula>
    </cfRule>
  </conditionalFormatting>
  <conditionalFormatting sqref="K108">
    <cfRule type="containsText" priority="87" operator="containsText" dxfId="8" text="Falso">
      <formula>NOT(ISERROR(SEARCH("Falso",K108)))</formula>
    </cfRule>
  </conditionalFormatting>
  <conditionalFormatting sqref="K102">
    <cfRule type="containsText" priority="86" operator="containsText" dxfId="8" text="Falso">
      <formula>NOT(ISERROR(SEARCH("Falso",K102)))</formula>
    </cfRule>
  </conditionalFormatting>
  <conditionalFormatting sqref="K96">
    <cfRule type="containsText" priority="85" operator="containsText" dxfId="8" text="Falso">
      <formula>NOT(ISERROR(SEARCH("Falso",K96)))</formula>
    </cfRule>
  </conditionalFormatting>
  <conditionalFormatting sqref="K90">
    <cfRule type="containsText" priority="84" operator="containsText" dxfId="8" text="Falso">
      <formula>NOT(ISERROR(SEARCH("Falso",K90)))</formula>
    </cfRule>
  </conditionalFormatting>
  <conditionalFormatting sqref="K84">
    <cfRule type="containsText" priority="83" operator="containsText" dxfId="8" text="Falso">
      <formula>NOT(ISERROR(SEARCH("Falso",K84)))</formula>
    </cfRule>
  </conditionalFormatting>
  <conditionalFormatting sqref="K78">
    <cfRule type="containsText" priority="82" operator="containsText" dxfId="8" text="Falso">
      <formula>NOT(ISERROR(SEARCH("Falso",K78)))</formula>
    </cfRule>
  </conditionalFormatting>
  <conditionalFormatting sqref="K72">
    <cfRule type="containsText" priority="81" operator="containsText" dxfId="8" text="Falso">
      <formula>NOT(ISERROR(SEARCH("Falso",K72)))</formula>
    </cfRule>
  </conditionalFormatting>
  <conditionalFormatting sqref="K66">
    <cfRule type="containsText" priority="80" operator="containsText" dxfId="8" text="Falso">
      <formula>NOT(ISERROR(SEARCH("Falso",K66)))</formula>
    </cfRule>
  </conditionalFormatting>
  <conditionalFormatting sqref="K60">
    <cfRule type="containsText" priority="79" operator="containsText" dxfId="8" text="Falso">
      <formula>NOT(ISERROR(SEARCH("Falso",K60)))</formula>
    </cfRule>
  </conditionalFormatting>
  <conditionalFormatting sqref="K54">
    <cfRule type="containsText" priority="78" operator="containsText" dxfId="8" text="Falso">
      <formula>NOT(ISERROR(SEARCH("Falso",K54)))</formula>
    </cfRule>
  </conditionalFormatting>
  <conditionalFormatting sqref="K48">
    <cfRule type="containsText" priority="77" operator="containsText" dxfId="8" text="Falso">
      <formula>NOT(ISERROR(SEARCH("Falso",K48)))</formula>
    </cfRule>
  </conditionalFormatting>
  <conditionalFormatting sqref="K42">
    <cfRule type="containsText" priority="76" operator="containsText" dxfId="8" text="Falso">
      <formula>NOT(ISERROR(SEARCH("Falso",K42)))</formula>
    </cfRule>
  </conditionalFormatting>
  <conditionalFormatting sqref="K36">
    <cfRule type="containsText" priority="75" operator="containsText" dxfId="8" text="Falso">
      <formula>NOT(ISERROR(SEARCH("Falso",K36)))</formula>
    </cfRule>
  </conditionalFormatting>
  <conditionalFormatting sqref="K30">
    <cfRule type="containsText" priority="74" operator="containsText" dxfId="8" text="Falso">
      <formula>NOT(ISERROR(SEARCH("Falso",K30)))</formula>
    </cfRule>
  </conditionalFormatting>
  <conditionalFormatting sqref="K24">
    <cfRule type="containsText" priority="73" operator="containsText" dxfId="8" text="Falso">
      <formula>NOT(ISERROR(SEARCH("Falso",K24)))</formula>
    </cfRule>
  </conditionalFormatting>
  <conditionalFormatting sqref="K18">
    <cfRule type="containsText" priority="72" operator="containsText" dxfId="8" text="Falso">
      <formula>NOT(ISERROR(SEARCH("Falso",K18)))</formula>
    </cfRule>
  </conditionalFormatting>
  <conditionalFormatting sqref="K422">
    <cfRule type="containsText" priority="71" operator="containsText" dxfId="8" text="Falso">
      <formula>NOT(ISERROR(SEARCH("Falso",K422)))</formula>
    </cfRule>
  </conditionalFormatting>
  <conditionalFormatting sqref="K428">
    <cfRule type="containsText" priority="70" operator="containsText" dxfId="8" text="Falso">
      <formula>NOT(ISERROR(SEARCH("Falso",K428)))</formula>
    </cfRule>
  </conditionalFormatting>
  <conditionalFormatting sqref="K434">
    <cfRule type="containsText" priority="69" operator="containsText" dxfId="8" text="Falso">
      <formula>NOT(ISERROR(SEARCH("Falso",K434)))</formula>
    </cfRule>
  </conditionalFormatting>
  <conditionalFormatting sqref="K440">
    <cfRule type="containsText" priority="68" operator="containsText" dxfId="8" text="Falso">
      <formula>NOT(ISERROR(SEARCH("Falso",K440)))</formula>
    </cfRule>
  </conditionalFormatting>
  <conditionalFormatting sqref="K446">
    <cfRule type="containsText" priority="67" operator="containsText" dxfId="8" text="Falso">
      <formula>NOT(ISERROR(SEARCH("Falso",K446)))</formula>
    </cfRule>
  </conditionalFormatting>
  <conditionalFormatting sqref="K452">
    <cfRule type="containsText" priority="66" operator="containsText" dxfId="8" text="Falso">
      <formula>NOT(ISERROR(SEARCH("Falso",K452)))</formula>
    </cfRule>
  </conditionalFormatting>
  <conditionalFormatting sqref="K458">
    <cfRule type="containsText" priority="65" operator="containsText" dxfId="8" text="Falso">
      <formula>NOT(ISERROR(SEARCH("Falso",K458)))</formula>
    </cfRule>
  </conditionalFormatting>
  <conditionalFormatting sqref="K464">
    <cfRule type="containsText" priority="64" operator="containsText" dxfId="8" text="Falso">
      <formula>NOT(ISERROR(SEARCH("Falso",K464)))</formula>
    </cfRule>
  </conditionalFormatting>
  <conditionalFormatting sqref="K470">
    <cfRule type="containsText" priority="63" operator="containsText" dxfId="8" text="Falso">
      <formula>NOT(ISERROR(SEARCH("Falso",K470)))</formula>
    </cfRule>
  </conditionalFormatting>
  <conditionalFormatting sqref="K476">
    <cfRule type="containsText" priority="62" operator="containsText" dxfId="8" text="Falso">
      <formula>NOT(ISERROR(SEARCH("Falso",K476)))</formula>
    </cfRule>
  </conditionalFormatting>
  <conditionalFormatting sqref="K482">
    <cfRule type="containsText" priority="61" operator="containsText" dxfId="8" text="Falso">
      <formula>NOT(ISERROR(SEARCH("Falso",K482)))</formula>
    </cfRule>
  </conditionalFormatting>
  <conditionalFormatting sqref="K488">
    <cfRule type="containsText" priority="60" operator="containsText" dxfId="8" text="Falso">
      <formula>NOT(ISERROR(SEARCH("Falso",K488)))</formula>
    </cfRule>
  </conditionalFormatting>
  <conditionalFormatting sqref="K494">
    <cfRule type="containsText" priority="59" operator="containsText" dxfId="8" text="Falso">
      <formula>NOT(ISERROR(SEARCH("Falso",K494)))</formula>
    </cfRule>
  </conditionalFormatting>
  <conditionalFormatting sqref="K500">
    <cfRule type="containsText" priority="58" operator="containsText" dxfId="8" text="Falso">
      <formula>NOT(ISERROR(SEARCH("Falso",K500)))</formula>
    </cfRule>
  </conditionalFormatting>
  <conditionalFormatting sqref="K506">
    <cfRule type="containsText" priority="57" operator="containsText" dxfId="8" text="Falso">
      <formula>NOT(ISERROR(SEARCH("Falso",K506)))</formula>
    </cfRule>
  </conditionalFormatting>
  <conditionalFormatting sqref="K512">
    <cfRule type="containsText" priority="56" operator="containsText" dxfId="8" text="Falso">
      <formula>NOT(ISERROR(SEARCH("Falso",K512)))</formula>
    </cfRule>
  </conditionalFormatting>
  <conditionalFormatting sqref="K518">
    <cfRule type="containsText" priority="55" operator="containsText" dxfId="8" text="Falso">
      <formula>NOT(ISERROR(SEARCH("Falso",K518)))</formula>
    </cfRule>
  </conditionalFormatting>
  <conditionalFormatting sqref="K524">
    <cfRule type="containsText" priority="54" operator="containsText" dxfId="8" text="Falso">
      <formula>NOT(ISERROR(SEARCH("Falso",K524)))</formula>
    </cfRule>
  </conditionalFormatting>
  <conditionalFormatting sqref="K530">
    <cfRule type="containsText" priority="53" operator="containsText" dxfId="8" text="Falso">
      <formula>NOT(ISERROR(SEARCH("Falso",K530)))</formula>
    </cfRule>
  </conditionalFormatting>
  <conditionalFormatting sqref="K536">
    <cfRule type="containsText" priority="52" operator="containsText" dxfId="8" text="Falso">
      <formula>NOT(ISERROR(SEARCH("Falso",K536)))</formula>
    </cfRule>
  </conditionalFormatting>
  <conditionalFormatting sqref="K542">
    <cfRule type="containsText" priority="51" operator="containsText" dxfId="8" text="Falso">
      <formula>NOT(ISERROR(SEARCH("Falso",K542)))</formula>
    </cfRule>
  </conditionalFormatting>
  <conditionalFormatting sqref="K548">
    <cfRule type="containsText" priority="50" operator="containsText" dxfId="8" text="Falso">
      <formula>NOT(ISERROR(SEARCH("Falso",K548)))</formula>
    </cfRule>
  </conditionalFormatting>
  <conditionalFormatting sqref="K554">
    <cfRule type="containsText" priority="49" operator="containsText" dxfId="8" text="Falso">
      <formula>NOT(ISERROR(SEARCH("Falso",K554)))</formula>
    </cfRule>
  </conditionalFormatting>
  <conditionalFormatting sqref="K560">
    <cfRule type="containsText" priority="48" operator="containsText" dxfId="8" text="Falso">
      <formula>NOT(ISERROR(SEARCH("Falso",K560)))</formula>
    </cfRule>
  </conditionalFormatting>
  <conditionalFormatting sqref="K566">
    <cfRule type="containsText" priority="47" operator="containsText" dxfId="8" text="Falso">
      <formula>NOT(ISERROR(SEARCH("Falso",K566)))</formula>
    </cfRule>
  </conditionalFormatting>
  <conditionalFormatting sqref="K572">
    <cfRule type="containsText" priority="46" operator="containsText" dxfId="8" text="Falso">
      <formula>NOT(ISERROR(SEARCH("Falso",K572)))</formula>
    </cfRule>
  </conditionalFormatting>
  <conditionalFormatting sqref="K578">
    <cfRule type="containsText" priority="45" operator="containsText" dxfId="8" text="Falso">
      <formula>NOT(ISERROR(SEARCH("Falso",K578)))</formula>
    </cfRule>
  </conditionalFormatting>
  <conditionalFormatting sqref="K584">
    <cfRule type="containsText" priority="44" operator="containsText" dxfId="8" text="Falso">
      <formula>NOT(ISERROR(SEARCH("Falso",K584)))</formula>
    </cfRule>
  </conditionalFormatting>
  <conditionalFormatting sqref="K590">
    <cfRule type="containsText" priority="43" operator="containsText" dxfId="8" text="Falso">
      <formula>NOT(ISERROR(SEARCH("Falso",K590)))</formula>
    </cfRule>
  </conditionalFormatting>
  <conditionalFormatting sqref="K596">
    <cfRule type="containsText" priority="42" operator="containsText" dxfId="8" text="Falso">
      <formula>NOT(ISERROR(SEARCH("Falso",K596)))</formula>
    </cfRule>
  </conditionalFormatting>
  <conditionalFormatting sqref="K602">
    <cfRule type="containsText" priority="41" operator="containsText" dxfId="8" text="Falso">
      <formula>NOT(ISERROR(SEARCH("Falso",K602)))</formula>
    </cfRule>
  </conditionalFormatting>
  <conditionalFormatting sqref="K608">
    <cfRule type="containsText" priority="40" operator="containsText" dxfId="8" text="Falso">
      <formula>NOT(ISERROR(SEARCH("Falso",K608)))</formula>
    </cfRule>
  </conditionalFormatting>
  <conditionalFormatting sqref="K614">
    <cfRule type="containsText" priority="39" operator="containsText" dxfId="8" text="Falso">
      <formula>NOT(ISERROR(SEARCH("Falso",K614)))</formula>
    </cfRule>
  </conditionalFormatting>
  <conditionalFormatting sqref="K620">
    <cfRule type="containsText" priority="38" operator="containsText" dxfId="8" text="Falso">
      <formula>NOT(ISERROR(SEARCH("Falso",K620)))</formula>
    </cfRule>
  </conditionalFormatting>
  <conditionalFormatting sqref="K626">
    <cfRule type="containsText" priority="37" operator="containsText" dxfId="8" text="Falso">
      <formula>NOT(ISERROR(SEARCH("Falso",K626)))</formula>
    </cfRule>
  </conditionalFormatting>
  <conditionalFormatting sqref="K632">
    <cfRule type="containsText" priority="36" operator="containsText" dxfId="8" text="Falso">
      <formula>NOT(ISERROR(SEARCH("Falso",K632)))</formula>
    </cfRule>
  </conditionalFormatting>
  <conditionalFormatting sqref="K639">
    <cfRule type="containsText" priority="35" operator="containsText" dxfId="8" text="Falso">
      <formula>NOT(ISERROR(SEARCH("Falso",K639)))</formula>
    </cfRule>
  </conditionalFormatting>
  <conditionalFormatting sqref="K645">
    <cfRule type="containsText" priority="34" operator="containsText" dxfId="8" text="Falso">
      <formula>NOT(ISERROR(SEARCH("Falso",K645)))</formula>
    </cfRule>
  </conditionalFormatting>
  <conditionalFormatting sqref="K651">
    <cfRule type="containsText" priority="33" operator="containsText" dxfId="8" text="Falso">
      <formula>NOT(ISERROR(SEARCH("Falso",K651)))</formula>
    </cfRule>
  </conditionalFormatting>
  <conditionalFormatting sqref="K657">
    <cfRule type="containsText" priority="32" operator="containsText" dxfId="8" text="Falso">
      <formula>NOT(ISERROR(SEARCH("Falso",K657)))</formula>
    </cfRule>
  </conditionalFormatting>
  <conditionalFormatting sqref="K663">
    <cfRule type="containsText" priority="31" operator="containsText" dxfId="8" text="Falso">
      <formula>NOT(ISERROR(SEARCH("Falso",K663)))</formula>
    </cfRule>
  </conditionalFormatting>
  <conditionalFormatting sqref="K669">
    <cfRule type="containsText" priority="30" operator="containsText" dxfId="8" text="Falso">
      <formula>NOT(ISERROR(SEARCH("Falso",K669)))</formula>
    </cfRule>
  </conditionalFormatting>
  <conditionalFormatting sqref="K675">
    <cfRule type="containsText" priority="29" operator="containsText" dxfId="8" text="Falso">
      <formula>NOT(ISERROR(SEARCH("Falso",K675)))</formula>
    </cfRule>
  </conditionalFormatting>
  <conditionalFormatting sqref="K681">
    <cfRule type="containsText" priority="28" operator="containsText" dxfId="8" text="Falso">
      <formula>NOT(ISERROR(SEARCH("Falso",K681)))</formula>
    </cfRule>
  </conditionalFormatting>
  <conditionalFormatting sqref="K687">
    <cfRule type="containsText" priority="27" operator="containsText" dxfId="8" text="Falso">
      <formula>NOT(ISERROR(SEARCH("Falso",K687)))</formula>
    </cfRule>
  </conditionalFormatting>
  <conditionalFormatting sqref="K693">
    <cfRule type="containsText" priority="26" operator="containsText" dxfId="8" text="Falso">
      <formula>NOT(ISERROR(SEARCH("Falso",K693)))</formula>
    </cfRule>
  </conditionalFormatting>
  <conditionalFormatting sqref="K699">
    <cfRule type="containsText" priority="25" operator="containsText" dxfId="8" text="Falso">
      <formula>NOT(ISERROR(SEARCH("Falso",K699)))</formula>
    </cfRule>
  </conditionalFormatting>
  <conditionalFormatting sqref="K705">
    <cfRule type="containsText" priority="24" operator="containsText" dxfId="8" text="Falso">
      <formula>NOT(ISERROR(SEARCH("Falso",K705)))</formula>
    </cfRule>
  </conditionalFormatting>
  <conditionalFormatting sqref="K713">
    <cfRule type="containsText" priority="23" operator="containsText" dxfId="8" text="Falso">
      <formula>NOT(ISERROR(SEARCH("Falso",K713)))</formula>
    </cfRule>
  </conditionalFormatting>
  <conditionalFormatting sqref="K720">
    <cfRule type="containsText" priority="22" operator="containsText" dxfId="8" text="Falso">
      <formula>NOT(ISERROR(SEARCH("Falso",K720)))</formula>
    </cfRule>
  </conditionalFormatting>
  <conditionalFormatting sqref="K727">
    <cfRule type="containsText" priority="21" operator="containsText" dxfId="8" text="Falso">
      <formula>NOT(ISERROR(SEARCH("Falso",K727)))</formula>
    </cfRule>
  </conditionalFormatting>
  <conditionalFormatting sqref="K734">
    <cfRule type="containsText" priority="20" operator="containsText" dxfId="8" text="Falso">
      <formula>NOT(ISERROR(SEARCH("Falso",K734)))</formula>
    </cfRule>
  </conditionalFormatting>
  <conditionalFormatting sqref="K741">
    <cfRule type="containsText" priority="19" operator="containsText" dxfId="8" text="Falso">
      <formula>NOT(ISERROR(SEARCH("Falso",K741)))</formula>
    </cfRule>
  </conditionalFormatting>
  <conditionalFormatting sqref="K748">
    <cfRule type="containsText" priority="18" operator="containsText" dxfId="8" text="Falso">
      <formula>NOT(ISERROR(SEARCH("Falso",K748)))</formula>
    </cfRule>
  </conditionalFormatting>
  <conditionalFormatting sqref="K755">
    <cfRule type="containsText" priority="17" operator="containsText" dxfId="8" text="Falso">
      <formula>NOT(ISERROR(SEARCH("Falso",K755)))</formula>
    </cfRule>
  </conditionalFormatting>
  <conditionalFormatting sqref="K762">
    <cfRule type="containsText" priority="16" operator="containsText" dxfId="8" text="Falso">
      <formula>NOT(ISERROR(SEARCH("Falso",K762)))</formula>
    </cfRule>
  </conditionalFormatting>
  <conditionalFormatting sqref="K769">
    <cfRule type="containsText" priority="15" operator="containsText" dxfId="8" text="Falso">
      <formula>NOT(ISERROR(SEARCH("Falso",K769)))</formula>
    </cfRule>
  </conditionalFormatting>
  <conditionalFormatting sqref="K776">
    <cfRule type="containsText" priority="14" operator="containsText" dxfId="8" text="Falso">
      <formula>NOT(ISERROR(SEARCH("Falso",K776)))</formula>
    </cfRule>
  </conditionalFormatting>
  <conditionalFormatting sqref="K793">
    <cfRule type="containsText" priority="13" operator="containsText" dxfId="8" text="Falso">
      <formula>NOT(ISERROR(SEARCH("Falso",K793)))</formula>
    </cfRule>
  </conditionalFormatting>
  <conditionalFormatting sqref="K798">
    <cfRule type="containsText" priority="12" operator="containsText" dxfId="8" text="Falso">
      <formula>NOT(ISERROR(SEARCH("Falso",K798)))</formula>
    </cfRule>
  </conditionalFormatting>
  <conditionalFormatting sqref="K803">
    <cfRule type="containsText" priority="11" operator="containsText" dxfId="8" text="Falso">
      <formula>NOT(ISERROR(SEARCH("Falso",K803)))</formula>
    </cfRule>
  </conditionalFormatting>
  <conditionalFormatting sqref="K808">
    <cfRule type="containsText" priority="10" operator="containsText" dxfId="8" text="Falso">
      <formula>NOT(ISERROR(SEARCH("Falso",K808)))</formula>
    </cfRule>
  </conditionalFormatting>
  <conditionalFormatting sqref="K813">
    <cfRule type="containsText" priority="9" operator="containsText" dxfId="8" text="Falso">
      <formula>NOT(ISERROR(SEARCH("Falso",K813)))</formula>
    </cfRule>
  </conditionalFormatting>
  <conditionalFormatting sqref="O858:O869">
    <cfRule type="cellIs" priority="8" operator="lessThan" dxfId="0" stopIfTrue="1">
      <formula>0</formula>
    </cfRule>
  </conditionalFormatting>
  <conditionalFormatting sqref="O871:O887">
    <cfRule type="cellIs" priority="7" operator="lessThan" dxfId="0" stopIfTrue="1">
      <formula>0</formula>
    </cfRule>
  </conditionalFormatting>
  <conditionalFormatting sqref="O893:O897">
    <cfRule type="cellIs" priority="6" operator="lessThan" dxfId="0" stopIfTrue="1">
      <formula>0</formula>
    </cfRule>
  </conditionalFormatting>
  <conditionalFormatting sqref="L888">
    <cfRule type="cellIs" priority="5" operator="lessThan" dxfId="0" stopIfTrue="1">
      <formula>0</formula>
    </cfRule>
  </conditionalFormatting>
  <conditionalFormatting sqref="L821:L856">
    <cfRule type="cellIs" priority="4" operator="lessThan" dxfId="0" stopIfTrue="1">
      <formula>0</formula>
    </cfRule>
  </conditionalFormatting>
  <conditionalFormatting sqref="L858:L869">
    <cfRule type="cellIs" priority="3" operator="lessThan" dxfId="0" stopIfTrue="1">
      <formula>0</formula>
    </cfRule>
  </conditionalFormatting>
  <conditionalFormatting sqref="L871:L887">
    <cfRule type="cellIs" priority="2" operator="lessThan" dxfId="0" stopIfTrue="1">
      <formula>0</formula>
    </cfRule>
  </conditionalFormatting>
  <conditionalFormatting sqref="L893:L897">
    <cfRule type="cellIs" priority="1" operator="lessThan" dxfId="0" stopIfTrue="1">
      <formula>0</formula>
    </cfRule>
  </conditionalFormatting>
  <dataValidations count="3">
    <dataValidation sqref="C903:C907 C912:C913" showDropDown="0" showInputMessage="1" showErrorMessage="1" allowBlank="1" type="list">
      <formula1>"SI,NO"</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O278:O279 O284:O285 O292" showDropDown="0" showInputMessage="1" showErrorMessage="1" allowBlank="1" errorTitle="INGRESE LA FECHA" error="FECHA DE VENCIMIENTO" type="date" operator="greaterThan">
      <formula1>39083</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xl/worksheets/sheet14.xml><?xml version="1.0" encoding="utf-8"?>
<worksheet xmlns="http://schemas.openxmlformats.org/spreadsheetml/2006/main">
  <sheetPr codeName="Hoja24">
    <tabColor theme="9" tint="0.3999755851924192"/>
    <outlinePr summaryBelow="1" summaryRight="1"/>
    <pageSetUpPr/>
  </sheetPr>
  <dimension ref="A1:AZ919"/>
  <sheetViews>
    <sheetView zoomScale="70" zoomScaleNormal="70" workbookViewId="0">
      <selection activeCell="D13" sqref="D13:D18"/>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n"/>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748"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496">
        <f>AGOSTO!K13</f>
        <v/>
      </c>
      <c r="E13" s="731" t="n"/>
      <c r="F13" s="731" t="n"/>
      <c r="G13" s="730">
        <f>E13+F13</f>
        <v/>
      </c>
      <c r="H13" s="731" t="n"/>
      <c r="I13" s="731" t="n"/>
      <c r="J13" s="732">
        <f>AM13</f>
        <v/>
      </c>
      <c r="K13" s="738">
        <f>+(D13+G13)-(H13+I13+J13)</f>
        <v/>
      </c>
      <c r="L13" s="253" t="n"/>
      <c r="M13" s="254" t="n"/>
      <c r="N13" s="254" t="n"/>
      <c r="O13" s="1183" t="n"/>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inlineStr">
        <is>
          <t>AMAZONAS</t>
        </is>
      </c>
      <c r="AZ13" s="231" t="inlineStr">
        <is>
          <t>ENERO</t>
        </is>
      </c>
    </row>
    <row r="14" ht="18.75" customHeight="1">
      <c r="A14" s="973" t="n"/>
      <c r="B14" s="971" t="n"/>
      <c r="C14" s="972" t="n"/>
      <c r="D14" s="973" t="n"/>
      <c r="E14" s="994" t="n"/>
      <c r="F14" s="994" t="n"/>
      <c r="G14" s="973" t="n"/>
      <c r="H14" s="994" t="n"/>
      <c r="I14" s="994" t="n"/>
      <c r="J14" s="973" t="n"/>
      <c r="K14" s="973" t="n"/>
      <c r="L14" s="253" t="n"/>
      <c r="M14" s="254" t="n"/>
      <c r="N14" s="254" t="n"/>
      <c r="O14" s="1183" t="n"/>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inlineStr">
        <is>
          <t>ANTIOQUIA</t>
        </is>
      </c>
      <c r="AZ14" s="231" t="inlineStr">
        <is>
          <t>AGOSTO</t>
        </is>
      </c>
    </row>
    <row r="15" ht="18.75" customHeight="1">
      <c r="A15" s="973" t="n"/>
      <c r="B15" s="971" t="n"/>
      <c r="C15" s="972" t="n"/>
      <c r="D15" s="973" t="n"/>
      <c r="E15" s="994" t="n"/>
      <c r="F15" s="994" t="n"/>
      <c r="G15" s="973" t="n"/>
      <c r="H15" s="994" t="n"/>
      <c r="I15" s="994" t="n"/>
      <c r="J15" s="973" t="n"/>
      <c r="K15" s="973" t="n"/>
      <c r="L15" s="253" t="n"/>
      <c r="M15" s="254" t="n"/>
      <c r="N15" s="254" t="n"/>
      <c r="O15" s="1183" t="n"/>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73"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inlineStr">
        <is>
          <t>ATLANTICO</t>
        </is>
      </c>
      <c r="AZ16" s="231" t="inlineStr">
        <is>
          <t>ABRIL</t>
        </is>
      </c>
    </row>
    <row r="17" ht="18.75" customHeight="1">
      <c r="A17" s="973" t="n"/>
      <c r="B17" s="971" t="n"/>
      <c r="C17" s="972" t="n"/>
      <c r="D17" s="973"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inlineStr">
        <is>
          <t>BARRANQUILLA</t>
        </is>
      </c>
      <c r="AZ17" s="231" t="inlineStr">
        <is>
          <t>MAYO</t>
        </is>
      </c>
    </row>
    <row r="18" ht="18.75" customHeight="1">
      <c r="A18" s="975" t="n"/>
      <c r="B18" s="1182" t="n"/>
      <c r="C18" s="1103" t="n"/>
      <c r="D18" s="975"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AGOSTO</t>
        </is>
      </c>
    </row>
    <row r="19" ht="18.75" customHeight="1">
      <c r="A19" s="741">
        <f>A13+1</f>
        <v/>
      </c>
      <c r="B19" s="733" t="inlineStr">
        <is>
          <t>Vacuna de Hepatitis B Recombinante Pediátrica - Liquida</t>
        </is>
      </c>
      <c r="C19" s="965" t="n"/>
      <c r="D19" s="496">
        <f>AGOSTO!K19</f>
        <v/>
      </c>
      <c r="E19" s="731" t="n"/>
      <c r="F19" s="731" t="n"/>
      <c r="G19" s="730">
        <f>E19+F19</f>
        <v/>
      </c>
      <c r="H19" s="731" t="n"/>
      <c r="I19" s="731" t="n"/>
      <c r="J19" s="732">
        <f>AM19</f>
        <v/>
      </c>
      <c r="K19" s="738">
        <f>+(D19+G19)-(H19+I19+J19)</f>
        <v/>
      </c>
      <c r="L19" s="253" t="n"/>
      <c r="M19" s="254" t="n"/>
      <c r="N19" s="254" t="n"/>
      <c r="O19" s="1183" t="n"/>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inlineStr">
        <is>
          <t>BOLIVAR</t>
        </is>
      </c>
      <c r="AZ19" s="231" t="inlineStr">
        <is>
          <t>AGOSTO</t>
        </is>
      </c>
    </row>
    <row r="20" ht="18.75" customHeight="1">
      <c r="A20" s="973" t="n"/>
      <c r="B20" s="971" t="n"/>
      <c r="C20" s="972" t="n"/>
      <c r="D20" s="973" t="n"/>
      <c r="E20" s="994" t="n"/>
      <c r="F20" s="994" t="n"/>
      <c r="G20" s="973" t="n"/>
      <c r="H20" s="994" t="n"/>
      <c r="I20" s="994" t="n"/>
      <c r="J20" s="973" t="n"/>
      <c r="K20" s="973" t="n"/>
      <c r="L20" s="253" t="n"/>
      <c r="M20" s="254" t="n"/>
      <c r="N20" s="254" t="n"/>
      <c r="O20" s="1183" t="n"/>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73" t="n"/>
      <c r="E21" s="994" t="n"/>
      <c r="F21" s="994" t="n"/>
      <c r="G21" s="973" t="n"/>
      <c r="H21" s="994" t="n"/>
      <c r="I21" s="994" t="n"/>
      <c r="J21" s="973" t="n"/>
      <c r="K21" s="973" t="n"/>
      <c r="L21" s="253" t="n"/>
      <c r="M21" s="254" t="n"/>
      <c r="N21" s="254" t="n"/>
      <c r="O21" s="1183" t="n"/>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inlineStr">
        <is>
          <t>CARTAGENA</t>
        </is>
      </c>
      <c r="AZ21" s="231" t="inlineStr">
        <is>
          <t>AGOSTO</t>
        </is>
      </c>
    </row>
    <row r="22" ht="18.75" customHeight="1">
      <c r="A22" s="973" t="n"/>
      <c r="B22" s="971" t="n"/>
      <c r="C22" s="972" t="n"/>
      <c r="D22" s="973" t="n"/>
      <c r="E22" s="994" t="n"/>
      <c r="F22" s="994" t="n"/>
      <c r="G22" s="973" t="n"/>
      <c r="H22" s="994" t="n"/>
      <c r="I22" s="994" t="n"/>
      <c r="J22" s="973" t="n"/>
      <c r="K22" s="973" t="n"/>
      <c r="L22" s="253" t="n"/>
      <c r="M22" s="254" t="n"/>
      <c r="N22" s="254" t="n"/>
      <c r="O22" s="1183" t="n"/>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inlineStr">
        <is>
          <t>BOYACA</t>
        </is>
      </c>
      <c r="AZ22" s="231" t="inlineStr">
        <is>
          <t>SEPTIEMBRE</t>
        </is>
      </c>
    </row>
    <row r="23" ht="18.75" customHeight="1">
      <c r="A23" s="973" t="n"/>
      <c r="B23" s="971" t="n"/>
      <c r="C23" s="972" t="n"/>
      <c r="D23" s="973"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inlineStr">
        <is>
          <t>CAQUETA</t>
        </is>
      </c>
      <c r="AZ23" s="231" t="inlineStr">
        <is>
          <t>NOVIEMBRE</t>
        </is>
      </c>
    </row>
    <row r="24" ht="18.75" customHeight="1">
      <c r="A24" s="975" t="n"/>
      <c r="B24" s="1182" t="n"/>
      <c r="C24" s="1103" t="n"/>
      <c r="D24" s="975"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496">
        <f>AGOSTO!K25</f>
        <v/>
      </c>
      <c r="E25" s="731" t="n"/>
      <c r="F25" s="731" t="n"/>
      <c r="G25" s="730">
        <f>E25+F25</f>
        <v/>
      </c>
      <c r="H25" s="731" t="n"/>
      <c r="I25" s="731" t="n"/>
      <c r="J25" s="732">
        <f>AM25</f>
        <v/>
      </c>
      <c r="K25" s="738">
        <f>+(D25+G25)-(H25+I25+J25)</f>
        <v/>
      </c>
      <c r="L25" s="253" t="n"/>
      <c r="M25" s="254" t="n"/>
      <c r="N25" s="254" t="n"/>
      <c r="O25" s="1183" t="n"/>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inlineStr">
        <is>
          <t>BOLIVAR</t>
        </is>
      </c>
    </row>
    <row r="26" ht="18.75" customHeight="1">
      <c r="A26" s="973" t="n"/>
      <c r="B26" s="971" t="n"/>
      <c r="C26" s="972" t="n"/>
      <c r="D26" s="973"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73"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inlineStr">
        <is>
          <t>CARTAGENA</t>
        </is>
      </c>
    </row>
    <row r="28" ht="18.75" customHeight="1">
      <c r="A28" s="973" t="n"/>
      <c r="B28" s="971" t="n"/>
      <c r="C28" s="972" t="n"/>
      <c r="D28" s="973"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inlineStr">
        <is>
          <t>BOYACA</t>
        </is>
      </c>
    </row>
    <row r="29" ht="18.75" customHeight="1">
      <c r="A29" s="973" t="n"/>
      <c r="B29" s="971" t="n"/>
      <c r="C29" s="972" t="n"/>
      <c r="D29" s="973"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inlineStr">
        <is>
          <t>CAQUETA</t>
        </is>
      </c>
    </row>
    <row r="30" ht="18.75" customHeight="1">
      <c r="A30" s="975" t="n"/>
      <c r="B30" s="1182" t="n"/>
      <c r="C30" s="1103" t="n"/>
      <c r="D30" s="975"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496">
        <f>AGOSTO!K31</f>
        <v/>
      </c>
      <c r="E31" s="731" t="n"/>
      <c r="F31" s="731" t="n"/>
      <c r="G31" s="730">
        <f>E31+F31</f>
        <v/>
      </c>
      <c r="H31" s="731" t="n"/>
      <c r="I31" s="731" t="n"/>
      <c r="J31" s="732">
        <f>AM31</f>
        <v/>
      </c>
      <c r="K31" s="738">
        <f>+(D31+G31)-(H31+I31+J31)</f>
        <v/>
      </c>
      <c r="L31" s="253" t="n"/>
      <c r="M31" s="254" t="n"/>
      <c r="N31" s="254" t="n"/>
      <c r="O31" s="1183" t="n"/>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inlineStr">
        <is>
          <t>CAUCA</t>
        </is>
      </c>
    </row>
    <row r="32" ht="18.75" customHeight="1">
      <c r="A32" s="973" t="n"/>
      <c r="B32" s="971" t="n"/>
      <c r="C32" s="972" t="n"/>
      <c r="D32" s="973" t="n"/>
      <c r="E32" s="994" t="n"/>
      <c r="F32" s="994" t="n"/>
      <c r="G32" s="973" t="n"/>
      <c r="H32" s="994" t="n"/>
      <c r="I32" s="994" t="n"/>
      <c r="J32" s="973" t="n"/>
      <c r="K32" s="973" t="n"/>
      <c r="L32" s="253" t="n"/>
      <c r="M32" s="254" t="n"/>
      <c r="N32" s="254" t="n"/>
      <c r="O32" s="1183" t="n"/>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73" t="n"/>
      <c r="E33" s="994" t="n"/>
      <c r="F33" s="994" t="n"/>
      <c r="G33" s="973" t="n"/>
      <c r="H33" s="994" t="n"/>
      <c r="I33" s="994" t="n"/>
      <c r="J33" s="973" t="n"/>
      <c r="K33" s="973" t="n"/>
      <c r="L33" s="253" t="n"/>
      <c r="M33" s="254" t="n"/>
      <c r="N33" s="254" t="n"/>
      <c r="O33" s="1183" t="n"/>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inlineStr">
        <is>
          <t>CESAR</t>
        </is>
      </c>
    </row>
    <row r="34" ht="18.75" customHeight="1">
      <c r="A34" s="973" t="n"/>
      <c r="B34" s="971" t="n"/>
      <c r="C34" s="972" t="n"/>
      <c r="D34" s="973"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inlineStr">
        <is>
          <t>CHOCO</t>
        </is>
      </c>
    </row>
    <row r="35" ht="18.75" customHeight="1">
      <c r="A35" s="973" t="n"/>
      <c r="B35" s="971" t="n"/>
      <c r="C35" s="972" t="n"/>
      <c r="D35" s="973"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inlineStr">
        <is>
          <t>CORDOBA</t>
        </is>
      </c>
    </row>
    <row r="36" ht="18.75" customHeight="1">
      <c r="A36" s="975" t="n"/>
      <c r="B36" s="1182" t="n"/>
      <c r="C36" s="1103" t="n"/>
      <c r="D36" s="975"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496">
        <f>AGOSTO!K37</f>
        <v/>
      </c>
      <c r="E37" s="731" t="n"/>
      <c r="F37" s="731" t="n"/>
      <c r="G37" s="730">
        <f>E37+F37</f>
        <v/>
      </c>
      <c r="H37" s="731" t="n"/>
      <c r="I37" s="731" t="n"/>
      <c r="J37" s="732">
        <f>AM37</f>
        <v/>
      </c>
      <c r="K37" s="738">
        <f>+(D37+G37)-(H37+I37+J37)</f>
        <v/>
      </c>
      <c r="L37" s="253" t="n"/>
      <c r="M37" s="254" t="n"/>
      <c r="N37" s="254" t="n"/>
      <c r="O37" s="1183" t="n"/>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inlineStr">
        <is>
          <t>NARIÑO</t>
        </is>
      </c>
    </row>
    <row r="38" ht="19.5" customHeight="1">
      <c r="A38" s="973" t="n"/>
      <c r="B38" s="971" t="n"/>
      <c r="C38" s="972" t="n"/>
      <c r="D38" s="973" t="n"/>
      <c r="E38" s="994" t="n"/>
      <c r="F38" s="994" t="n"/>
      <c r="G38" s="973" t="n"/>
      <c r="H38" s="994" t="n"/>
      <c r="I38" s="994" t="n"/>
      <c r="J38" s="973" t="n"/>
      <c r="K38" s="973" t="n"/>
      <c r="L38" s="253" t="n"/>
      <c r="M38" s="254" t="n"/>
      <c r="N38" s="254" t="n"/>
      <c r="O38" s="1183" t="n"/>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73" t="n"/>
      <c r="E39" s="994" t="n"/>
      <c r="F39" s="994" t="n"/>
      <c r="G39" s="973" t="n"/>
      <c r="H39" s="994" t="n"/>
      <c r="I39" s="994" t="n"/>
      <c r="J39" s="973" t="n"/>
      <c r="K39" s="973" t="n"/>
      <c r="L39" s="253" t="n"/>
      <c r="M39" s="254" t="n"/>
      <c r="N39" s="254" t="n"/>
      <c r="O39" s="1183" t="n"/>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inlineStr">
        <is>
          <t>NORTE DE SANTANDER</t>
        </is>
      </c>
    </row>
    <row r="40" ht="19.5" customHeight="1">
      <c r="A40" s="973" t="n"/>
      <c r="B40" s="971" t="n"/>
      <c r="C40" s="972" t="n"/>
      <c r="D40" s="973"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73"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inlineStr">
        <is>
          <t>PUTUMAYO</t>
        </is>
      </c>
    </row>
    <row r="42" ht="19.5" customHeight="1">
      <c r="A42" s="975" t="n"/>
      <c r="B42" s="1182" t="n"/>
      <c r="C42" s="1103" t="n"/>
      <c r="D42" s="975"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496">
        <f>AGOSTO!K43</f>
        <v/>
      </c>
      <c r="E43" s="731" t="n"/>
      <c r="F43" s="731" t="n"/>
      <c r="G43" s="730">
        <f>E43+F43</f>
        <v/>
      </c>
      <c r="H43" s="731" t="n"/>
      <c r="I43" s="731" t="n"/>
      <c r="J43" s="732">
        <f>AM43</f>
        <v/>
      </c>
      <c r="K43" s="706">
        <f>+(D43+G43)-(H43+I43+J43)</f>
        <v/>
      </c>
      <c r="L43" s="253" t="n"/>
      <c r="M43" s="254" t="n"/>
      <c r="N43" s="254" t="n"/>
      <c r="O43" s="1183" t="n"/>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inlineStr">
        <is>
          <t>NARIÑO</t>
        </is>
      </c>
    </row>
    <row r="44" ht="19.5" customHeight="1">
      <c r="A44" s="973" t="n"/>
      <c r="B44" s="971" t="n"/>
      <c r="C44" s="972" t="n"/>
      <c r="D44" s="973"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73"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inlineStr">
        <is>
          <t>NORTE DE SANTANDER</t>
        </is>
      </c>
    </row>
    <row r="46" ht="19.5" customHeight="1">
      <c r="A46" s="973" t="n"/>
      <c r="B46" s="971" t="n"/>
      <c r="C46" s="972" t="n"/>
      <c r="D46" s="973"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inlineStr">
        <is>
          <t>PUTUMAYO</t>
        </is>
      </c>
    </row>
    <row r="47" ht="19.5" customHeight="1">
      <c r="A47" s="973" t="n"/>
      <c r="B47" s="971" t="n"/>
      <c r="C47" s="972" t="n"/>
      <c r="D47" s="973"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inlineStr">
        <is>
          <t>QUINDIO</t>
        </is>
      </c>
    </row>
    <row r="48" ht="19.5" customHeight="1">
      <c r="A48" s="975" t="n"/>
      <c r="B48" s="1182" t="n"/>
      <c r="C48" s="1103" t="n"/>
      <c r="D48" s="975"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496">
        <f>AGOSTO!K49</f>
        <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inlineStr">
        <is>
          <t>NARIÑO</t>
        </is>
      </c>
    </row>
    <row r="50" ht="19.5" customHeight="1">
      <c r="A50" s="973" t="n"/>
      <c r="B50" s="971" t="n"/>
      <c r="C50" s="972" t="n"/>
      <c r="D50" s="973"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73"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inlineStr">
        <is>
          <t>NORTE DE SANTANDER</t>
        </is>
      </c>
    </row>
    <row r="52" ht="19.5" customHeight="1">
      <c r="A52" s="973" t="n"/>
      <c r="B52" s="971" t="n"/>
      <c r="C52" s="972" t="n"/>
      <c r="D52" s="973"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inlineStr">
        <is>
          <t>PUTUMAYO</t>
        </is>
      </c>
    </row>
    <row r="53" ht="19.5" customHeight="1">
      <c r="A53" s="973" t="n"/>
      <c r="B53" s="971" t="n"/>
      <c r="C53" s="972" t="n"/>
      <c r="D53" s="973"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inlineStr">
        <is>
          <t>QUINDIO</t>
        </is>
      </c>
    </row>
    <row r="54" ht="19.5" customHeight="1">
      <c r="A54" s="975" t="n"/>
      <c r="B54" s="1182" t="n"/>
      <c r="C54" s="1103" t="n"/>
      <c r="D54" s="975"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496">
        <f>AGOSTO!K55</f>
        <v/>
      </c>
      <c r="E55" s="731" t="n"/>
      <c r="F55" s="731" t="n"/>
      <c r="G55" s="730">
        <f>E55+F55</f>
        <v/>
      </c>
      <c r="H55" s="731" t="n"/>
      <c r="I55" s="731" t="n"/>
      <c r="J55" s="732">
        <f>AM55</f>
        <v/>
      </c>
      <c r="K55" s="738">
        <f>+(D55+G55)-(H55+I55+J55)</f>
        <v/>
      </c>
      <c r="L55" s="253" t="n"/>
      <c r="M55" s="254" t="n"/>
      <c r="N55" s="254" t="n"/>
      <c r="O55" s="1183" t="n"/>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inlineStr">
        <is>
          <t>SANTANDER</t>
        </is>
      </c>
    </row>
    <row r="56" ht="19.5" customHeight="1">
      <c r="A56" s="973" t="n"/>
      <c r="B56" s="971" t="n"/>
      <c r="C56" s="972" t="n"/>
      <c r="D56" s="973" t="n"/>
      <c r="E56" s="994" t="n"/>
      <c r="F56" s="994" t="n"/>
      <c r="G56" s="973" t="n"/>
      <c r="H56" s="994" t="n"/>
      <c r="I56" s="994" t="n"/>
      <c r="J56" s="973" t="n"/>
      <c r="K56" s="973" t="n"/>
      <c r="L56" s="253" t="n"/>
      <c r="M56" s="254" t="n"/>
      <c r="N56" s="254" t="n"/>
      <c r="O56" s="1183" t="n"/>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73"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inlineStr">
        <is>
          <t>SUCRE</t>
        </is>
      </c>
    </row>
    <row r="58" ht="19.5" customHeight="1">
      <c r="A58" s="973" t="n"/>
      <c r="B58" s="971" t="n"/>
      <c r="C58" s="972" t="n"/>
      <c r="D58" s="973"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inlineStr">
        <is>
          <t>TOLIMA</t>
        </is>
      </c>
    </row>
    <row r="59" ht="19.5" customHeight="1">
      <c r="A59" s="973" t="n"/>
      <c r="B59" s="971" t="n"/>
      <c r="C59" s="972" t="n"/>
      <c r="D59" s="973"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inlineStr">
        <is>
          <t>VALLE</t>
        </is>
      </c>
    </row>
    <row r="60" ht="19.5" customHeight="1">
      <c r="A60" s="975" t="n"/>
      <c r="B60" s="971" t="n"/>
      <c r="C60" s="972" t="n"/>
      <c r="D60" s="975"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496">
        <f>AGOSTO!K61</f>
        <v/>
      </c>
      <c r="E61" s="731" t="n"/>
      <c r="F61" s="731" t="n"/>
      <c r="G61" s="730">
        <f>E61+F61</f>
        <v/>
      </c>
      <c r="H61" s="731" t="n"/>
      <c r="I61" s="731" t="n"/>
      <c r="J61" s="732">
        <f>AM61</f>
        <v/>
      </c>
      <c r="K61" s="738">
        <f>+(D61+G61)-(H61+I61+J61)</f>
        <v/>
      </c>
      <c r="L61" s="253" t="n"/>
      <c r="M61" s="254" t="n"/>
      <c r="N61" s="254" t="n"/>
      <c r="O61" s="1183" t="n"/>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inlineStr">
        <is>
          <t>VICHADA</t>
        </is>
      </c>
    </row>
    <row r="62" ht="19.5" customHeight="1">
      <c r="A62" s="973" t="n"/>
      <c r="B62" s="971" t="n"/>
      <c r="C62" s="972" t="n"/>
      <c r="D62" s="973"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73"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73"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73"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75"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496">
        <f>AGOSTO!K67</f>
        <v/>
      </c>
      <c r="E67" s="731" t="n"/>
      <c r="F67" s="731" t="n"/>
      <c r="G67" s="730">
        <f>E67+F67</f>
        <v/>
      </c>
      <c r="H67" s="731" t="n"/>
      <c r="I67" s="731" t="n"/>
      <c r="J67" s="732">
        <f>AM67</f>
        <v/>
      </c>
      <c r="K67" s="738">
        <f>+(D67+G67)-(H67+I67+J67)</f>
        <v/>
      </c>
      <c r="L67" s="253" t="n"/>
      <c r="M67" s="254" t="n"/>
      <c r="N67" s="254" t="n"/>
      <c r="O67" s="1183" t="n"/>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73" t="n"/>
      <c r="E68" s="994" t="n"/>
      <c r="F68" s="994" t="n"/>
      <c r="G68" s="973" t="n"/>
      <c r="H68" s="994" t="n"/>
      <c r="I68" s="994" t="n"/>
      <c r="J68" s="973" t="n"/>
      <c r="K68" s="973" t="n"/>
      <c r="L68" s="253" t="n"/>
      <c r="M68" s="254" t="n"/>
      <c r="N68" s="254" t="n"/>
      <c r="O68" s="1183" t="n"/>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73" t="n"/>
      <c r="E69" s="994" t="n"/>
      <c r="F69" s="994" t="n"/>
      <c r="G69" s="973" t="n"/>
      <c r="H69" s="994" t="n"/>
      <c r="I69" s="994" t="n"/>
      <c r="J69" s="973" t="n"/>
      <c r="K69" s="973" t="n"/>
      <c r="L69" s="253" t="n"/>
      <c r="M69" s="254" t="n"/>
      <c r="N69" s="254" t="n"/>
      <c r="O69" s="1183" t="n"/>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73"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73"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75"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496">
        <f>AGOSTO!K73</f>
        <v/>
      </c>
      <c r="E73" s="731" t="n"/>
      <c r="F73" s="731" t="n"/>
      <c r="G73" s="730">
        <f>E73+F73</f>
        <v/>
      </c>
      <c r="H73" s="731" t="n"/>
      <c r="I73" s="731" t="n"/>
      <c r="J73" s="732">
        <f>AM73</f>
        <v/>
      </c>
      <c r="K73" s="738">
        <f>+(D73+G73)-(H73+I73+J73)</f>
        <v/>
      </c>
      <c r="L73" s="253" t="n"/>
      <c r="M73" s="254" t="n"/>
      <c r="N73" s="254" t="n"/>
      <c r="O73" s="1183" t="n"/>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73" t="n"/>
      <c r="E74" s="994" t="n"/>
      <c r="F74" s="994" t="n"/>
      <c r="G74" s="973" t="n"/>
      <c r="H74" s="994" t="n"/>
      <c r="I74" s="994" t="n"/>
      <c r="J74" s="973" t="n"/>
      <c r="K74" s="973" t="n"/>
      <c r="L74" s="253" t="n"/>
      <c r="M74" s="254" t="n"/>
      <c r="N74" s="254" t="n"/>
      <c r="O74" s="1183" t="n"/>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73" t="n"/>
      <c r="E75" s="994" t="n"/>
      <c r="F75" s="994" t="n"/>
      <c r="G75" s="973" t="n"/>
      <c r="H75" s="994" t="n"/>
      <c r="I75" s="994" t="n"/>
      <c r="J75" s="973" t="n"/>
      <c r="K75" s="973" t="n"/>
      <c r="L75" s="253" t="n"/>
      <c r="M75" s="254" t="n"/>
      <c r="N75" s="254" t="n"/>
      <c r="O75" s="1183" t="n"/>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73"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73"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75"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496">
        <f>AGOSTO!K79</f>
        <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73"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73"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73"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73"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75"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496">
        <f>AGOSTO!K85</f>
        <v/>
      </c>
      <c r="E85" s="731" t="n"/>
      <c r="F85" s="731" t="n"/>
      <c r="G85" s="730">
        <f>E85+F85</f>
        <v/>
      </c>
      <c r="H85" s="731" t="n"/>
      <c r="I85" s="731" t="n"/>
      <c r="J85" s="732">
        <f>AM85</f>
        <v/>
      </c>
      <c r="K85" s="738">
        <f>+(D85+G85)-(H85+I85+J85)</f>
        <v/>
      </c>
      <c r="L85" s="253" t="n"/>
      <c r="M85" s="254" t="n"/>
      <c r="N85" s="254" t="n"/>
      <c r="O85" s="1183" t="n"/>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73" t="n"/>
      <c r="E86" s="994" t="n"/>
      <c r="F86" s="994" t="n"/>
      <c r="G86" s="973" t="n"/>
      <c r="H86" s="994" t="n"/>
      <c r="I86" s="994" t="n"/>
      <c r="J86" s="973" t="n"/>
      <c r="K86" s="973" t="n"/>
      <c r="L86" s="253" t="n"/>
      <c r="M86" s="254" t="n"/>
      <c r="N86" s="254" t="n"/>
      <c r="O86" s="1183" t="n"/>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73" t="n"/>
      <c r="E87" s="994" t="n"/>
      <c r="F87" s="994" t="n"/>
      <c r="G87" s="973" t="n"/>
      <c r="H87" s="994" t="n"/>
      <c r="I87" s="994" t="n"/>
      <c r="J87" s="973" t="n"/>
      <c r="K87" s="973" t="n"/>
      <c r="L87" s="253" t="n"/>
      <c r="M87" s="254" t="n"/>
      <c r="N87" s="254" t="n"/>
      <c r="O87" s="1183" t="n"/>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73" t="n"/>
      <c r="E88" s="994" t="n"/>
      <c r="F88" s="994" t="n"/>
      <c r="G88" s="973" t="n"/>
      <c r="H88" s="994" t="n"/>
      <c r="I88" s="994" t="n"/>
      <c r="J88" s="973" t="n"/>
      <c r="K88" s="973" t="n"/>
      <c r="L88" s="253" t="n"/>
      <c r="M88" s="254" t="n"/>
      <c r="N88" s="254" t="n"/>
      <c r="O88" s="1183" t="n"/>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73"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75"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496">
        <f>AGOSTO!K91</f>
        <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73"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73"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73"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73"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75"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496">
        <f>AGOSTO!K97</f>
        <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73"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73"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73"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73"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75"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496">
        <f>AGOSTO!K103</f>
        <v/>
      </c>
      <c r="E103" s="731" t="n"/>
      <c r="F103" s="731" t="n"/>
      <c r="G103" s="730">
        <f>E103+F103</f>
        <v/>
      </c>
      <c r="H103" s="731" t="n"/>
      <c r="I103" s="731" t="n"/>
      <c r="J103" s="732">
        <f>AM103</f>
        <v/>
      </c>
      <c r="K103" s="738">
        <f>+(D103+G103)-(H103+I103+J103)</f>
        <v/>
      </c>
      <c r="L103" s="253" t="n"/>
      <c r="M103" s="254" t="n"/>
      <c r="N103" s="254" t="n"/>
      <c r="O103" s="1183" t="n"/>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73" t="n"/>
      <c r="E104" s="994" t="n"/>
      <c r="F104" s="994" t="n"/>
      <c r="G104" s="973" t="n"/>
      <c r="H104" s="994" t="n"/>
      <c r="I104" s="994" t="n"/>
      <c r="J104" s="973" t="n"/>
      <c r="K104" s="973" t="n"/>
      <c r="L104" s="253" t="n"/>
      <c r="M104" s="254" t="n"/>
      <c r="N104" s="254" t="n"/>
      <c r="O104" s="1183" t="n"/>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73"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73"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73"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75"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496">
        <f>AGOSTO!K109</f>
        <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73"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73"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73"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73"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75"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496">
        <f>AGOSTO!K115</f>
        <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73"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73"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73"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73"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75"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496">
        <f>AGOSTO!K121</f>
        <v/>
      </c>
      <c r="E121" s="731" t="n"/>
      <c r="F121" s="731" t="n"/>
      <c r="G121" s="730">
        <f>E121+F121</f>
        <v/>
      </c>
      <c r="H121" s="731" t="n"/>
      <c r="I121" s="731" t="n"/>
      <c r="J121" s="732">
        <f>AM121</f>
        <v/>
      </c>
      <c r="K121" s="738">
        <f>+(D121+G121)-(H121+I121+J121)</f>
        <v/>
      </c>
      <c r="L121" s="253" t="n"/>
      <c r="M121" s="254" t="n"/>
      <c r="N121" s="254" t="n"/>
      <c r="O121" s="1183" t="n"/>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73" t="n"/>
      <c r="E122" s="994" t="n"/>
      <c r="F122" s="994" t="n"/>
      <c r="G122" s="973" t="n"/>
      <c r="H122" s="994" t="n"/>
      <c r="I122" s="994" t="n"/>
      <c r="J122" s="973" t="n"/>
      <c r="K122" s="973" t="n"/>
      <c r="L122" s="253" t="n"/>
      <c r="M122" s="254" t="n"/>
      <c r="N122" s="254" t="n"/>
      <c r="O122" s="1183" t="n"/>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73" t="n"/>
      <c r="E123" s="994" t="n"/>
      <c r="F123" s="994" t="n"/>
      <c r="G123" s="973" t="n"/>
      <c r="H123" s="994" t="n"/>
      <c r="I123" s="994" t="n"/>
      <c r="J123" s="973" t="n"/>
      <c r="K123" s="973" t="n"/>
      <c r="L123" s="253" t="n"/>
      <c r="M123" s="254" t="n"/>
      <c r="N123" s="254" t="n"/>
      <c r="O123" s="1183" t="n"/>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73"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73"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75"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496">
        <f>AGOSTO!K127</f>
        <v/>
      </c>
      <c r="E127" s="731" t="n"/>
      <c r="F127" s="731" t="n"/>
      <c r="G127" s="730">
        <f>E127+F127</f>
        <v/>
      </c>
      <c r="H127" s="731" t="n"/>
      <c r="I127" s="731" t="n"/>
      <c r="J127" s="732">
        <f>AM127</f>
        <v/>
      </c>
      <c r="K127" s="738">
        <f>+(D127+G127)-(H127+I127+J127)</f>
        <v/>
      </c>
      <c r="L127" s="253" t="n"/>
      <c r="M127" s="254" t="n"/>
      <c r="N127" s="254" t="n"/>
      <c r="O127" s="1183" t="n"/>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73" t="n"/>
      <c r="E128" s="994" t="n"/>
      <c r="F128" s="994" t="n"/>
      <c r="G128" s="973" t="n"/>
      <c r="H128" s="994" t="n"/>
      <c r="I128" s="994" t="n"/>
      <c r="J128" s="973" t="n"/>
      <c r="K128" s="973" t="n"/>
      <c r="L128" s="253" t="n"/>
      <c r="M128" s="254" t="n"/>
      <c r="N128" s="254" t="n"/>
      <c r="O128" s="1183" t="n"/>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73" t="n"/>
      <c r="E129" s="994" t="n"/>
      <c r="F129" s="994" t="n"/>
      <c r="G129" s="973" t="n"/>
      <c r="H129" s="994" t="n"/>
      <c r="I129" s="994" t="n"/>
      <c r="J129" s="973" t="n"/>
      <c r="K129" s="973" t="n"/>
      <c r="L129" s="253" t="n"/>
      <c r="M129" s="254" t="n"/>
      <c r="N129" s="254" t="n"/>
      <c r="O129" s="1183" t="n"/>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73"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73"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75"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496">
        <f>AGOSTO!K133</f>
        <v/>
      </c>
      <c r="E133" s="731" t="n"/>
      <c r="F133" s="731" t="n"/>
      <c r="G133" s="730">
        <f>E133+F133</f>
        <v/>
      </c>
      <c r="H133" s="731" t="n"/>
      <c r="I133" s="731" t="n"/>
      <c r="J133" s="732">
        <f>AM133</f>
        <v/>
      </c>
      <c r="K133" s="738">
        <f>+(D133+G133)-(H133+I133+J133)</f>
        <v/>
      </c>
      <c r="L133" s="253" t="n"/>
      <c r="M133" s="254" t="n"/>
      <c r="N133" s="254" t="n"/>
      <c r="O133" s="1183" t="n"/>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73" t="n"/>
      <c r="E134" s="994" t="n"/>
      <c r="F134" s="994" t="n"/>
      <c r="G134" s="973" t="n"/>
      <c r="H134" s="994" t="n"/>
      <c r="I134" s="994" t="n"/>
      <c r="J134" s="973" t="n"/>
      <c r="K134" s="973" t="n"/>
      <c r="L134" s="253" t="n"/>
      <c r="M134" s="254" t="n"/>
      <c r="N134" s="254" t="n"/>
      <c r="O134" s="1183" t="n"/>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73" t="n"/>
      <c r="E135" s="994" t="n"/>
      <c r="F135" s="994" t="n"/>
      <c r="G135" s="973" t="n"/>
      <c r="H135" s="994" t="n"/>
      <c r="I135" s="994" t="n"/>
      <c r="J135" s="973" t="n"/>
      <c r="K135" s="973" t="n"/>
      <c r="L135" s="253" t="n"/>
      <c r="M135" s="254" t="n"/>
      <c r="N135" s="254" t="n"/>
      <c r="O135" s="1183" t="n"/>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73"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73"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75"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496">
        <f>AGOSTO!K139</f>
        <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73"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73"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73"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73"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75"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496">
        <f>AGOSTO!K145</f>
        <v/>
      </c>
      <c r="E145" s="731" t="n"/>
      <c r="F145" s="731" t="n"/>
      <c r="G145" s="730">
        <f>E145+F145</f>
        <v/>
      </c>
      <c r="H145" s="731" t="n"/>
      <c r="I145" s="731" t="n"/>
      <c r="J145" s="732">
        <f>AM145</f>
        <v/>
      </c>
      <c r="K145" s="738">
        <f>+(D145+G145)-(H145+I145+J145)</f>
        <v/>
      </c>
      <c r="L145" s="253" t="n"/>
      <c r="M145" s="254" t="n"/>
      <c r="N145" s="254" t="n"/>
      <c r="O145" s="1183" t="n"/>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73" t="n"/>
      <c r="E146" s="994" t="n"/>
      <c r="F146" s="994" t="n"/>
      <c r="G146" s="973" t="n"/>
      <c r="H146" s="994" t="n"/>
      <c r="I146" s="994" t="n"/>
      <c r="J146" s="973" t="n"/>
      <c r="K146" s="973" t="n"/>
      <c r="L146" s="253" t="n"/>
      <c r="M146" s="254" t="n"/>
      <c r="N146" s="254" t="n"/>
      <c r="O146" s="1183" t="n"/>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73"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73"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73"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75"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496">
        <f>AGOSTO!K151</f>
        <v/>
      </c>
      <c r="E151" s="731" t="n"/>
      <c r="F151" s="731" t="n"/>
      <c r="G151" s="730">
        <f>E151+F151</f>
        <v/>
      </c>
      <c r="H151" s="731" t="n"/>
      <c r="I151" s="731" t="n"/>
      <c r="J151" s="732">
        <f>AM151</f>
        <v/>
      </c>
      <c r="K151" s="738">
        <f>+(D151+G151)-(H151+I151+J151)</f>
        <v/>
      </c>
      <c r="L151" s="253" t="n"/>
      <c r="M151" s="254" t="n"/>
      <c r="N151" s="254" t="n"/>
      <c r="O151" s="1183" t="n"/>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73" t="n"/>
      <c r="E152" s="994" t="n"/>
      <c r="F152" s="994" t="n"/>
      <c r="G152" s="973" t="n"/>
      <c r="H152" s="994" t="n"/>
      <c r="I152" s="994" t="n"/>
      <c r="J152" s="973" t="n"/>
      <c r="K152" s="973" t="n"/>
      <c r="L152" s="253" t="n"/>
      <c r="M152" s="254" t="n"/>
      <c r="N152" s="254" t="n"/>
      <c r="O152" s="1183" t="n"/>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73"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73"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73"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75"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496">
        <f>AGOSTO!K157</f>
        <v/>
      </c>
      <c r="E157" s="731" t="n"/>
      <c r="F157" s="731" t="n"/>
      <c r="G157" s="730">
        <f>E157+F157</f>
        <v/>
      </c>
      <c r="H157" s="731" t="n"/>
      <c r="I157" s="731" t="n"/>
      <c r="J157" s="732">
        <f>AM157</f>
        <v/>
      </c>
      <c r="K157" s="738">
        <f>+(D157+G157)-(H157+I157+J157)</f>
        <v/>
      </c>
      <c r="L157" s="253" t="n"/>
      <c r="M157" s="254" t="n"/>
      <c r="N157" s="254" t="n"/>
      <c r="O157" s="1183" t="n"/>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73"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73"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73"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73"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75"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496">
        <f>AGOSTO!K163</f>
        <v/>
      </c>
      <c r="E163" s="731" t="n"/>
      <c r="F163" s="731" t="n"/>
      <c r="G163" s="730">
        <f>E163+F163</f>
        <v/>
      </c>
      <c r="H163" s="731" t="n"/>
      <c r="I163" s="731" t="n"/>
      <c r="J163" s="732">
        <f>AM163</f>
        <v/>
      </c>
      <c r="K163" s="738">
        <f>+(D163+G163)-(H163+I163+J163)</f>
        <v/>
      </c>
      <c r="L163" s="253" t="n"/>
      <c r="M163" s="254" t="n"/>
      <c r="N163" s="254" t="n"/>
      <c r="O163" s="1183" t="n"/>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73" t="n"/>
      <c r="E164" s="994" t="n"/>
      <c r="F164" s="994" t="n"/>
      <c r="G164" s="973" t="n"/>
      <c r="H164" s="994" t="n"/>
      <c r="I164" s="994" t="n"/>
      <c r="J164" s="973" t="n"/>
      <c r="K164" s="973" t="n"/>
      <c r="L164" s="253" t="n"/>
      <c r="M164" s="254" t="n"/>
      <c r="N164" s="254" t="n"/>
      <c r="O164" s="1183" t="n"/>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73" t="n"/>
      <c r="E165" s="994" t="n"/>
      <c r="F165" s="994" t="n"/>
      <c r="G165" s="973" t="n"/>
      <c r="H165" s="994" t="n"/>
      <c r="I165" s="994" t="n"/>
      <c r="J165" s="973" t="n"/>
      <c r="K165" s="973" t="n"/>
      <c r="L165" s="253" t="n"/>
      <c r="M165" s="254" t="n"/>
      <c r="N165" s="254" t="n"/>
      <c r="O165" s="1183" t="n"/>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73"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73"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75"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496">
        <f>AGOSTO!K169</f>
        <v/>
      </c>
      <c r="E169" s="731" t="n"/>
      <c r="F169" s="731" t="n"/>
      <c r="G169" s="730">
        <f>E169+F169</f>
        <v/>
      </c>
      <c r="H169" s="731" t="n"/>
      <c r="I169" s="731" t="n"/>
      <c r="J169" s="732">
        <f>AM169</f>
        <v/>
      </c>
      <c r="K169" s="738">
        <f>+(D169+G169)-(H169+I169+J169)</f>
        <v/>
      </c>
      <c r="L169" s="253" t="n"/>
      <c r="M169" s="254" t="n"/>
      <c r="N169" s="254" t="n"/>
      <c r="O169" s="1183" t="n"/>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73" t="n"/>
      <c r="E170" s="994" t="n"/>
      <c r="F170" s="994" t="n"/>
      <c r="G170" s="973" t="n"/>
      <c r="H170" s="994" t="n"/>
      <c r="I170" s="994" t="n"/>
      <c r="J170" s="973" t="n"/>
      <c r="K170" s="973" t="n"/>
      <c r="L170" s="253" t="n"/>
      <c r="M170" s="254"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73"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73"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73"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75"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496">
        <f>AGOSTO!K175</f>
        <v/>
      </c>
      <c r="E175" s="731" t="n"/>
      <c r="F175" s="731" t="n"/>
      <c r="G175" s="730">
        <f>E175+F175</f>
        <v/>
      </c>
      <c r="H175" s="731" t="n"/>
      <c r="I175" s="731" t="n"/>
      <c r="J175" s="732">
        <f>AM175</f>
        <v/>
      </c>
      <c r="K175" s="738">
        <f>+(D175+G175)-(H175+I175+J175)</f>
        <v/>
      </c>
      <c r="L175" s="253" t="n"/>
      <c r="M175" s="254" t="n"/>
      <c r="N175" s="254" t="n"/>
      <c r="O175" s="1183" t="n"/>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73" t="n"/>
      <c r="E176" s="994" t="n"/>
      <c r="F176" s="994" t="n"/>
      <c r="G176" s="973" t="n"/>
      <c r="H176" s="994" t="n"/>
      <c r="I176" s="994" t="n"/>
      <c r="J176" s="973" t="n"/>
      <c r="K176" s="973" t="n"/>
      <c r="L176" s="253" t="n"/>
      <c r="M176" s="254" t="n"/>
      <c r="N176" s="254" t="n"/>
      <c r="O176" s="1183" t="n"/>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73" t="n"/>
      <c r="E177" s="994" t="n"/>
      <c r="F177" s="994" t="n"/>
      <c r="G177" s="973" t="n"/>
      <c r="H177" s="994" t="n"/>
      <c r="I177" s="994" t="n"/>
      <c r="J177" s="973" t="n"/>
      <c r="K177" s="973" t="n"/>
      <c r="L177" s="253" t="n"/>
      <c r="M177" s="254" t="n"/>
      <c r="N177" s="254" t="n"/>
      <c r="O177" s="1183" t="n"/>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73"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73"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75"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496">
        <f>AGOSTO!K181</f>
        <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73"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73"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73"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73"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75"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496">
        <f>AGOSTO!K187</f>
        <v/>
      </c>
      <c r="E187" s="731" t="n"/>
      <c r="F187" s="731" t="n"/>
      <c r="G187" s="730">
        <f>E187+F187</f>
        <v/>
      </c>
      <c r="H187" s="731" t="n"/>
      <c r="I187" s="731" t="n"/>
      <c r="J187" s="732">
        <f>AM187</f>
        <v/>
      </c>
      <c r="K187" s="738">
        <f>+(D187+G187)-(H187+I187+J187)</f>
        <v/>
      </c>
      <c r="L187" s="253" t="n"/>
      <c r="M187" s="254" t="n"/>
      <c r="N187" s="254" t="n"/>
      <c r="O187" s="1183" t="n"/>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73" t="n"/>
      <c r="E188" s="994" t="n"/>
      <c r="F188" s="994" t="n"/>
      <c r="G188" s="973" t="n"/>
      <c r="H188" s="994" t="n"/>
      <c r="I188" s="994" t="n"/>
      <c r="J188" s="973" t="n"/>
      <c r="K188" s="973" t="n"/>
      <c r="L188" s="253" t="n"/>
      <c r="M188" s="254" t="n"/>
      <c r="N188" s="254" t="n"/>
      <c r="O188" s="1183" t="n"/>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73"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73"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73"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75"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496">
        <f>AGOSTO!K193</f>
        <v/>
      </c>
      <c r="E193" s="731" t="n"/>
      <c r="F193" s="731" t="n"/>
      <c r="G193" s="730">
        <f>E193+F193</f>
        <v/>
      </c>
      <c r="H193" s="731" t="n"/>
      <c r="I193" s="731" t="n"/>
      <c r="J193" s="732">
        <f>AM193</f>
        <v/>
      </c>
      <c r="K193" s="738">
        <f>+(D193+G193)-(H193+I193+J193)</f>
        <v/>
      </c>
      <c r="L193" s="253" t="n"/>
      <c r="M193" s="254" t="n"/>
      <c r="N193" s="254" t="n"/>
      <c r="O193" s="1183" t="n"/>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73"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73"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73"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73"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75"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496">
        <f>AGOSTO!K199</f>
        <v/>
      </c>
      <c r="E199" s="731" t="n"/>
      <c r="F199" s="731" t="n"/>
      <c r="G199" s="730">
        <f>E199+F199</f>
        <v/>
      </c>
      <c r="H199" s="731" t="n"/>
      <c r="I199" s="731" t="n"/>
      <c r="J199" s="732">
        <f>AM199</f>
        <v/>
      </c>
      <c r="K199" s="738">
        <f>+(D199+G199)-(H199+I199+J199)</f>
        <v/>
      </c>
      <c r="L199" s="253" t="n"/>
      <c r="M199" s="254" t="n"/>
      <c r="N199" s="254" t="n"/>
      <c r="O199" s="1183" t="n"/>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73" t="n"/>
      <c r="E200" s="994" t="n"/>
      <c r="F200" s="994" t="n"/>
      <c r="G200" s="973" t="n"/>
      <c r="H200" s="994" t="n"/>
      <c r="I200" s="994" t="n"/>
      <c r="J200" s="973" t="n"/>
      <c r="K200" s="973" t="n"/>
      <c r="L200" s="253" t="n"/>
      <c r="M200" s="254" t="n"/>
      <c r="N200" s="254" t="n"/>
      <c r="O200" s="1183" t="n"/>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73"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73"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73"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75"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496">
        <f>AGOSTO!K205</f>
        <v/>
      </c>
      <c r="E205" s="731" t="n"/>
      <c r="F205" s="731" t="n"/>
      <c r="G205" s="730">
        <f>E205+F205</f>
        <v/>
      </c>
      <c r="H205" s="731" t="n"/>
      <c r="I205" s="731" t="n"/>
      <c r="J205" s="732">
        <f>AM205</f>
        <v/>
      </c>
      <c r="K205" s="738">
        <f>+(D205+G205)-(H205+I205+J205)</f>
        <v/>
      </c>
      <c r="L205" s="253" t="n"/>
      <c r="M205" s="254" t="n"/>
      <c r="N205" s="254" t="n"/>
      <c r="O205" s="1183" t="n"/>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73"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73"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73"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73"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75"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496">
        <f>AGOSTO!K211</f>
        <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73"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73"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73"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73"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75"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496">
        <f>AGOSTO!K217</f>
        <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73"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73"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73"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73"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75"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496">
        <f>AGOSTO!K223</f>
        <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73"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73"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73"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73"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75"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496">
        <f>AGOSTO!K230</f>
        <v/>
      </c>
      <c r="E230" s="731" t="n"/>
      <c r="F230" s="731" t="n"/>
      <c r="G230" s="730">
        <f>E230+F230</f>
        <v/>
      </c>
      <c r="H230" s="731" t="n"/>
      <c r="I230" s="731" t="n"/>
      <c r="J230" s="732">
        <f>AM230</f>
        <v/>
      </c>
      <c r="K230" s="738">
        <f>+(D230+G230)-(H230+I230+J230)</f>
        <v/>
      </c>
      <c r="L230" s="253" t="n"/>
      <c r="M230" s="254" t="n"/>
      <c r="N230" s="254" t="n"/>
      <c r="O230" s="1183" t="n"/>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73" t="n"/>
      <c r="E231" s="994" t="n"/>
      <c r="F231" s="994" t="n"/>
      <c r="G231" s="973" t="n"/>
      <c r="H231" s="994" t="n"/>
      <c r="I231" s="994" t="n"/>
      <c r="J231" s="973" t="n"/>
      <c r="K231" s="973" t="n"/>
      <c r="L231" s="253" t="n"/>
      <c r="M231" s="254" t="n"/>
      <c r="N231" s="254" t="n"/>
      <c r="O231" s="1183" t="n"/>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73" t="n"/>
      <c r="E232" s="994" t="n"/>
      <c r="F232" s="994" t="n"/>
      <c r="G232" s="973" t="n"/>
      <c r="H232" s="994" t="n"/>
      <c r="I232" s="994" t="n"/>
      <c r="J232" s="973" t="n"/>
      <c r="K232" s="973" t="n"/>
      <c r="L232" s="253" t="n"/>
      <c r="M232" s="254" t="n"/>
      <c r="N232" s="254" t="n"/>
      <c r="O232" s="1183" t="n"/>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73"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73"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75" t="n"/>
      <c r="E235" s="998" t="n"/>
      <c r="F235" s="998" t="n"/>
      <c r="G235" s="975" t="n"/>
      <c r="H235" s="998" t="n"/>
      <c r="I235" s="998" t="n"/>
      <c r="J235" s="975" t="n"/>
      <c r="K235" s="1189">
        <f>K230=L235</f>
        <v/>
      </c>
      <c r="L235" s="491">
        <f>SUM(L230:L234)</f>
        <v/>
      </c>
      <c r="M235" s="1190" t="inlineStr">
        <is>
          <t xml:space="preserve">“Verdadero” indica que la cantidad por lote, coincide con el saldo que inicia al mes siguiente. "Falso" no coinicide. </t>
        </is>
      </c>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496">
        <f>AGOSTO!K236</f>
        <v/>
      </c>
      <c r="E236" s="731" t="n"/>
      <c r="F236" s="731" t="n"/>
      <c r="G236" s="730">
        <f>E236+F236</f>
        <v/>
      </c>
      <c r="H236" s="731" t="n"/>
      <c r="I236" s="731" t="n"/>
      <c r="J236" s="732">
        <f>AM236</f>
        <v/>
      </c>
      <c r="K236" s="738">
        <f>+(D236+G236)-(H236+I236+J236)</f>
        <v/>
      </c>
      <c r="L236" s="253" t="n"/>
      <c r="M236" s="254" t="n"/>
      <c r="N236" s="254" t="n"/>
      <c r="O236" s="1183" t="n"/>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73" t="n"/>
      <c r="E237" s="994" t="n"/>
      <c r="F237" s="994" t="n"/>
      <c r="G237" s="973" t="n"/>
      <c r="H237" s="994" t="n"/>
      <c r="I237" s="994" t="n"/>
      <c r="J237" s="973" t="n"/>
      <c r="K237" s="973" t="n"/>
      <c r="L237" s="253" t="n"/>
      <c r="M237" s="254" t="n"/>
      <c r="N237" s="254" t="n"/>
      <c r="O237" s="1183" t="n"/>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73" t="n"/>
      <c r="E238" s="994" t="n"/>
      <c r="F238" s="994" t="n"/>
      <c r="G238" s="973" t="n"/>
      <c r="H238" s="994" t="n"/>
      <c r="I238" s="994" t="n"/>
      <c r="J238" s="973" t="n"/>
      <c r="K238" s="973" t="n"/>
      <c r="L238" s="253" t="n"/>
      <c r="M238" s="254" t="n"/>
      <c r="N238" s="254" t="n"/>
      <c r="O238" s="1183" t="n"/>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73"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73"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75" t="n"/>
      <c r="E241" s="998" t="n"/>
      <c r="F241" s="998" t="n"/>
      <c r="G241" s="975" t="n"/>
      <c r="H241" s="998" t="n"/>
      <c r="I241" s="998" t="n"/>
      <c r="J241" s="975" t="n"/>
      <c r="K241" s="1189">
        <f>K236=L241</f>
        <v/>
      </c>
      <c r="L241" s="491">
        <f>SUM(L236:L240)</f>
        <v/>
      </c>
      <c r="M241" s="1190" t="inlineStr">
        <is>
          <t xml:space="preserve">“Verdadero” indica que la cantidad por lote, coincide con el saldo que inicia al mes siguiente. "Falso" no coinicide. </t>
        </is>
      </c>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496">
        <f>AGOSTO!K242</f>
        <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73"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73"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73"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73"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75" t="n"/>
      <c r="E247" s="998" t="n"/>
      <c r="F247" s="998" t="n"/>
      <c r="G247" s="975" t="n"/>
      <c r="H247" s="998" t="n"/>
      <c r="I247" s="998" t="n"/>
      <c r="J247" s="975" t="n"/>
      <c r="K247" s="1189">
        <f>K242=L247</f>
        <v/>
      </c>
      <c r="L247" s="491">
        <f>SUM(L242:L246)</f>
        <v/>
      </c>
      <c r="M247" s="1190" t="inlineStr">
        <is>
          <t xml:space="preserve">“Verdadero” indica que la cantidad por lote, coincide con el saldo que inicia al mes siguiente. "Falso" no coinicide. </t>
        </is>
      </c>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496">
        <f>AGOSTO!K248</f>
        <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73"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73"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73"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73"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75" t="n"/>
      <c r="E253" s="998" t="n"/>
      <c r="F253" s="998" t="n"/>
      <c r="G253" s="975" t="n"/>
      <c r="H253" s="998" t="n"/>
      <c r="I253" s="998" t="n"/>
      <c r="J253" s="975" t="n"/>
      <c r="K253" s="1189">
        <f>K248=L253</f>
        <v/>
      </c>
      <c r="L253" s="491">
        <f>SUM(L248:L252)</f>
        <v/>
      </c>
      <c r="M253" s="1190" t="inlineStr">
        <is>
          <t xml:space="preserve">“Verdadero” indica que la cantidad por lote, coincide con el saldo que inicia al mes siguiente. "Falso" no coinicide. </t>
        </is>
      </c>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496">
        <f>AGOSTO!K254</f>
        <v/>
      </c>
      <c r="E254" s="731" t="n"/>
      <c r="F254" s="731" t="n"/>
      <c r="G254" s="730">
        <f>E254+F254</f>
        <v/>
      </c>
      <c r="H254" s="731" t="n"/>
      <c r="I254" s="731" t="n"/>
      <c r="J254" s="732">
        <f>AM254</f>
        <v/>
      </c>
      <c r="K254" s="738">
        <f>+(D254+G254)-(H254+I254+J254)</f>
        <v/>
      </c>
      <c r="L254" s="253" t="n"/>
      <c r="M254" s="254" t="n"/>
      <c r="N254" s="254" t="n"/>
      <c r="O254" s="1183" t="n"/>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73" t="n"/>
      <c r="E255" s="994" t="n"/>
      <c r="F255" s="994" t="n"/>
      <c r="G255" s="973" t="n"/>
      <c r="H255" s="994" t="n"/>
      <c r="I255" s="994" t="n"/>
      <c r="J255" s="973" t="n"/>
      <c r="K255" s="973" t="n"/>
      <c r="L255" s="253" t="n"/>
      <c r="M255" s="254" t="n"/>
      <c r="N255" s="254" t="n"/>
      <c r="O255" s="1183" t="n"/>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73" t="n"/>
      <c r="E256" s="994" t="n"/>
      <c r="F256" s="994" t="n"/>
      <c r="G256" s="973" t="n"/>
      <c r="H256" s="994" t="n"/>
      <c r="I256" s="994" t="n"/>
      <c r="J256" s="973" t="n"/>
      <c r="K256" s="973" t="n"/>
      <c r="L256" s="253" t="n"/>
      <c r="M256" s="254" t="n"/>
      <c r="N256" s="254" t="n"/>
      <c r="O256" s="1183" t="n"/>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73" t="n"/>
      <c r="E257" s="994" t="n"/>
      <c r="F257" s="994" t="n"/>
      <c r="G257" s="973" t="n"/>
      <c r="H257" s="994" t="n"/>
      <c r="I257" s="994" t="n"/>
      <c r="J257" s="973" t="n"/>
      <c r="K257" s="973" t="n"/>
      <c r="L257" s="253" t="n"/>
      <c r="M257" s="254" t="n"/>
      <c r="N257" s="254" t="n"/>
      <c r="O257" s="1183" t="n"/>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73"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75" t="n"/>
      <c r="E259" s="998" t="n"/>
      <c r="F259" s="998" t="n"/>
      <c r="G259" s="975" t="n"/>
      <c r="H259" s="998" t="n"/>
      <c r="I259" s="998" t="n"/>
      <c r="J259" s="975" t="n"/>
      <c r="K259" s="1189">
        <f>K254=L259</f>
        <v/>
      </c>
      <c r="L259" s="491">
        <f>SUM(L254:L258)</f>
        <v/>
      </c>
      <c r="M259" s="1190" t="inlineStr">
        <is>
          <t xml:space="preserve">“Verdadero” indica que la cantidad por lote, coincide con el saldo que inicia al mes siguiente. "Falso" no coinicide. </t>
        </is>
      </c>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496">
        <f>AGOSTO!K260</f>
        <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73"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73"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73"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73"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75" t="n"/>
      <c r="E265" s="998" t="n"/>
      <c r="F265" s="998" t="n"/>
      <c r="G265" s="975" t="n"/>
      <c r="H265" s="998" t="n"/>
      <c r="I265" s="998" t="n"/>
      <c r="J265" s="975" t="n"/>
      <c r="K265" s="1189">
        <f>K260=L265</f>
        <v/>
      </c>
      <c r="L265" s="491">
        <f>SUM(L260:L264)</f>
        <v/>
      </c>
      <c r="M265" s="1190" t="inlineStr">
        <is>
          <t xml:space="preserve">“Verdadero” indica que la cantidad por lote, coincide con el saldo que inicia al mes siguiente. "Falso" no coinicide. </t>
        </is>
      </c>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496">
        <f>AGOSTO!K266</f>
        <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73"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73"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73"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73"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75" t="n"/>
      <c r="E271" s="998" t="n"/>
      <c r="F271" s="998" t="n"/>
      <c r="G271" s="975" t="n"/>
      <c r="H271" s="998" t="n"/>
      <c r="I271" s="998" t="n"/>
      <c r="J271" s="975" t="n"/>
      <c r="K271" s="1189">
        <f>K266=L271</f>
        <v/>
      </c>
      <c r="L271" s="491">
        <f>SUM(L266:L270)</f>
        <v/>
      </c>
      <c r="M271" s="1190" t="inlineStr">
        <is>
          <t xml:space="preserve">“Verdadero” indica que la cantidad por lote, coincide con el saldo que inicia al mes siguiente. "Falso" no coinicide. </t>
        </is>
      </c>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496">
        <f>AGOSTO!K272</f>
        <v/>
      </c>
      <c r="E272" s="731" t="n"/>
      <c r="F272" s="731" t="n"/>
      <c r="G272" s="730">
        <f>E272+F272</f>
        <v/>
      </c>
      <c r="H272" s="731" t="n"/>
      <c r="I272" s="731" t="n"/>
      <c r="J272" s="732">
        <f>AM272</f>
        <v/>
      </c>
      <c r="K272" s="738">
        <f>+(D272+G272)-(H272+I272+J272)</f>
        <v/>
      </c>
      <c r="L272" s="253" t="n"/>
      <c r="M272" s="254" t="n"/>
      <c r="N272" s="254" t="n"/>
      <c r="O272" s="1183" t="n"/>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73" t="n"/>
      <c r="E273" s="994" t="n"/>
      <c r="F273" s="994" t="n"/>
      <c r="G273" s="973" t="n"/>
      <c r="H273" s="994" t="n"/>
      <c r="I273" s="994" t="n"/>
      <c r="J273" s="973" t="n"/>
      <c r="K273" s="973" t="n"/>
      <c r="L273" s="253" t="n"/>
      <c r="M273" s="254" t="n"/>
      <c r="N273" s="254" t="n"/>
      <c r="O273" s="1183" t="n"/>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73" t="n"/>
      <c r="E274" s="994" t="n"/>
      <c r="F274" s="994" t="n"/>
      <c r="G274" s="973" t="n"/>
      <c r="H274" s="994" t="n"/>
      <c r="I274" s="994" t="n"/>
      <c r="J274" s="973" t="n"/>
      <c r="K274" s="973" t="n"/>
      <c r="L274" s="253" t="n"/>
      <c r="M274" s="254" t="n"/>
      <c r="N274" s="254" t="n"/>
      <c r="O274" s="1183" t="n"/>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73"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73"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75" t="n"/>
      <c r="E277" s="998" t="n"/>
      <c r="F277" s="998" t="n"/>
      <c r="G277" s="975" t="n"/>
      <c r="H277" s="998" t="n"/>
      <c r="I277" s="998" t="n"/>
      <c r="J277" s="975" t="n"/>
      <c r="K277" s="1189">
        <f>K272=L277</f>
        <v/>
      </c>
      <c r="L277" s="491">
        <f>SUM(L272:L276)</f>
        <v/>
      </c>
      <c r="M277" s="1190" t="inlineStr">
        <is>
          <t xml:space="preserve">“Verdadero” indica que la cantidad por lote, coincide con el saldo que inicia al mes siguiente. "Falso" no coinicide. </t>
        </is>
      </c>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496">
        <f>AGOSTO!K278</f>
        <v/>
      </c>
      <c r="E278" s="731" t="n"/>
      <c r="F278" s="731" t="n"/>
      <c r="G278" s="730">
        <f>E278+F278</f>
        <v/>
      </c>
      <c r="H278" s="731" t="n"/>
      <c r="I278" s="731" t="n"/>
      <c r="J278" s="732">
        <f>AM278</f>
        <v/>
      </c>
      <c r="K278" s="738">
        <f>+(D278+G278)-(H278+I278+J278)</f>
        <v/>
      </c>
      <c r="L278" s="253" t="n"/>
      <c r="M278" s="254" t="n"/>
      <c r="N278" s="254" t="n"/>
      <c r="O278" s="1183" t="n"/>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73" t="n"/>
      <c r="E279" s="994" t="n"/>
      <c r="F279" s="994" t="n"/>
      <c r="G279" s="973" t="n"/>
      <c r="H279" s="994" t="n"/>
      <c r="I279" s="994" t="n"/>
      <c r="J279" s="973" t="n"/>
      <c r="K279" s="973" t="n"/>
      <c r="L279" s="253" t="n"/>
      <c r="M279" s="254" t="n"/>
      <c r="N279" s="254" t="n"/>
      <c r="O279" s="1183" t="n"/>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73"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73"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73"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75" t="n"/>
      <c r="E283" s="998" t="n"/>
      <c r="F283" s="998" t="n"/>
      <c r="G283" s="975" t="n"/>
      <c r="H283" s="998" t="n"/>
      <c r="I283" s="998" t="n"/>
      <c r="J283" s="975" t="n"/>
      <c r="K283" s="1189">
        <f>K278=L283</f>
        <v/>
      </c>
      <c r="L283" s="491">
        <f>SUM(L278:L282)</f>
        <v/>
      </c>
      <c r="M283" s="1190" t="inlineStr">
        <is>
          <t xml:space="preserve">“Verdadero” indica que la cantidad por lote, coincide con el saldo que inicia al mes siguiente. "Falso" no coinicide. </t>
        </is>
      </c>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496">
        <f>AGOSTO!K284</f>
        <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73"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73"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73"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73"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75" t="n"/>
      <c r="E289" s="998" t="n"/>
      <c r="F289" s="998" t="n"/>
      <c r="G289" s="975" t="n"/>
      <c r="H289" s="998" t="n"/>
      <c r="I289" s="998" t="n"/>
      <c r="J289" s="975" t="n"/>
      <c r="K289" s="1189">
        <f>K284=L289</f>
        <v/>
      </c>
      <c r="L289" s="491">
        <f>SUM(L284:L288)</f>
        <v/>
      </c>
      <c r="M289" s="1190" t="inlineStr">
        <is>
          <t xml:space="preserve">“Verdadero” indica que la cantidad por lote, coincide con el saldo que inicia al mes siguiente. "Falso" no coinicide. </t>
        </is>
      </c>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496">
        <f>AGOSTO!K290</f>
        <v/>
      </c>
      <c r="E290" s="731" t="n"/>
      <c r="F290" s="731" t="n"/>
      <c r="G290" s="730">
        <f>E290+F290</f>
        <v/>
      </c>
      <c r="H290" s="731" t="n"/>
      <c r="I290" s="731" t="n"/>
      <c r="J290" s="732">
        <f>AM290</f>
        <v/>
      </c>
      <c r="K290" s="738">
        <f>+(D290+G290)-(H290+I290+J290)</f>
        <v/>
      </c>
      <c r="L290" s="253" t="n"/>
      <c r="M290" s="254" t="n"/>
      <c r="N290" s="254" t="n"/>
      <c r="O290" s="1183" t="n"/>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73" t="n"/>
      <c r="E291" s="994" t="n"/>
      <c r="F291" s="994" t="n"/>
      <c r="G291" s="973" t="n"/>
      <c r="H291" s="994" t="n"/>
      <c r="I291" s="994" t="n"/>
      <c r="J291" s="973" t="n"/>
      <c r="K291" s="973" t="n"/>
      <c r="L291" s="253" t="n"/>
      <c r="M291" s="254" t="n"/>
      <c r="N291" s="254" t="n"/>
      <c r="O291" s="1183" t="n"/>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73"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73"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73"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75" t="n"/>
      <c r="E295" s="998" t="n"/>
      <c r="F295" s="998" t="n"/>
      <c r="G295" s="975" t="n"/>
      <c r="H295" s="998" t="n"/>
      <c r="I295" s="998" t="n"/>
      <c r="J295" s="975" t="n"/>
      <c r="K295" s="1189">
        <f>K290=L295</f>
        <v/>
      </c>
      <c r="L295" s="491">
        <f>SUM(L290:L294)</f>
        <v/>
      </c>
      <c r="M295" s="1190" t="inlineStr">
        <is>
          <t xml:space="preserve">“Verdadero” indica que la cantidad por lote, coincide con el saldo que inicia al mes siguiente. "Falso" no coinicide. </t>
        </is>
      </c>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496">
        <f>AGOSTO!K296</f>
        <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73"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73"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73"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73"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75" t="n"/>
      <c r="E301" s="998" t="n"/>
      <c r="F301" s="998" t="n"/>
      <c r="G301" s="975" t="n"/>
      <c r="H301" s="998" t="n"/>
      <c r="I301" s="998" t="n"/>
      <c r="J301" s="975" t="n"/>
      <c r="K301" s="1189">
        <f>K296=L301</f>
        <v/>
      </c>
      <c r="L301" s="491">
        <f>SUM(L296:L300)</f>
        <v/>
      </c>
      <c r="M301" s="1190" t="inlineStr">
        <is>
          <t xml:space="preserve">“Verdadero” indica que la cantidad por lote, coincide con el saldo que inicia al mes siguiente. "Falso" no coinicide. </t>
        </is>
      </c>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647" t="inlineStr">
        <is>
          <t>JERINGAS</t>
        </is>
      </c>
      <c r="C302" s="967" t="n"/>
      <c r="D302" s="1257"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496">
        <f>AGOSTO!K303</f>
        <v/>
      </c>
      <c r="E303" s="731" t="n"/>
      <c r="F303" s="731" t="n"/>
      <c r="G303" s="730">
        <f>E303+F303</f>
        <v/>
      </c>
      <c r="H303" s="731" t="n"/>
      <c r="I303" s="731" t="n"/>
      <c r="J303" s="732">
        <f>+AM303</f>
        <v/>
      </c>
      <c r="K303" s="706">
        <f>+(D303+G303)-(H303+I303+J303)</f>
        <v/>
      </c>
      <c r="L303" s="253" t="n"/>
      <c r="M303" s="254" t="n"/>
      <c r="N303" s="254" t="n"/>
      <c r="O303" s="1183" t="n"/>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73"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73" t="n"/>
      <c r="E305" s="994" t="n"/>
      <c r="F305" s="994" t="n"/>
      <c r="G305" s="973" t="n"/>
      <c r="H305" s="994" t="n"/>
      <c r="I305" s="994" t="n"/>
      <c r="J305" s="973" t="n"/>
      <c r="K305" s="973" t="n"/>
      <c r="L305" s="253" t="n"/>
      <c r="M305" s="254" t="n"/>
      <c r="N305" s="254" t="n"/>
      <c r="O305" s="1183" t="n"/>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73"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73"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73"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75" t="n"/>
      <c r="E309" s="998" t="n"/>
      <c r="F309" s="998" t="n"/>
      <c r="G309" s="975" t="n"/>
      <c r="H309" s="998" t="n"/>
      <c r="I309" s="998" t="n"/>
      <c r="J309" s="975" t="n"/>
      <c r="K309" s="1189">
        <f>K303=L309</f>
        <v/>
      </c>
      <c r="L309" s="491">
        <f>SUM(L303:L308)</f>
        <v/>
      </c>
      <c r="M309" s="1190" t="inlineStr">
        <is>
          <t xml:space="preserve">“Verdadero” indica que la cantidad por lote, coincide con el saldo que inicia al mes siguiente. "Falso" no coinicide. </t>
        </is>
      </c>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496">
        <f>AGOSTO!K310</f>
        <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73"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73"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73"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73"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73"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75" t="n"/>
      <c r="E316" s="998" t="n"/>
      <c r="F316" s="998" t="n"/>
      <c r="G316" s="975" t="n"/>
      <c r="H316" s="998" t="n"/>
      <c r="I316" s="998" t="n"/>
      <c r="J316" s="975" t="n"/>
      <c r="K316" s="1189">
        <f>K310=L316</f>
        <v/>
      </c>
      <c r="L316" s="491">
        <f>SUM(L310:L315)</f>
        <v/>
      </c>
      <c r="M316" s="1190" t="inlineStr">
        <is>
          <t xml:space="preserve">“Verdadero” indica que la cantidad por lote, coincide con el saldo que inicia al mes siguiente. "Falso" no coinicide. </t>
        </is>
      </c>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496">
        <f>AGOSTO!K317</f>
        <v/>
      </c>
      <c r="E317" s="731" t="n"/>
      <c r="F317" s="731" t="n"/>
      <c r="G317" s="730">
        <f>E317+F317</f>
        <v/>
      </c>
      <c r="H317" s="731" t="n"/>
      <c r="I317" s="731" t="n"/>
      <c r="J317" s="732">
        <f>+AM317</f>
        <v/>
      </c>
      <c r="K317" s="706">
        <f>+(D317+G317)-(H317+I317+J317)</f>
        <v/>
      </c>
      <c r="L317" s="253" t="n"/>
      <c r="M317" s="254" t="n"/>
      <c r="N317" s="254" t="n"/>
      <c r="O317" s="1183" t="n"/>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73" t="n"/>
      <c r="E318" s="994" t="n"/>
      <c r="F318" s="994" t="n"/>
      <c r="G318" s="973" t="n"/>
      <c r="H318" s="994" t="n"/>
      <c r="I318" s="994" t="n"/>
      <c r="J318" s="973" t="n"/>
      <c r="K318" s="973" t="n"/>
      <c r="L318" s="253" t="n"/>
      <c r="M318" s="254" t="n"/>
      <c r="N318" s="254" t="n"/>
      <c r="O318" s="1183" t="n"/>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73" t="n"/>
      <c r="E319" s="994" t="n"/>
      <c r="F319" s="994" t="n"/>
      <c r="G319" s="973" t="n"/>
      <c r="H319" s="994" t="n"/>
      <c r="I319" s="994" t="n"/>
      <c r="J319" s="973" t="n"/>
      <c r="K319" s="973" t="n"/>
      <c r="L319" s="253" t="n"/>
      <c r="M319" s="254" t="n"/>
      <c r="N319" s="254" t="n"/>
      <c r="O319" s="1183" t="n"/>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73"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73"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73"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75" t="n"/>
      <c r="E323" s="998" t="n"/>
      <c r="F323" s="998" t="n"/>
      <c r="G323" s="975" t="n"/>
      <c r="H323" s="998" t="n"/>
      <c r="I323" s="998" t="n"/>
      <c r="J323" s="975" t="n"/>
      <c r="K323" s="1189">
        <f>K317=L323</f>
        <v/>
      </c>
      <c r="L323" s="491">
        <f>SUM(L317:L322)</f>
        <v/>
      </c>
      <c r="M323" s="1190" t="inlineStr">
        <is>
          <t xml:space="preserve">“Verdadero” indica que la cantidad por lote, coincide con el saldo que inicia al mes siguiente. "Falso" no coinicide. </t>
        </is>
      </c>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496">
        <f>AGOSTO!K324</f>
        <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73"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73"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73"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73"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73"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75"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496">
        <f>AGOSTO!K331</f>
        <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73"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73"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73"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73"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73"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75" t="n"/>
      <c r="E337" s="998" t="n"/>
      <c r="F337" s="998" t="n"/>
      <c r="G337" s="975" t="n"/>
      <c r="H337" s="998" t="n"/>
      <c r="I337" s="998" t="n"/>
      <c r="J337" s="975" t="n"/>
      <c r="K337" s="1189">
        <f>K331=L337</f>
        <v/>
      </c>
      <c r="L337" s="491">
        <f>SUM(L331:L336)</f>
        <v/>
      </c>
      <c r="M337" s="1190" t="inlineStr">
        <is>
          <t xml:space="preserve">“Verdadero” indica que la cantidad por lote, coincide con el saldo que inicia al mes siguiente. "Falso" no coinicide. </t>
        </is>
      </c>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496">
        <f>AGOSTO!K338</f>
        <v/>
      </c>
      <c r="E338" s="731" t="n"/>
      <c r="F338" s="731" t="n"/>
      <c r="G338" s="730">
        <f>E338+F338</f>
        <v/>
      </c>
      <c r="H338" s="731" t="n"/>
      <c r="I338" s="731" t="n"/>
      <c r="J338" s="732">
        <f>+AM338</f>
        <v/>
      </c>
      <c r="K338" s="706">
        <f>+(D338+G338)-(H338+I338+J338)</f>
        <v/>
      </c>
      <c r="L338" s="253" t="n"/>
      <c r="M338" s="254" t="n"/>
      <c r="N338" s="254" t="n"/>
      <c r="O338" s="1183" t="n"/>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73" t="n"/>
      <c r="E339" s="994" t="n"/>
      <c r="F339" s="994" t="n"/>
      <c r="G339" s="973" t="n"/>
      <c r="H339" s="994" t="n"/>
      <c r="I339" s="994" t="n"/>
      <c r="J339" s="973" t="n"/>
      <c r="K339" s="973" t="n"/>
      <c r="L339" s="253" t="n"/>
      <c r="M339" s="254" t="n"/>
      <c r="N339" s="254" t="n"/>
      <c r="O339" s="1183" t="n"/>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73" t="n"/>
      <c r="E340" s="994" t="n"/>
      <c r="F340" s="994" t="n"/>
      <c r="G340" s="973" t="n"/>
      <c r="H340" s="994" t="n"/>
      <c r="I340" s="994" t="n"/>
      <c r="J340" s="973" t="n"/>
      <c r="K340" s="973" t="n"/>
      <c r="L340" s="253" t="n"/>
      <c r="M340" s="254" t="n"/>
      <c r="N340" s="254" t="n"/>
      <c r="O340" s="1183" t="n"/>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73"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73"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73"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75" t="n"/>
      <c r="E344" s="998" t="n"/>
      <c r="F344" s="998" t="n"/>
      <c r="G344" s="975" t="n"/>
      <c r="H344" s="998" t="n"/>
      <c r="I344" s="998" t="n"/>
      <c r="J344" s="975" t="n"/>
      <c r="K344" s="1189">
        <f>K338=L344</f>
        <v/>
      </c>
      <c r="L344" s="491">
        <f>SUM(L338:L343)</f>
        <v/>
      </c>
      <c r="M344" s="1190" t="inlineStr">
        <is>
          <t xml:space="preserve">“Verdadero” indica que la cantidad por lote, coincide con el saldo que inicia al mes siguiente. "Falso" no coinicide. </t>
        </is>
      </c>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496">
        <f>AGOSTO!K345</f>
        <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73"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73"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73"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73"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73"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75" t="n"/>
      <c r="E351" s="998" t="n"/>
      <c r="F351" s="998" t="n"/>
      <c r="G351" s="975" t="n"/>
      <c r="H351" s="998" t="n"/>
      <c r="I351" s="998" t="n"/>
      <c r="J351" s="975" t="n"/>
      <c r="K351" s="1189">
        <f>K345=L351</f>
        <v/>
      </c>
      <c r="L351" s="491">
        <f>SUM(L345:L350)</f>
        <v/>
      </c>
      <c r="M351" s="1190" t="inlineStr">
        <is>
          <t xml:space="preserve">“Verdadero” indica que la cantidad por lote, coincide con el saldo que inicia al mes siguiente. "Falso" no coinicide. </t>
        </is>
      </c>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496">
        <f>AGOSTO!K352</f>
        <v/>
      </c>
      <c r="E352" s="731" t="n"/>
      <c r="F352" s="731" t="n"/>
      <c r="G352" s="730">
        <f>E352+F352</f>
        <v/>
      </c>
      <c r="H352" s="731" t="n"/>
      <c r="I352" s="731" t="n"/>
      <c r="J352" s="732">
        <f>AM352</f>
        <v/>
      </c>
      <c r="K352" s="706">
        <f>+(D352+G352)-(H352+I352+J352)</f>
        <v/>
      </c>
      <c r="L352" s="253" t="n"/>
      <c r="M352" s="254" t="n"/>
      <c r="N352" s="254" t="n"/>
      <c r="O352" s="1183" t="n"/>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73" t="n"/>
      <c r="E353" s="994" t="n"/>
      <c r="F353" s="994" t="n"/>
      <c r="G353" s="973" t="n"/>
      <c r="H353" s="994" t="n"/>
      <c r="I353" s="994" t="n"/>
      <c r="J353" s="973" t="n"/>
      <c r="K353" s="973" t="n"/>
      <c r="L353" s="253" t="n"/>
      <c r="M353" s="254" t="n"/>
      <c r="N353" s="254" t="n"/>
      <c r="O353" s="1183" t="n"/>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73" t="n"/>
      <c r="E354" s="994" t="n"/>
      <c r="F354" s="994" t="n"/>
      <c r="G354" s="973" t="n"/>
      <c r="H354" s="994" t="n"/>
      <c r="I354" s="994" t="n"/>
      <c r="J354" s="973" t="n"/>
      <c r="K354" s="973" t="n"/>
      <c r="L354" s="253" t="n"/>
      <c r="M354" s="254" t="n"/>
      <c r="N354" s="254" t="n"/>
      <c r="O354" s="1183" t="n"/>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73"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73"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73"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75" t="n"/>
      <c r="E358" s="998" t="n"/>
      <c r="F358" s="998" t="n"/>
      <c r="G358" s="975" t="n"/>
      <c r="H358" s="998" t="n"/>
      <c r="I358" s="998" t="n"/>
      <c r="J358" s="975" t="n"/>
      <c r="K358" s="1189">
        <f>K352=L358</f>
        <v/>
      </c>
      <c r="L358" s="491">
        <f>SUM(L352:L357)</f>
        <v/>
      </c>
      <c r="M358" s="1190" t="inlineStr">
        <is>
          <t xml:space="preserve">“Verdadero” indica que la cantidad por lote, coincide con el saldo que inicia al mes siguiente. "Falso" no coinicide. </t>
        </is>
      </c>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496">
        <f>AGOSTO!K359</f>
        <v/>
      </c>
      <c r="E359" s="731" t="n"/>
      <c r="F359" s="731" t="n"/>
      <c r="G359" s="730">
        <f>E359+F359</f>
        <v/>
      </c>
      <c r="H359" s="731" t="n"/>
      <c r="I359" s="731" t="n"/>
      <c r="J359" s="732">
        <f>AM359</f>
        <v/>
      </c>
      <c r="K359" s="706">
        <f>+(D359+G359)-(H359+I359+J359)</f>
        <v/>
      </c>
      <c r="L359" s="253" t="n"/>
      <c r="M359" s="254" t="n"/>
      <c r="N359" s="254" t="n"/>
      <c r="O359" s="1183" t="n"/>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73" t="n"/>
      <c r="E360" s="994" t="n"/>
      <c r="F360" s="994" t="n"/>
      <c r="G360" s="973" t="n"/>
      <c r="H360" s="994" t="n"/>
      <c r="I360" s="994" t="n"/>
      <c r="J360" s="973" t="n"/>
      <c r="K360" s="973" t="n"/>
      <c r="L360" s="253" t="n"/>
      <c r="M360" s="254" t="n"/>
      <c r="N360" s="254" t="n"/>
      <c r="O360" s="1183" t="n"/>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73" t="n"/>
      <c r="E361" s="994" t="n"/>
      <c r="F361" s="994" t="n"/>
      <c r="G361" s="973" t="n"/>
      <c r="H361" s="994" t="n"/>
      <c r="I361" s="994" t="n"/>
      <c r="J361" s="973" t="n"/>
      <c r="K361" s="973" t="n"/>
      <c r="L361" s="253" t="n"/>
      <c r="M361" s="254" t="n"/>
      <c r="N361" s="254" t="n"/>
      <c r="O361" s="1183" t="n"/>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73" t="n"/>
      <c r="E362" s="994" t="n"/>
      <c r="F362" s="994" t="n"/>
      <c r="G362" s="973" t="n"/>
      <c r="H362" s="994" t="n"/>
      <c r="I362" s="994" t="n"/>
      <c r="J362" s="973" t="n"/>
      <c r="K362" s="973" t="n"/>
      <c r="L362" s="253" t="n"/>
      <c r="M362" s="254" t="n"/>
      <c r="N362" s="254" t="n"/>
      <c r="O362" s="1183" t="n"/>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73"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73"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75" t="n"/>
      <c r="E365" s="998" t="n"/>
      <c r="F365" s="998" t="n"/>
      <c r="G365" s="975" t="n"/>
      <c r="H365" s="998" t="n"/>
      <c r="I365" s="998" t="n"/>
      <c r="J365" s="975" t="n"/>
      <c r="K365" s="1189">
        <f>K359=L365</f>
        <v/>
      </c>
      <c r="L365" s="491">
        <f>SUM(L359:L364)</f>
        <v/>
      </c>
      <c r="M365" s="1190" t="inlineStr">
        <is>
          <t xml:space="preserve">“Verdadero” indica que la cantidad por lote, coincide con el saldo que inicia al mes siguiente. "Falso" no coinicide. </t>
        </is>
      </c>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496">
        <f>AGOSTO!K366</f>
        <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73"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73"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73"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73"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73"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75"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496">
        <f>AGOSTO!K373</f>
        <v/>
      </c>
      <c r="E373" s="731" t="n"/>
      <c r="F373" s="731" t="n"/>
      <c r="G373" s="730">
        <f>E373+F373</f>
        <v/>
      </c>
      <c r="H373" s="731" t="n"/>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496">
        <f>AGOSTO!K374</f>
        <v/>
      </c>
      <c r="E374" s="731" t="n"/>
      <c r="F374" s="731" t="n"/>
      <c r="G374" s="730">
        <f>E374+F374</f>
        <v/>
      </c>
      <c r="H374" s="731" t="n"/>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496">
        <f>AGOSTO!K375</f>
        <v/>
      </c>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496">
        <f>AGOSTO!K376</f>
        <v/>
      </c>
      <c r="E376" s="731" t="n"/>
      <c r="F376" s="731" t="n"/>
      <c r="G376" s="730">
        <f>E376+F376</f>
        <v/>
      </c>
      <c r="H376" s="731" t="n"/>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496">
        <f>AGOSTO!K377</f>
        <v/>
      </c>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496">
        <f>AGOSTO!K378</f>
        <v/>
      </c>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496">
        <f>AGOSTO!K379</f>
        <v/>
      </c>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623" t="inlineStr">
        <is>
          <t>ÍTEM</t>
        </is>
      </c>
      <c r="B381" s="719" t="inlineStr">
        <is>
          <t>VACUNA COVID-19</t>
        </is>
      </c>
      <c r="C381" s="965" t="n"/>
      <c r="D381" s="716" t="inlineStr">
        <is>
          <t>SALDO MES ANTERIOR</t>
        </is>
      </c>
      <c r="E381" s="1179" t="inlineStr">
        <is>
          <t>ENTRADA</t>
        </is>
      </c>
      <c r="F381" s="1180" t="n"/>
      <c r="G381" s="965" t="n"/>
      <c r="H381" s="715" t="inlineStr">
        <is>
          <t>SALIDAS</t>
        </is>
      </c>
      <c r="I381" s="968" t="n"/>
      <c r="J381" s="967" t="n"/>
      <c r="K381" s="623" t="inlineStr">
        <is>
          <t>SALDO QUE INICIA EL MES SIGUIENTE</t>
        </is>
      </c>
      <c r="L381" s="623" t="inlineStr">
        <is>
          <t>DOSIS POR LOTES</t>
        </is>
      </c>
      <c r="M381" s="623" t="inlineStr">
        <is>
          <t xml:space="preserve">No. LOTE </t>
        </is>
      </c>
      <c r="N381" s="623" t="inlineStr">
        <is>
          <t>LABORATORIO</t>
        </is>
      </c>
      <c r="O381" s="623" t="inlineStr">
        <is>
          <t>FECHA DE VENCIMIENTO</t>
        </is>
      </c>
      <c r="P381" s="623" t="inlineStr">
        <is>
          <t>SEMAFORIZACION VIDA  ÚTIL DEL BIOLÓGICO</t>
        </is>
      </c>
      <c r="Q381" s="623" t="inlineStr">
        <is>
          <t>CONDICIÓN FINAL DEL BIOLÓGICO, DILUYENTE Y CARNET</t>
        </is>
      </c>
      <c r="R381" s="613" t="inlineStr">
        <is>
          <t>DOSIS EN CUARENTENA</t>
        </is>
      </c>
      <c r="S381" s="613" t="inlineStr">
        <is>
          <t>LABORATORIO</t>
        </is>
      </c>
      <c r="T381" s="613" t="inlineStr">
        <is>
          <t>No. LOTE</t>
        </is>
      </c>
      <c r="U381" s="613" t="inlineStr">
        <is>
          <t>FECHA DE VENCIMEINTO</t>
        </is>
      </c>
      <c r="V381" s="613" t="inlineStr">
        <is>
          <t>FECHA DE INICIO CUARENTENA</t>
        </is>
      </c>
      <c r="W381" s="613" t="inlineStr">
        <is>
          <t>OBSERVACIONES</t>
        </is>
      </c>
      <c r="X381" s="250" t="n"/>
      <c r="Z381" s="1221" t="inlineStr">
        <is>
          <t>MOTIVOS DE NO USO DE VACUNAS CONTRA LA COVID-19
RESOLUCIÓN 0118 DEL 27 DE ENERO DE 2026
DISPONIBLE EN EL SIGUIENTE LINK: https://www.minsalud.gov.co/Normatividad_Nuevo/Resolucion%20No%20118%20de%202026.pdf</t>
        </is>
      </c>
      <c r="AA381" s="968" t="n"/>
      <c r="AB381" s="968" t="n"/>
      <c r="AC381" s="968" t="n"/>
      <c r="AD381" s="968" t="n"/>
      <c r="AE381" s="968" t="n"/>
      <c r="AF381" s="968" t="n"/>
      <c r="AG381" s="968" t="n"/>
      <c r="AH381" s="968" t="n"/>
      <c r="AI381" s="968" t="n"/>
      <c r="AJ381" s="968" t="n"/>
      <c r="AK381" s="968" t="n"/>
      <c r="AL381" s="967" t="n"/>
      <c r="AM381" s="532" t="inlineStr">
        <is>
          <t xml:space="preserve">TOTAL DOSIS PERDIDAS        </t>
        </is>
      </c>
      <c r="AN381" s="478" t="n"/>
      <c r="AO381" s="368" t="n"/>
      <c r="AU381" s="251" t="n"/>
      <c r="AV381" s="251" t="n"/>
    </row>
    <row r="382" ht="28.5" customHeight="1">
      <c r="A382" s="973" t="n"/>
      <c r="B382" s="971" t="n"/>
      <c r="C382" s="972" t="n"/>
      <c r="D382" s="973" t="n"/>
      <c r="E382" s="623" t="inlineStr">
        <is>
          <t>DOSIS RECIBIDAS DEL ALMACÉN CENTRAL DEL MSPS</t>
        </is>
      </c>
      <c r="F382" s="623" t="inlineStr">
        <is>
          <t>DOSIS RECIBIDAS X TRASLADO DEL CA DEPARTAMENTAL O DISTRITAL</t>
        </is>
      </c>
      <c r="G382" s="623" t="inlineStr">
        <is>
          <t>TOTAL ENTRADAS</t>
        </is>
      </c>
      <c r="H382" s="711" t="inlineStr">
        <is>
          <t>DOSIS DESPACHADAS A LOS MUNICIPIOS / DISTRITOS A IPS</t>
        </is>
      </c>
      <c r="I382" s="711" t="inlineStr">
        <is>
          <t>DOSIS TRASLADADAS A OTROS DEPARTAMENTOS O DISTRITOS</t>
        </is>
      </c>
      <c r="J382" s="716" t="inlineStr">
        <is>
          <t>DOSIS PERDIDAS</t>
        </is>
      </c>
      <c r="K382" s="973" t="n"/>
      <c r="L382" s="973" t="n"/>
      <c r="M382" s="973" t="n"/>
      <c r="N382" s="973" t="n"/>
      <c r="O382" s="973" t="n"/>
      <c r="P382" s="973" t="n"/>
      <c r="Q382" s="973" t="n"/>
      <c r="R382" s="973" t="n"/>
      <c r="S382" s="973" t="n"/>
      <c r="T382" s="973" t="n"/>
      <c r="U382" s="973" t="n"/>
      <c r="V382" s="973" t="n"/>
      <c r="W382" s="973" t="n"/>
      <c r="X382" s="250" t="n"/>
      <c r="Y382" s="252" t="n"/>
      <c r="Z382" s="533" t="n">
        <v>1</v>
      </c>
      <c r="AA382" s="967" t="n"/>
      <c r="AB382" s="533" t="n">
        <v>2</v>
      </c>
      <c r="AC382" s="533" t="n">
        <v>3</v>
      </c>
      <c r="AD382" s="533" t="n">
        <v>4</v>
      </c>
      <c r="AE382" s="533" t="n">
        <v>5</v>
      </c>
      <c r="AF382" s="533" t="n">
        <v>6</v>
      </c>
      <c r="AG382" s="533" t="n">
        <v>7</v>
      </c>
      <c r="AH382" s="533" t="n">
        <v>8</v>
      </c>
      <c r="AI382" s="533" t="n">
        <v>9</v>
      </c>
      <c r="AJ382" s="533" t="n">
        <v>10</v>
      </c>
      <c r="AK382" s="533" t="n">
        <v>11</v>
      </c>
      <c r="AL382" s="533" t="n">
        <v>12</v>
      </c>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inlineStr">
        <is>
          <t>POLÍTICA DE FRASCOS ABIERTO</t>
        </is>
      </c>
      <c r="AA383" s="967" t="n"/>
      <c r="AB383" s="1222" t="inlineStr">
        <is>
          <t>INTERRUPCIÓN DE LA CADENA DE FRÍO</t>
        </is>
      </c>
      <c r="AC383" s="537" t="inlineStr">
        <is>
          <t>CONTAMINACIÓN DEL BIOLÓGICO</t>
        </is>
      </c>
      <c r="AD383" s="1222" t="inlineStr">
        <is>
          <t>ERROR EN LA MANIPULACIÓN</t>
        </is>
      </c>
      <c r="AE383" s="537" t="inlineStr">
        <is>
          <t>ERROR EN LA RECONSTITUCIÓN/DILUCIÓN</t>
        </is>
      </c>
      <c r="AF383" s="1222" t="inlineStr">
        <is>
          <t>ERROR EN LA DOSIFICACIÓN</t>
        </is>
      </c>
      <c r="AG383" s="537" t="inlineStr">
        <is>
          <t>VACUNA QUE EXCEDE EL TIEMPO DE ALMACENAMIENTO EN REFRIGERACIÓN</t>
        </is>
      </c>
      <c r="AH383" s="1222" t="inlineStr">
        <is>
          <t>VENCIMIENTO DEL BIOLÓGICO</t>
        </is>
      </c>
      <c r="AI383" s="537" t="inlineStr">
        <is>
          <t>FRASCO VIAL ROTO</t>
        </is>
      </c>
      <c r="AJ383" s="1222" t="inlineStr">
        <is>
          <t>FALLAS DE FABRICACIÓN/CALIDAD</t>
        </is>
      </c>
      <c r="AK383" s="537" t="inlineStr">
        <is>
          <t>SINIESTRO / ACCIDENTE</t>
        </is>
      </c>
      <c r="AL383" s="1222" t="inlineStr">
        <is>
          <t>ROBO/HURTO BIOLÓGICO</t>
        </is>
      </c>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496">
        <f>AGOSTO!K385</f>
        <v/>
      </c>
      <c r="E385" s="731" t="n"/>
      <c r="F385" s="731" t="n"/>
      <c r="G385" s="730">
        <f>E385+F385</f>
        <v/>
      </c>
      <c r="H385" s="731" t="n"/>
      <c r="I385" s="731" t="n"/>
      <c r="J385" s="732">
        <f>AM385</f>
        <v/>
      </c>
      <c r="K385" s="706">
        <f>+(D385+G385)-(H385+I385+J385)</f>
        <v/>
      </c>
      <c r="L385" s="486" t="n"/>
      <c r="M385" s="487" t="n"/>
      <c r="N385" s="487" t="n"/>
      <c r="O385" s="1223" t="n"/>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73"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73"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73"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75" t="n"/>
      <c r="E389" s="998" t="n"/>
      <c r="F389" s="998" t="n"/>
      <c r="G389" s="975" t="n"/>
      <c r="H389" s="998" t="n"/>
      <c r="I389" s="998" t="n"/>
      <c r="J389" s="975" t="n"/>
      <c r="K389" s="1189">
        <f>K385=L389</f>
        <v/>
      </c>
      <c r="L389" s="491">
        <f>SUM(L385:L388)</f>
        <v/>
      </c>
      <c r="M389" s="1190" t="inlineStr">
        <is>
          <t xml:space="preserve">“Verdadero” indica que la cantidad por lote, coincide con el saldo que inicia al mes siguiente. "Falso" no coinicide. </t>
        </is>
      </c>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496">
        <f>AGOSTO!K390</f>
        <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73"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73"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73"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75" t="n"/>
      <c r="E394" s="998" t="n"/>
      <c r="F394" s="998" t="n"/>
      <c r="G394" s="975" t="n"/>
      <c r="H394" s="998" t="n"/>
      <c r="I394" s="998" t="n"/>
      <c r="J394" s="975" t="n"/>
      <c r="K394" s="1189">
        <f>K390=L394</f>
        <v/>
      </c>
      <c r="L394" s="491">
        <f>SUM(L390:L393)</f>
        <v/>
      </c>
      <c r="M394" s="1190" t="inlineStr">
        <is>
          <t xml:space="preserve">“Verdadero” indica que la cantidad por lote, coincide con el saldo que inicia al mes siguiente. "Falso" no coinicide. </t>
        </is>
      </c>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496">
        <f>AGOSTO!K395</f>
        <v/>
      </c>
      <c r="E395" s="731" t="n"/>
      <c r="F395" s="731" t="n"/>
      <c r="G395" s="730">
        <f>E395+F395</f>
        <v/>
      </c>
      <c r="H395" s="731" t="n"/>
      <c r="I395" s="731" t="n"/>
      <c r="J395" s="732">
        <f>AM395</f>
        <v/>
      </c>
      <c r="K395" s="706">
        <f>+(D395+G395)-(H395+I395+J395)</f>
        <v/>
      </c>
      <c r="L395" s="486" t="n"/>
      <c r="M395" s="487" t="n"/>
      <c r="N395" s="487" t="n"/>
      <c r="O395" s="1223" t="n"/>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73"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73"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73"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75" t="n"/>
      <c r="E399" s="998" t="n"/>
      <c r="F399" s="998" t="n"/>
      <c r="G399" s="975" t="n"/>
      <c r="H399" s="998" t="n"/>
      <c r="I399" s="998" t="n"/>
      <c r="J399" s="975" t="n"/>
      <c r="K399" s="1189">
        <f>K395=L399</f>
        <v/>
      </c>
      <c r="L399" s="491">
        <f>SUM(L395:L398)</f>
        <v/>
      </c>
      <c r="M399" s="1190" t="inlineStr">
        <is>
          <t xml:space="preserve">“Verdadero” indica que la cantidad por lote, coincide con el saldo que inicia al mes siguiente. "Falso" no coinicide. </t>
        </is>
      </c>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496">
        <f>AGOSTO!K400</f>
        <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73"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73"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73"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75" t="n"/>
      <c r="E404" s="998" t="n"/>
      <c r="F404" s="998" t="n"/>
      <c r="G404" s="975" t="n"/>
      <c r="H404" s="998" t="n"/>
      <c r="I404" s="998" t="n"/>
      <c r="J404" s="975" t="n"/>
      <c r="K404" s="1189">
        <f>K400=L404</f>
        <v/>
      </c>
      <c r="L404" s="491">
        <f>SUM(L400:L403)</f>
        <v/>
      </c>
      <c r="M404" s="1190" t="inlineStr">
        <is>
          <t xml:space="preserve">“Verdadero” indica que la cantidad por lote, coincide con el saldo que inicia al mes siguiente. "Falso" no coinicide. </t>
        </is>
      </c>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496">
        <f>AGOSTO!K405</f>
        <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73"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73"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73"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75" t="n"/>
      <c r="E409" s="998" t="n"/>
      <c r="F409" s="998" t="n"/>
      <c r="G409" s="975" t="n"/>
      <c r="H409" s="998" t="n"/>
      <c r="I409" s="998" t="n"/>
      <c r="J409" s="975" t="n"/>
      <c r="K409" s="1189">
        <f>K405=L409</f>
        <v/>
      </c>
      <c r="L409" s="491">
        <f>SUM(L405:L408)</f>
        <v/>
      </c>
      <c r="M409" s="1190" t="inlineStr">
        <is>
          <t xml:space="preserve">“Verdadero” indica que la cantidad por lote, coincide con el saldo que inicia al mes siguiente. "Falso" no coinicide. </t>
        </is>
      </c>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1268" t="inlineStr">
        <is>
          <t>ÍTEM</t>
        </is>
      </c>
      <c r="B413" s="1268" t="inlineStr">
        <is>
          <t>INSUMOS</t>
        </is>
      </c>
      <c r="C413" s="965" t="n"/>
      <c r="D413" s="1231" t="inlineStr">
        <is>
          <t>SALDO MES ANTERIOR</t>
        </is>
      </c>
      <c r="E413" s="961" t="inlineStr">
        <is>
          <t>BIOLÓGICO RECIBIDO DEL CENTRO DE ACOPIO DEPARTAMENTAL / DISTRITAL</t>
        </is>
      </c>
      <c r="F413" s="1231" t="inlineStr">
        <is>
          <t>DOSIS APLICADAS</t>
        </is>
      </c>
      <c r="G413" s="967" t="n"/>
      <c r="H413" s="1232" t="inlineStr">
        <is>
          <t>TOTAL DOSIS APLICADAS</t>
        </is>
      </c>
      <c r="I413" s="961" t="inlineStr">
        <is>
          <t>DOSIS PERDIDAS</t>
        </is>
      </c>
      <c r="J413" s="1231" t="inlineStr">
        <is>
          <t>TOTAL DOSIS ÚTILIZADAS EN EL MES</t>
        </is>
      </c>
      <c r="K413" s="623" t="inlineStr">
        <is>
          <t>SALDO QUE INICIA EL MES SIGUIENTE (SOLO MUNICIPIOS)</t>
        </is>
      </c>
      <c r="L413" s="623" t="inlineStr">
        <is>
          <t>DOSIS POR LOTES</t>
        </is>
      </c>
      <c r="M413" s="623" t="inlineStr">
        <is>
          <t xml:space="preserve">No. LOTE </t>
        </is>
      </c>
      <c r="N413" s="1233" t="inlineStr">
        <is>
          <t>LABORATORIO</t>
        </is>
      </c>
      <c r="O413" s="623" t="inlineStr">
        <is>
          <t>FECHA DE VENCIMIENTO</t>
        </is>
      </c>
      <c r="P413" s="623" t="inlineStr">
        <is>
          <t>SEMAFORIZACION VIDA  ÚTIL DEL BIOLÓGICO</t>
        </is>
      </c>
      <c r="Q413" s="623" t="inlineStr">
        <is>
          <t>CONDICIÓN FINAL DEL BIOLÓGICO, DILUYENTE Y CARNET</t>
        </is>
      </c>
      <c r="R413" s="613" t="inlineStr">
        <is>
          <t>DOSIS EN CUARENTENA</t>
        </is>
      </c>
      <c r="S413" s="613" t="inlineStr">
        <is>
          <t>LABORATORIO</t>
        </is>
      </c>
      <c r="T413" s="613" t="inlineStr">
        <is>
          <t>No. LOTE</t>
        </is>
      </c>
      <c r="U413" s="613" t="inlineStr">
        <is>
          <t>FECHA DE VENCIMEINTO</t>
        </is>
      </c>
      <c r="V413" s="613" t="inlineStr">
        <is>
          <t>FECHA DE INICIO CUARENTENA</t>
        </is>
      </c>
      <c r="W413" s="961" t="inlineStr">
        <is>
          <t>PORCENTAJE DE PERDIDA DEL MES</t>
        </is>
      </c>
      <c r="X413" s="961" t="inlineStr">
        <is>
          <t>OBSERVACIONES</t>
        </is>
      </c>
      <c r="Y413" s="232" t="n"/>
      <c r="Z413" s="400" t="inlineStr">
        <is>
          <t>CAUSAS PERDIDA DE BIOLÓGICOS (Remítase a la primera hoja donde se especifica la clasificación de las perdidas)</t>
        </is>
      </c>
      <c r="AA413" s="400" t="n"/>
      <c r="AB413" s="400" t="n"/>
      <c r="AC413" s="400" t="n"/>
      <c r="AD413" s="400" t="n"/>
      <c r="AE413" s="400" t="n"/>
      <c r="AF413" s="400" t="n"/>
      <c r="AG413" s="400" t="n"/>
      <c r="AH413" s="400" t="n"/>
      <c r="AI413" s="400" t="n"/>
      <c r="AJ413" s="400" t="n"/>
      <c r="AK413" s="400" t="n"/>
      <c r="AL413" s="400" t="n"/>
      <c r="AM413" s="1181" t="inlineStr">
        <is>
          <t xml:space="preserve">TOTAL DOSIS PERDIDAS        </t>
        </is>
      </c>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inlineStr">
        <is>
          <t>POLÍTICA DE FRASCOS ABIERTO</t>
        </is>
      </c>
      <c r="AA415" s="968" t="n"/>
      <c r="AB415" s="967" t="n"/>
      <c r="AC415" s="330" t="inlineStr">
        <is>
          <t>INTERRUPCIÓN DE CADENA DE FRÍO</t>
        </is>
      </c>
      <c r="AD415" s="566" t="inlineStr">
        <is>
          <t>CONTAMINACION DEL BIOLÓGICO/DISPOSITIVO MÉDICO</t>
        </is>
      </c>
      <c r="AE415" s="533" t="inlineStr">
        <is>
          <t>VIAL ROTO</t>
        </is>
      </c>
      <c r="AF415" s="566" t="inlineStr">
        <is>
          <t>ERRORES EN LA MANIPULACIÓN</t>
        </is>
      </c>
      <c r="AG415" s="533" t="inlineStr">
        <is>
          <t>VENCIMIENTO DEL BIOLÓGICO O JERINGA</t>
        </is>
      </c>
      <c r="AH415" s="566" t="inlineStr">
        <is>
          <t>FARMACOVIGILANCIA / TECNOVIGILANCIA</t>
        </is>
      </c>
      <c r="AI415" s="533" t="inlineStr">
        <is>
          <t>VOMITO FRANCO</t>
        </is>
      </c>
      <c r="AJ415" s="533" t="inlineStr">
        <is>
          <t>APLICACIÓN FUERA DE LA EDAD</t>
        </is>
      </c>
      <c r="AK415" s="533" t="inlineStr">
        <is>
          <t>POR DECISIÓN FINAL DEL PACIENTE DE NO VACUNACIÓN</t>
        </is>
      </c>
      <c r="AL415" s="566" t="inlineStr">
        <is>
          <t>SINIESTRO O ROBO</t>
        </is>
      </c>
      <c r="AM415" s="973" t="n"/>
      <c r="AN415" s="333" t="n"/>
      <c r="AQ415" s="332" t="n"/>
      <c r="AR415" s="332" t="n"/>
      <c r="AS415" s="332" t="n"/>
      <c r="AT415" s="332" t="n"/>
      <c r="AU415" s="332" t="n"/>
      <c r="AV415" s="566" t="inlineStr">
        <is>
          <t>Dosis reportadas Plantilla Cero</t>
        </is>
      </c>
      <c r="AW415" s="566" t="inlineStr">
        <is>
          <t>Diferencia dosis aplicadas vs dosis reportadas plantilla cero</t>
        </is>
      </c>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inlineStr">
        <is>
          <t>INSTITUCIONAL</t>
        </is>
      </c>
      <c r="AA416" s="533" t="inlineStr">
        <is>
          <t>EXTRAMURAL</t>
        </is>
      </c>
      <c r="AB416" s="533" t="inlineStr">
        <is>
          <t>TOTAL</t>
        </is>
      </c>
      <c r="AC416" s="975" t="n"/>
      <c r="AD416" s="975" t="n"/>
      <c r="AE416" s="975" t="n"/>
      <c r="AF416" s="975" t="n"/>
      <c r="AG416" s="975" t="n"/>
      <c r="AH416" s="975" t="n"/>
      <c r="AI416" s="975" t="n"/>
      <c r="AJ416" s="975" t="n"/>
      <c r="AK416" s="975" t="n"/>
      <c r="AL416" s="975" t="n"/>
      <c r="AM416" s="975" t="n"/>
      <c r="AN416" s="333" t="n"/>
      <c r="AQ416" s="546" t="inlineStr">
        <is>
          <t>PORCENTAJE DE PERDIDA DEL MES
%</t>
        </is>
      </c>
      <c r="AR416" s="546" t="inlineStr">
        <is>
          <t>FACTOR DE PERDIDA DEL MES</t>
        </is>
      </c>
      <c r="AS416" s="420" t="inlineStr">
        <is>
          <t>% DE PERDIDA DEL MSPS</t>
        </is>
      </c>
      <c r="AT416" s="420" t="inlineStr">
        <is>
          <t>DOSIS POR VIAL</t>
        </is>
      </c>
      <c r="AU416" s="332" t="n"/>
      <c r="AV416" s="975" t="n"/>
      <c r="AW416" s="975" t="n"/>
    </row>
    <row r="417" ht="17.25" customHeight="1">
      <c r="A417" s="585" t="n">
        <v>1</v>
      </c>
      <c r="B417" s="640" t="inlineStr">
        <is>
          <t>Vacuna de BCG (Bacilo de Calmette y Guérin) Liofilizada</t>
        </is>
      </c>
      <c r="C417" s="965" t="n"/>
      <c r="D417" s="413">
        <f>AGOSTO!K417</f>
        <v/>
      </c>
      <c r="E417" s="339">
        <f>H13</f>
        <v/>
      </c>
      <c r="F417" s="338" t="n"/>
      <c r="G417" s="338" t="n"/>
      <c r="H417" s="1235">
        <f>+F417+G417</f>
        <v/>
      </c>
      <c r="I417" s="340">
        <f>+AM417</f>
        <v/>
      </c>
      <c r="J417" s="341">
        <f>+H417+I417</f>
        <v/>
      </c>
      <c r="K417" s="583">
        <f>+(D417+E417)-(J417)</f>
        <v/>
      </c>
      <c r="L417" s="253" t="n"/>
      <c r="M417" s="254" t="n"/>
      <c r="N417" s="254" t="n"/>
      <c r="O417" s="1183" t="n"/>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c r="AA417" s="648" t="n"/>
      <c r="AB417" s="649">
        <f>+Z417+AA417</f>
        <v/>
      </c>
      <c r="AC417" s="648" t="n"/>
      <c r="AD417" s="648" t="n"/>
      <c r="AE417" s="648" t="n"/>
      <c r="AF417" s="648" t="n"/>
      <c r="AG417" s="648" t="n"/>
      <c r="AH417" s="648" t="n"/>
      <c r="AI417" s="648" t="n"/>
      <c r="AJ417" s="648" t="n"/>
      <c r="AK417" s="648" t="n"/>
      <c r="AL417" s="648" t="n"/>
      <c r="AM417" s="421">
        <f>SUM(AB417:AL421)</f>
        <v/>
      </c>
      <c r="AN417" s="726" t="n"/>
      <c r="AQ417" s="1238">
        <f>IFERROR(I417/J417*100,"0")</f>
        <v/>
      </c>
      <c r="AR417" s="343">
        <f>IFERROR(1/(1-(AQ417/100)),"0")</f>
        <v/>
      </c>
      <c r="AS417" s="1239" t="n">
        <v>75</v>
      </c>
      <c r="AT417" s="345" t="n">
        <v>20</v>
      </c>
      <c r="AU417" s="1240" t="n"/>
      <c r="AV417" s="1241" t="n"/>
      <c r="AW417" s="1242">
        <f>+H417-AV417</f>
        <v/>
      </c>
    </row>
    <row r="418" ht="17.25" customHeight="1">
      <c r="A418" s="973" t="n"/>
      <c r="B418" s="971" t="n"/>
      <c r="C418" s="972" t="n"/>
      <c r="D418" s="973" t="n"/>
      <c r="E418" s="973" t="n"/>
      <c r="F418" s="994" t="n"/>
      <c r="G418" s="994" t="n"/>
      <c r="H418" s="973" t="n"/>
      <c r="I418" s="973" t="n"/>
      <c r="J418" s="973" t="n"/>
      <c r="K418" s="973" t="n"/>
      <c r="L418" s="253" t="n"/>
      <c r="M418" s="254" t="n"/>
      <c r="N418" s="254" t="n"/>
      <c r="O418" s="1183" t="n"/>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73" t="n"/>
      <c r="E419" s="973" t="n"/>
      <c r="F419" s="994" t="n"/>
      <c r="G419" s="994" t="n"/>
      <c r="H419" s="973" t="n"/>
      <c r="I419" s="973" t="n"/>
      <c r="J419" s="973" t="n"/>
      <c r="K419" s="973" t="n"/>
      <c r="L419" s="253" t="n"/>
      <c r="M419" s="254" t="n"/>
      <c r="N419" s="254" t="n"/>
      <c r="O419" s="1183" t="n"/>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73" t="n"/>
      <c r="E420" s="973" t="n"/>
      <c r="F420" s="994" t="n"/>
      <c r="G420" s="994" t="n"/>
      <c r="H420" s="973" t="n"/>
      <c r="I420" s="973" t="n"/>
      <c r="J420" s="973" t="n"/>
      <c r="K420" s="973" t="n"/>
      <c r="L420" s="253" t="n"/>
      <c r="M420" s="254" t="n"/>
      <c r="N420" s="254" t="n"/>
      <c r="O420" s="1183" t="n"/>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73"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75" t="n"/>
      <c r="E422" s="975" t="n"/>
      <c r="F422" s="998" t="n"/>
      <c r="G422" s="998" t="n"/>
      <c r="H422" s="975" t="n"/>
      <c r="I422" s="975" t="n"/>
      <c r="J422" s="975" t="n"/>
      <c r="K422" s="1189">
        <f>K417=L422</f>
        <v/>
      </c>
      <c r="L422" s="491">
        <f>SUM(L417:L421)</f>
        <v/>
      </c>
      <c r="M422" s="1190" t="inlineStr">
        <is>
          <t xml:space="preserve">“Verdadero” indica que la cantidad por lote, coincide con el saldo que inicia al mes siguiente. "Falso" no coinicide. </t>
        </is>
      </c>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413">
        <f>AGOSTO!K423</f>
        <v/>
      </c>
      <c r="E423" s="339">
        <f>H19</f>
        <v/>
      </c>
      <c r="F423" s="338" t="n"/>
      <c r="G423" s="338" t="n"/>
      <c r="H423" s="1235">
        <f>+F423+G423</f>
        <v/>
      </c>
      <c r="I423" s="340">
        <f>+AM423</f>
        <v/>
      </c>
      <c r="J423" s="341">
        <f>+H423+I423</f>
        <v/>
      </c>
      <c r="K423" s="583">
        <f>+(D423+E423)-(J423)</f>
        <v/>
      </c>
      <c r="L423" s="253" t="n"/>
      <c r="M423" s="254" t="n"/>
      <c r="N423" s="254" t="n"/>
      <c r="O423" s="1183" t="n"/>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c r="AA423" s="648" t="n"/>
      <c r="AB423" s="649">
        <f>+Z423+AA423</f>
        <v/>
      </c>
      <c r="AC423" s="648" t="n"/>
      <c r="AD423" s="648" t="n"/>
      <c r="AE423" s="648" t="n"/>
      <c r="AF423" s="648" t="n"/>
      <c r="AG423" s="648" t="n"/>
      <c r="AH423" s="648" t="n"/>
      <c r="AI423" s="648" t="n"/>
      <c r="AJ423" s="648" t="n"/>
      <c r="AK423" s="648" t="n"/>
      <c r="AL423" s="648" t="n"/>
      <c r="AM423" s="421">
        <f>SUM(AB423:AL427)</f>
        <v/>
      </c>
      <c r="AN423" s="726" t="n"/>
      <c r="AQ423" s="1238">
        <f>IFERROR(I423/J423*100,"0")</f>
        <v/>
      </c>
      <c r="AR423" s="343">
        <f>IFERROR(1/(1-(AQ423/100)),"0")</f>
        <v/>
      </c>
      <c r="AS423" s="1239" t="n">
        <v>0</v>
      </c>
      <c r="AT423" s="345" t="n">
        <v>1</v>
      </c>
      <c r="AU423" s="1240" t="n"/>
      <c r="AV423" s="1241" t="n"/>
      <c r="AW423" s="1242">
        <f>+H423-AV423</f>
        <v/>
      </c>
    </row>
    <row r="424" ht="17.25" customHeight="1">
      <c r="A424" s="973" t="n"/>
      <c r="B424" s="971" t="n"/>
      <c r="C424" s="972" t="n"/>
      <c r="D424" s="973" t="n"/>
      <c r="E424" s="973" t="n"/>
      <c r="F424" s="994" t="n"/>
      <c r="G424" s="994" t="n"/>
      <c r="H424" s="973" t="n"/>
      <c r="I424" s="973" t="n"/>
      <c r="J424" s="973" t="n"/>
      <c r="K424" s="973" t="n"/>
      <c r="L424" s="253" t="n"/>
      <c r="M424" s="254" t="n"/>
      <c r="N424" s="254" t="n"/>
      <c r="O424" s="1183" t="n"/>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73" t="n"/>
      <c r="E425" s="973" t="n"/>
      <c r="F425" s="994" t="n"/>
      <c r="G425" s="994" t="n"/>
      <c r="H425" s="973" t="n"/>
      <c r="I425" s="973" t="n"/>
      <c r="J425" s="973" t="n"/>
      <c r="K425" s="973" t="n"/>
      <c r="L425" s="253" t="n"/>
      <c r="M425" s="254" t="n"/>
      <c r="N425" s="254" t="n"/>
      <c r="O425" s="1183" t="n"/>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73" t="n"/>
      <c r="E426" s="973" t="n"/>
      <c r="F426" s="994" t="n"/>
      <c r="G426" s="994" t="n"/>
      <c r="H426" s="973" t="n"/>
      <c r="I426" s="973" t="n"/>
      <c r="J426" s="973" t="n"/>
      <c r="K426" s="973" t="n"/>
      <c r="L426" s="253" t="n"/>
      <c r="M426" s="254" t="n"/>
      <c r="N426" s="254" t="n"/>
      <c r="O426" s="1183" t="n"/>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73" t="n"/>
      <c r="E427" s="973" t="n"/>
      <c r="F427" s="994" t="n"/>
      <c r="G427" s="994" t="n"/>
      <c r="H427" s="973" t="n"/>
      <c r="I427" s="973" t="n"/>
      <c r="J427" s="973" t="n"/>
      <c r="K427" s="975" t="n"/>
      <c r="L427" s="253" t="n"/>
      <c r="M427" s="254" t="n"/>
      <c r="N427" s="254" t="n"/>
      <c r="O427" s="1183" t="n"/>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75" t="n"/>
      <c r="E428" s="975" t="n"/>
      <c r="F428" s="998" t="n"/>
      <c r="G428" s="998" t="n"/>
      <c r="H428" s="975" t="n"/>
      <c r="I428" s="975" t="n"/>
      <c r="J428" s="975" t="n"/>
      <c r="K428" s="1189">
        <f>K423=L428</f>
        <v/>
      </c>
      <c r="L428" s="491">
        <f>SUM(L423:L427)</f>
        <v/>
      </c>
      <c r="M428" s="1190" t="inlineStr">
        <is>
          <t xml:space="preserve">“Verdadero” indica que la cantidad por lote, coincide con el saldo que inicia al mes siguiente. "Falso" no coinicide. </t>
        </is>
      </c>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413">
        <f>AGOSTO!K429</f>
        <v/>
      </c>
      <c r="E429" s="339">
        <f>H25</f>
        <v/>
      </c>
      <c r="F429" s="338" t="n"/>
      <c r="G429" s="338" t="n"/>
      <c r="H429" s="1235">
        <f>+F429+G429</f>
        <v/>
      </c>
      <c r="I429" s="340">
        <f>+AM429</f>
        <v/>
      </c>
      <c r="J429" s="341">
        <f>+H429+I429</f>
        <v/>
      </c>
      <c r="K429" s="583">
        <f>+(D429+E429)-(J429)</f>
        <v/>
      </c>
      <c r="L429" s="253" t="n"/>
      <c r="M429" s="254" t="n"/>
      <c r="N429" s="254" t="n"/>
      <c r="O429" s="1183" t="n"/>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c r="AA429" s="648" t="n"/>
      <c r="AB429" s="649">
        <f>+Z429+AA429</f>
        <v/>
      </c>
      <c r="AC429" s="648" t="n"/>
      <c r="AD429" s="648" t="n"/>
      <c r="AE429" s="648" t="n"/>
      <c r="AF429" s="648" t="n"/>
      <c r="AG429" s="648" t="n"/>
      <c r="AH429" s="648" t="n"/>
      <c r="AI429" s="648" t="n"/>
      <c r="AJ429" s="648" t="n"/>
      <c r="AK429" s="648" t="n"/>
      <c r="AL429" s="648" t="n"/>
      <c r="AM429" s="421">
        <f>SUM(AB429:AL433)</f>
        <v/>
      </c>
      <c r="AN429" s="726" t="n"/>
      <c r="AQ429" s="1238">
        <f>IFERROR(I429/J429*100,"0")</f>
        <v/>
      </c>
      <c r="AR429" s="343">
        <f>IFERROR(1/(1-(AQ429/100)),"0")</f>
        <v/>
      </c>
      <c r="AS429" s="1239" t="n">
        <v>0</v>
      </c>
      <c r="AT429" s="345" t="n">
        <v>1</v>
      </c>
      <c r="AU429" s="1240" t="n"/>
      <c r="AV429" s="1241" t="n"/>
      <c r="AW429" s="1242">
        <f>+H429-AV429</f>
        <v/>
      </c>
    </row>
    <row r="430" ht="17.25" customHeight="1">
      <c r="A430" s="973" t="n"/>
      <c r="B430" s="971" t="n"/>
      <c r="C430" s="972" t="n"/>
      <c r="D430" s="973" t="n"/>
      <c r="E430" s="973" t="n"/>
      <c r="F430" s="994" t="n"/>
      <c r="G430" s="994" t="n"/>
      <c r="H430" s="973" t="n"/>
      <c r="I430" s="973" t="n"/>
      <c r="J430" s="973" t="n"/>
      <c r="K430" s="973" t="n"/>
      <c r="L430" s="253" t="n"/>
      <c r="M430" s="254" t="n"/>
      <c r="N430" s="254" t="n"/>
      <c r="O430" s="1183" t="n"/>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73" t="n"/>
      <c r="E431" s="973" t="n"/>
      <c r="F431" s="994" t="n"/>
      <c r="G431" s="994" t="n"/>
      <c r="H431" s="973" t="n"/>
      <c r="I431" s="973" t="n"/>
      <c r="J431" s="973" t="n"/>
      <c r="K431" s="973" t="n"/>
      <c r="L431" s="253" t="n"/>
      <c r="M431" s="254" t="n"/>
      <c r="N431" s="254" t="n"/>
      <c r="O431" s="1183" t="n"/>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73" t="n"/>
      <c r="E432" s="973" t="n"/>
      <c r="F432" s="994" t="n"/>
      <c r="G432" s="994" t="n"/>
      <c r="H432" s="973" t="n"/>
      <c r="I432" s="973" t="n"/>
      <c r="J432" s="973" t="n"/>
      <c r="K432" s="973" t="n"/>
      <c r="L432" s="253" t="n"/>
      <c r="M432" s="254" t="n"/>
      <c r="N432" s="254" t="n"/>
      <c r="O432" s="1183" t="n"/>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73"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75" t="n"/>
      <c r="E434" s="975" t="n"/>
      <c r="F434" s="998" t="n"/>
      <c r="G434" s="998" t="n"/>
      <c r="H434" s="975" t="n"/>
      <c r="I434" s="975" t="n"/>
      <c r="J434" s="975" t="n"/>
      <c r="K434" s="1189">
        <f>K429=L434</f>
        <v/>
      </c>
      <c r="L434" s="491">
        <f>SUM(L429:L433)</f>
        <v/>
      </c>
      <c r="M434" s="1190" t="inlineStr">
        <is>
          <t xml:space="preserve">“Verdadero” indica que la cantidad por lote, coincide con el saldo que inicia al mes siguiente. "Falso" no coinicide. </t>
        </is>
      </c>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413">
        <f>AGOSTO!K435</f>
        <v/>
      </c>
      <c r="E435" s="339">
        <f>H31</f>
        <v/>
      </c>
      <c r="F435" s="338" t="n"/>
      <c r="G435" s="338" t="n"/>
      <c r="H435" s="1235">
        <f>+F435+G435</f>
        <v/>
      </c>
      <c r="I435" s="340">
        <f>+AM435</f>
        <v/>
      </c>
      <c r="J435" s="341">
        <f>+H435+I435</f>
        <v/>
      </c>
      <c r="K435" s="583">
        <f>+(D435+E435)-(J435)</f>
        <v/>
      </c>
      <c r="L435" s="253" t="n"/>
      <c r="M435" s="254" t="n"/>
      <c r="N435" s="254" t="n"/>
      <c r="O435" s="1183" t="n"/>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c r="AA435" s="648" t="n"/>
      <c r="AB435" s="649">
        <f>+Z435+AA435</f>
        <v/>
      </c>
      <c r="AC435" s="648" t="n"/>
      <c r="AD435" s="648" t="n"/>
      <c r="AE435" s="648" t="n"/>
      <c r="AF435" s="648" t="n"/>
      <c r="AG435" s="648" t="n"/>
      <c r="AH435" s="648" t="n"/>
      <c r="AI435" s="648" t="n"/>
      <c r="AJ435" s="648" t="n"/>
      <c r="AK435" s="648" t="n"/>
      <c r="AL435" s="648" t="n"/>
      <c r="AM435" s="421">
        <f>SUM(AB435:AL439)</f>
        <v/>
      </c>
      <c r="AN435" s="726" t="n"/>
      <c r="AQ435" s="1238">
        <f>IFERROR(I435/J435*100,"0")</f>
        <v/>
      </c>
      <c r="AR435" s="343">
        <f>IFERROR(1/(1-(AQ435/100)),"0")</f>
        <v/>
      </c>
      <c r="AS435" s="1239" t="n">
        <v>15</v>
      </c>
      <c r="AT435" s="345" t="n">
        <v>5</v>
      </c>
      <c r="AU435" s="1240" t="n"/>
      <c r="AV435" s="1241" t="n"/>
      <c r="AW435" s="1242">
        <f>+H435-AV435</f>
        <v/>
      </c>
    </row>
    <row r="436" ht="17.25" customHeight="1">
      <c r="A436" s="973" t="n"/>
      <c r="B436" s="971" t="n"/>
      <c r="C436" s="972" t="n"/>
      <c r="D436" s="973" t="n"/>
      <c r="E436" s="973" t="n"/>
      <c r="F436" s="994" t="n"/>
      <c r="G436" s="994" t="n"/>
      <c r="H436" s="973" t="n"/>
      <c r="I436" s="973" t="n"/>
      <c r="J436" s="973" t="n"/>
      <c r="K436" s="973" t="n"/>
      <c r="L436" s="253" t="n"/>
      <c r="M436" s="254" t="n"/>
      <c r="N436" s="254" t="n"/>
      <c r="O436" s="1183" t="n"/>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73" t="n"/>
      <c r="E437" s="973" t="n"/>
      <c r="F437" s="994" t="n"/>
      <c r="G437" s="994" t="n"/>
      <c r="H437" s="973" t="n"/>
      <c r="I437" s="973" t="n"/>
      <c r="J437" s="973" t="n"/>
      <c r="K437" s="973" t="n"/>
      <c r="L437" s="253" t="n"/>
      <c r="M437" s="254" t="n"/>
      <c r="N437" s="254" t="n"/>
      <c r="O437" s="1183" t="n"/>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73" t="n"/>
      <c r="E438" s="973" t="n"/>
      <c r="F438" s="994" t="n"/>
      <c r="G438" s="994" t="n"/>
      <c r="H438" s="973" t="n"/>
      <c r="I438" s="973" t="n"/>
      <c r="J438" s="973" t="n"/>
      <c r="K438" s="973" t="n"/>
      <c r="L438" s="253" t="n"/>
      <c r="M438" s="254" t="n"/>
      <c r="N438" s="254" t="n"/>
      <c r="O438" s="1183" t="n"/>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73" t="n"/>
      <c r="E439" s="973" t="n"/>
      <c r="F439" s="994" t="n"/>
      <c r="G439" s="994" t="n"/>
      <c r="H439" s="973" t="n"/>
      <c r="I439" s="973" t="n"/>
      <c r="J439" s="973" t="n"/>
      <c r="K439" s="975" t="n"/>
      <c r="L439" s="253" t="n"/>
      <c r="M439" s="254" t="n"/>
      <c r="N439" s="254" t="n"/>
      <c r="O439" s="1183" t="n"/>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75" t="n"/>
      <c r="E440" s="975" t="n"/>
      <c r="F440" s="998" t="n"/>
      <c r="G440" s="998" t="n"/>
      <c r="H440" s="975" t="n"/>
      <c r="I440" s="975" t="n"/>
      <c r="J440" s="975" t="n"/>
      <c r="K440" s="1189">
        <f>K435=L440</f>
        <v/>
      </c>
      <c r="L440" s="491">
        <f>SUM(L435:L439)</f>
        <v/>
      </c>
      <c r="M440" s="1190" t="inlineStr">
        <is>
          <t xml:space="preserve">“Verdadero” indica que la cantidad por lote, coincide con el saldo que inicia al mes siguiente. "Falso" no coinicide. </t>
        </is>
      </c>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413">
        <f>AGOSTO!K441</f>
        <v/>
      </c>
      <c r="E441" s="339">
        <f>H37</f>
        <v/>
      </c>
      <c r="F441" s="338" t="n"/>
      <c r="G441" s="338" t="n"/>
      <c r="H441" s="1235">
        <f>+F441+G441</f>
        <v/>
      </c>
      <c r="I441" s="340">
        <f>+AM441</f>
        <v/>
      </c>
      <c r="J441" s="341">
        <f>+H441+I441</f>
        <v/>
      </c>
      <c r="K441" s="583">
        <f>+(D441+E441)-(J441)</f>
        <v/>
      </c>
      <c r="L441" s="253" t="n"/>
      <c r="M441" s="254" t="n"/>
      <c r="N441" s="254" t="n"/>
      <c r="O441" s="1183" t="n"/>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c r="AA441" s="648" t="n"/>
      <c r="AB441" s="649">
        <f>+Z441+AA441</f>
        <v/>
      </c>
      <c r="AC441" s="648" t="n"/>
      <c r="AD441" s="648" t="n"/>
      <c r="AE441" s="648" t="n"/>
      <c r="AF441" s="648" t="n"/>
      <c r="AG441" s="648" t="n"/>
      <c r="AH441" s="648" t="n"/>
      <c r="AI441" s="648" t="n"/>
      <c r="AJ441" s="648" t="n"/>
      <c r="AK441" s="648" t="n"/>
      <c r="AL441" s="648" t="n"/>
      <c r="AM441" s="421">
        <f>SUM(AB441:AL445)</f>
        <v/>
      </c>
      <c r="AN441" s="726" t="n"/>
      <c r="AQ441" s="1238">
        <f>IFERROR(I441/J441*100,"0")</f>
        <v/>
      </c>
      <c r="AR441" s="343">
        <f>IFERROR(1/(1-(AQ441/100)),"0")</f>
        <v/>
      </c>
      <c r="AS441" s="1239" t="n">
        <v>0</v>
      </c>
      <c r="AT441" s="345" t="n">
        <v>1</v>
      </c>
      <c r="AU441" s="1240" t="n"/>
      <c r="AV441" s="1241" t="n"/>
      <c r="AW441" s="1242">
        <f>+H441-AV441</f>
        <v/>
      </c>
    </row>
    <row r="442" ht="17.25" customHeight="1">
      <c r="A442" s="973" t="n"/>
      <c r="B442" s="971" t="n"/>
      <c r="C442" s="972" t="n"/>
      <c r="D442" s="973" t="n"/>
      <c r="E442" s="973" t="n"/>
      <c r="F442" s="994" t="n"/>
      <c r="G442" s="994" t="n"/>
      <c r="H442" s="973" t="n"/>
      <c r="I442" s="973" t="n"/>
      <c r="J442" s="973" t="n"/>
      <c r="K442" s="973" t="n"/>
      <c r="L442" s="253" t="n"/>
      <c r="M442" s="254" t="n"/>
      <c r="N442" s="254" t="n"/>
      <c r="O442" s="1183" t="n"/>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73" t="n"/>
      <c r="E443" s="973" t="n"/>
      <c r="F443" s="994" t="n"/>
      <c r="G443" s="994" t="n"/>
      <c r="H443" s="973" t="n"/>
      <c r="I443" s="973" t="n"/>
      <c r="J443" s="973" t="n"/>
      <c r="K443" s="973" t="n"/>
      <c r="L443" s="253" t="n"/>
      <c r="M443" s="254" t="n"/>
      <c r="N443" s="254" t="n"/>
      <c r="O443" s="1183" t="n"/>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73" t="n"/>
      <c r="E444" s="973" t="n"/>
      <c r="F444" s="994" t="n"/>
      <c r="G444" s="994" t="n"/>
      <c r="H444" s="973" t="n"/>
      <c r="I444" s="973" t="n"/>
      <c r="J444" s="973" t="n"/>
      <c r="K444" s="973" t="n"/>
      <c r="L444" s="253" t="n"/>
      <c r="M444" s="254" t="n"/>
      <c r="N444" s="254" t="n"/>
      <c r="O444" s="1183" t="n"/>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73"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75" t="n"/>
      <c r="E446" s="975" t="n"/>
      <c r="F446" s="998" t="n"/>
      <c r="G446" s="998" t="n"/>
      <c r="H446" s="975" t="n"/>
      <c r="I446" s="975" t="n"/>
      <c r="J446" s="975" t="n"/>
      <c r="K446" s="1189">
        <f>K441=L446</f>
        <v/>
      </c>
      <c r="L446" s="491">
        <f>SUM(L441:L445)</f>
        <v/>
      </c>
      <c r="M446" s="1190" t="inlineStr">
        <is>
          <t xml:space="preserve">“Verdadero” indica que la cantidad por lote, coincide con el saldo que inicia al mes siguiente. "Falso" no coinicide. </t>
        </is>
      </c>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413">
        <f>AGOSTO!K447</f>
        <v/>
      </c>
      <c r="E447" s="339">
        <f>H43</f>
        <v/>
      </c>
      <c r="F447" s="338" t="n"/>
      <c r="G447" s="338" t="n"/>
      <c r="H447" s="1235">
        <f>+F447+G447</f>
        <v/>
      </c>
      <c r="I447" s="340">
        <f>+AM447</f>
        <v/>
      </c>
      <c r="J447" s="341">
        <f>+H447+I447</f>
        <v/>
      </c>
      <c r="K447" s="583">
        <f>+(D447+E447)-(J447)</f>
        <v/>
      </c>
      <c r="L447" s="253" t="n"/>
      <c r="M447" s="254" t="n"/>
      <c r="N447" s="254" t="n"/>
      <c r="O447" s="1183" t="n"/>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c r="AA447" s="648" t="n"/>
      <c r="AB447" s="649">
        <f>+Z447+AA447</f>
        <v/>
      </c>
      <c r="AC447" s="648" t="n"/>
      <c r="AD447" s="648" t="n"/>
      <c r="AE447" s="648" t="n"/>
      <c r="AF447" s="648" t="n"/>
      <c r="AG447" s="648" t="n"/>
      <c r="AH447" s="648" t="n"/>
      <c r="AI447" s="648" t="n"/>
      <c r="AJ447" s="648" t="n"/>
      <c r="AK447" s="648" t="n"/>
      <c r="AL447" s="648" t="n"/>
      <c r="AM447" s="421">
        <f>SUM(AB447:AL451)</f>
        <v/>
      </c>
      <c r="AN447" s="726" t="n"/>
      <c r="AQ447" s="1238">
        <f>IFERROR(I447/J447*100,"0")</f>
        <v/>
      </c>
      <c r="AR447" s="343">
        <f>IFERROR(1/(1-(AQ447/100)),"0")</f>
        <v/>
      </c>
      <c r="AS447" s="1239" t="n">
        <v>0</v>
      </c>
      <c r="AT447" s="345" t="n">
        <v>1</v>
      </c>
      <c r="AU447" s="1240" t="n"/>
      <c r="AV447" s="1241" t="n"/>
      <c r="AW447" s="1242">
        <f>+H447-AV447</f>
        <v/>
      </c>
    </row>
    <row r="448" ht="17.25" customHeight="1">
      <c r="A448" s="973" t="n"/>
      <c r="B448" s="971" t="n"/>
      <c r="C448" s="972" t="n"/>
      <c r="D448" s="973" t="n"/>
      <c r="E448" s="973" t="n"/>
      <c r="F448" s="994" t="n"/>
      <c r="G448" s="994" t="n"/>
      <c r="H448" s="973" t="n"/>
      <c r="I448" s="973" t="n"/>
      <c r="J448" s="973" t="n"/>
      <c r="K448" s="973" t="n"/>
      <c r="L448" s="253" t="n"/>
      <c r="M448" s="254" t="n"/>
      <c r="N448" s="254" t="n"/>
      <c r="O448" s="1183" t="n"/>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73" t="n"/>
      <c r="E449" s="973" t="n"/>
      <c r="F449" s="994" t="n"/>
      <c r="G449" s="994" t="n"/>
      <c r="H449" s="973" t="n"/>
      <c r="I449" s="973" t="n"/>
      <c r="J449" s="973" t="n"/>
      <c r="K449" s="973" t="n"/>
      <c r="L449" s="253" t="n"/>
      <c r="M449" s="254" t="n"/>
      <c r="N449" s="254" t="n"/>
      <c r="O449" s="1183" t="n"/>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73" t="n"/>
      <c r="E450" s="973" t="n"/>
      <c r="F450" s="994" t="n"/>
      <c r="G450" s="994" t="n"/>
      <c r="H450" s="973" t="n"/>
      <c r="I450" s="973" t="n"/>
      <c r="J450" s="973" t="n"/>
      <c r="K450" s="973" t="n"/>
      <c r="L450" s="253" t="n"/>
      <c r="M450" s="254" t="n"/>
      <c r="N450" s="254" t="n"/>
      <c r="O450" s="1183" t="n"/>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73" t="n"/>
      <c r="E451" s="973" t="n"/>
      <c r="F451" s="994" t="n"/>
      <c r="G451" s="994" t="n"/>
      <c r="H451" s="973" t="n"/>
      <c r="I451" s="973" t="n"/>
      <c r="J451" s="973" t="n"/>
      <c r="K451" s="975" t="n"/>
      <c r="L451" s="253" t="n"/>
      <c r="M451" s="254" t="n"/>
      <c r="N451" s="254" t="n"/>
      <c r="O451" s="1183" t="n"/>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75" t="n"/>
      <c r="E452" s="975" t="n"/>
      <c r="F452" s="998" t="n"/>
      <c r="G452" s="998" t="n"/>
      <c r="H452" s="975" t="n"/>
      <c r="I452" s="975" t="n"/>
      <c r="J452" s="975" t="n"/>
      <c r="K452" s="1189">
        <f>K447=L452</f>
        <v/>
      </c>
      <c r="L452" s="491">
        <f>SUM(L447:L451)</f>
        <v/>
      </c>
      <c r="M452" s="1190" t="inlineStr">
        <is>
          <t xml:space="preserve">“Verdadero” indica que la cantidad por lote, coincide con el saldo que inicia al mes siguiente. "Falso" no coinicide. </t>
        </is>
      </c>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413">
        <f>AGOSTO!K453</f>
        <v/>
      </c>
      <c r="E453" s="339">
        <f>H49</f>
        <v/>
      </c>
      <c r="F453" s="338" t="n"/>
      <c r="G453" s="338" t="n"/>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c r="AA453" s="648" t="n"/>
      <c r="AB453" s="649">
        <f>+Z453+AA453</f>
        <v/>
      </c>
      <c r="AC453" s="648" t="n"/>
      <c r="AD453" s="648" t="n"/>
      <c r="AE453" s="648" t="n"/>
      <c r="AF453" s="648" t="n"/>
      <c r="AG453" s="648" t="n"/>
      <c r="AH453" s="648" t="n"/>
      <c r="AI453" s="648" t="n"/>
      <c r="AJ453" s="648" t="n"/>
      <c r="AK453" s="648" t="n"/>
      <c r="AL453" s="648" t="n"/>
      <c r="AM453" s="421">
        <f>SUM(AB453:AL457)</f>
        <v/>
      </c>
      <c r="AN453" s="726" t="n"/>
      <c r="AQ453" s="1238">
        <f>IFERROR(I453/J453*100,"0")</f>
        <v/>
      </c>
      <c r="AR453" s="343">
        <f>IFERROR(1/(1-(AQ453/100)),"0")</f>
        <v/>
      </c>
      <c r="AS453" s="1239" t="n">
        <v>0</v>
      </c>
      <c r="AT453" s="345" t="n">
        <v>1</v>
      </c>
      <c r="AU453" s="1240" t="n"/>
      <c r="AV453" s="1241" t="n"/>
      <c r="AW453" s="1242">
        <f>+H453-AV453</f>
        <v/>
      </c>
    </row>
    <row r="454" ht="17.25" customHeight="1">
      <c r="A454" s="973" t="n"/>
      <c r="B454" s="971" t="n"/>
      <c r="C454" s="972" t="n"/>
      <c r="D454" s="973"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73"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73"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73"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75" t="n"/>
      <c r="E458" s="975" t="n"/>
      <c r="F458" s="998" t="n"/>
      <c r="G458" s="998" t="n"/>
      <c r="H458" s="975" t="n"/>
      <c r="I458" s="975" t="n"/>
      <c r="J458" s="975" t="n"/>
      <c r="K458" s="1189">
        <f>K453=L458</f>
        <v/>
      </c>
      <c r="L458" s="491">
        <f>SUM(L453:L457)</f>
        <v/>
      </c>
      <c r="M458" s="1190" t="inlineStr">
        <is>
          <t xml:space="preserve">“Verdadero” indica que la cantidad por lote, coincide con el saldo que inicia al mes siguiente. "Falso" no coinicide. </t>
        </is>
      </c>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413">
        <f>AGOSTO!K459</f>
        <v/>
      </c>
      <c r="E459" s="339">
        <f>H55</f>
        <v/>
      </c>
      <c r="F459" s="338" t="n"/>
      <c r="G459" s="338" t="n"/>
      <c r="H459" s="1235">
        <f>+F459+G459</f>
        <v/>
      </c>
      <c r="I459" s="340">
        <f>+AM459</f>
        <v/>
      </c>
      <c r="J459" s="341">
        <f>+H459+I459</f>
        <v/>
      </c>
      <c r="K459" s="583">
        <f>+(D459+E459)-(J459)</f>
        <v/>
      </c>
      <c r="L459" s="253" t="n"/>
      <c r="M459" s="254" t="n"/>
      <c r="N459" s="254" t="n"/>
      <c r="O459" s="1183" t="n"/>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c r="AA459" s="648" t="n"/>
      <c r="AB459" s="649">
        <f>+Z459+AA459</f>
        <v/>
      </c>
      <c r="AC459" s="648" t="n"/>
      <c r="AD459" s="648" t="n"/>
      <c r="AE459" s="648" t="n"/>
      <c r="AF459" s="648" t="n"/>
      <c r="AG459" s="648" t="n"/>
      <c r="AH459" s="648" t="n"/>
      <c r="AI459" s="648" t="n"/>
      <c r="AJ459" s="648" t="n"/>
      <c r="AK459" s="648" t="n"/>
      <c r="AL459" s="648" t="n"/>
      <c r="AM459" s="421">
        <f>SUM(AB459:AL463)</f>
        <v/>
      </c>
      <c r="AN459" s="726" t="n"/>
      <c r="AQ459" s="1238">
        <f>IFERROR(I459/J459*100,"0")</f>
        <v/>
      </c>
      <c r="AR459" s="343">
        <f>IFERROR(1/(1-(AQ459/100)),"0")</f>
        <v/>
      </c>
      <c r="AS459" s="1239" t="n">
        <v>30</v>
      </c>
      <c r="AT459" s="345" t="n">
        <v>10</v>
      </c>
      <c r="AU459" s="1240" t="n"/>
      <c r="AV459" s="1241" t="n"/>
      <c r="AW459" s="1242">
        <f>+H459-AV459</f>
        <v/>
      </c>
    </row>
    <row r="460" ht="17.25" customHeight="1">
      <c r="A460" s="973" t="n"/>
      <c r="B460" s="971" t="n"/>
      <c r="C460" s="972" t="n"/>
      <c r="D460" s="973" t="n"/>
      <c r="E460" s="973" t="n"/>
      <c r="F460" s="994" t="n"/>
      <c r="G460" s="994" t="n"/>
      <c r="H460" s="973" t="n"/>
      <c r="I460" s="973" t="n"/>
      <c r="J460" s="973" t="n"/>
      <c r="K460" s="973" t="n"/>
      <c r="L460" s="253" t="n"/>
      <c r="M460" s="254" t="n"/>
      <c r="N460" s="254" t="n"/>
      <c r="O460" s="1183" t="n"/>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73"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73"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73"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75" t="n"/>
      <c r="E464" s="975" t="n"/>
      <c r="F464" s="998" t="n"/>
      <c r="G464" s="998" t="n"/>
      <c r="H464" s="975" t="n"/>
      <c r="I464" s="975" t="n"/>
      <c r="J464" s="975" t="n"/>
      <c r="K464" s="1189">
        <f>K459=L464</f>
        <v/>
      </c>
      <c r="L464" s="491">
        <f>SUM(L459:L463)</f>
        <v/>
      </c>
      <c r="M464" s="1190" t="inlineStr">
        <is>
          <t xml:space="preserve">“Verdadero” indica que la cantidad por lote, coincide con el saldo que inicia al mes siguiente. "Falso" no coinicide. </t>
        </is>
      </c>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413">
        <f>AGOSTO!K465</f>
        <v/>
      </c>
      <c r="E465" s="339">
        <f>H61</f>
        <v/>
      </c>
      <c r="F465" s="338" t="n"/>
      <c r="G465" s="338" t="n"/>
      <c r="H465" s="1235">
        <f>+F465+G465</f>
        <v/>
      </c>
      <c r="I465" s="340">
        <f>+AM465</f>
        <v/>
      </c>
      <c r="J465" s="341">
        <f>+H465+I465</f>
        <v/>
      </c>
      <c r="K465" s="583">
        <f>+(D465+E465)-(J465)</f>
        <v/>
      </c>
      <c r="L465" s="253" t="n"/>
      <c r="M465" s="254" t="n"/>
      <c r="N465" s="254" t="n"/>
      <c r="O465" s="1183" t="n"/>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c r="AA465" s="648" t="n"/>
      <c r="AB465" s="649">
        <f>+Z465+AA465</f>
        <v/>
      </c>
      <c r="AC465" s="648" t="n"/>
      <c r="AD465" s="648" t="n"/>
      <c r="AE465" s="648" t="n"/>
      <c r="AF465" s="648" t="n"/>
      <c r="AG465" s="648" t="n"/>
      <c r="AH465" s="648" t="n"/>
      <c r="AI465" s="648" t="n"/>
      <c r="AJ465" s="648" t="n"/>
      <c r="AK465" s="648" t="n"/>
      <c r="AL465" s="648" t="n"/>
      <c r="AM465" s="421">
        <f>SUM(AB465:AL469)</f>
        <v/>
      </c>
      <c r="AN465" s="726" t="n"/>
      <c r="AQ465" s="1238">
        <f>IFERROR(I465/J465*100,"0")</f>
        <v/>
      </c>
      <c r="AR465" s="343">
        <f>IFERROR(1/(1-(AQ465/100)),"0")</f>
        <v/>
      </c>
      <c r="AS465" s="1239" t="n">
        <v>0</v>
      </c>
      <c r="AT465" s="345" t="n">
        <v>1</v>
      </c>
      <c r="AU465" s="1240" t="n"/>
      <c r="AV465" s="1241" t="n"/>
      <c r="AW465" s="1242">
        <f>+H465-AV465</f>
        <v/>
      </c>
    </row>
    <row r="466" ht="17.25" customHeight="1">
      <c r="A466" s="973" t="n"/>
      <c r="B466" s="971" t="n"/>
      <c r="C466" s="972" t="n"/>
      <c r="D466" s="973" t="n"/>
      <c r="E466" s="973" t="n"/>
      <c r="F466" s="994" t="n"/>
      <c r="G466" s="994" t="n"/>
      <c r="H466" s="973" t="n"/>
      <c r="I466" s="973" t="n"/>
      <c r="J466" s="973" t="n"/>
      <c r="K466" s="973" t="n"/>
      <c r="L466" s="253" t="n"/>
      <c r="M466" s="254" t="n"/>
      <c r="N466" s="254" t="n"/>
      <c r="O466" s="1183" t="n"/>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73" t="n"/>
      <c r="E467" s="973" t="n"/>
      <c r="F467" s="994" t="n"/>
      <c r="G467" s="994" t="n"/>
      <c r="H467" s="973" t="n"/>
      <c r="I467" s="973" t="n"/>
      <c r="J467" s="973" t="n"/>
      <c r="K467" s="973" t="n"/>
      <c r="L467" s="253" t="n"/>
      <c r="M467" s="254" t="n"/>
      <c r="N467" s="254" t="n"/>
      <c r="O467" s="1183" t="n"/>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73" t="n"/>
      <c r="E468" s="973" t="n"/>
      <c r="F468" s="994" t="n"/>
      <c r="G468" s="994" t="n"/>
      <c r="H468" s="973" t="n"/>
      <c r="I468" s="973" t="n"/>
      <c r="J468" s="973" t="n"/>
      <c r="K468" s="973" t="n"/>
      <c r="L468" s="253" t="n"/>
      <c r="M468" s="254" t="n"/>
      <c r="N468" s="254" t="n"/>
      <c r="O468" s="1183" t="n"/>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73"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75" t="n"/>
      <c r="E470" s="975" t="n"/>
      <c r="F470" s="998" t="n"/>
      <c r="G470" s="998" t="n"/>
      <c r="H470" s="975" t="n"/>
      <c r="I470" s="975" t="n"/>
      <c r="J470" s="975" t="n"/>
      <c r="K470" s="1189">
        <f>K465=L470</f>
        <v/>
      </c>
      <c r="L470" s="491">
        <f>SUM(L465:L469)</f>
        <v/>
      </c>
      <c r="M470" s="1190" t="inlineStr">
        <is>
          <t xml:space="preserve">“Verdadero” indica que la cantidad por lote, coincide con el saldo que inicia al mes siguiente. "Falso" no coinicide. </t>
        </is>
      </c>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413">
        <f>AGOSTO!K471</f>
        <v/>
      </c>
      <c r="E471" s="339">
        <f>H67</f>
        <v/>
      </c>
      <c r="F471" s="338" t="n"/>
      <c r="G471" s="338" t="n"/>
      <c r="H471" s="1235">
        <f>+F471+G471</f>
        <v/>
      </c>
      <c r="I471" s="340">
        <f>+AM471</f>
        <v/>
      </c>
      <c r="J471" s="341">
        <f>+H471+I471</f>
        <v/>
      </c>
      <c r="K471" s="583">
        <f>+(D471+E471)-(J471)</f>
        <v/>
      </c>
      <c r="L471" s="253" t="n"/>
      <c r="M471" s="254" t="n"/>
      <c r="N471" s="254" t="n"/>
      <c r="O471" s="1183" t="n"/>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c r="AA471" s="648" t="n"/>
      <c r="AB471" s="649">
        <f>+Z471+AA471</f>
        <v/>
      </c>
      <c r="AC471" s="648" t="n"/>
      <c r="AD471" s="648" t="n"/>
      <c r="AE471" s="648" t="n"/>
      <c r="AF471" s="648" t="n"/>
      <c r="AG471" s="648" t="n"/>
      <c r="AH471" s="648" t="n"/>
      <c r="AI471" s="648" t="n"/>
      <c r="AJ471" s="648" t="n"/>
      <c r="AK471" s="648" t="n"/>
      <c r="AL471" s="648" t="n"/>
      <c r="AM471" s="421">
        <f>SUM(AB471:AL475)</f>
        <v/>
      </c>
      <c r="AN471" s="726" t="n"/>
      <c r="AQ471" s="1238">
        <f>IFERROR(I471/J471*100,"0")</f>
        <v/>
      </c>
      <c r="AR471" s="343">
        <f>IFERROR(1/(1-(AQ471/100)),"0")</f>
        <v/>
      </c>
      <c r="AS471" s="1239" t="n">
        <v>0</v>
      </c>
      <c r="AT471" s="345" t="n">
        <v>1</v>
      </c>
      <c r="AU471" s="1240" t="n"/>
      <c r="AV471" s="1241" t="n"/>
      <c r="AW471" s="1242">
        <f>+H471-AV471</f>
        <v/>
      </c>
    </row>
    <row r="472" ht="17.25" customHeight="1">
      <c r="A472" s="973" t="n"/>
      <c r="B472" s="971" t="n"/>
      <c r="C472" s="972" t="n"/>
      <c r="D472" s="973" t="n"/>
      <c r="E472" s="973" t="n"/>
      <c r="F472" s="994" t="n"/>
      <c r="G472" s="994" t="n"/>
      <c r="H472" s="973" t="n"/>
      <c r="I472" s="973" t="n"/>
      <c r="J472" s="973" t="n"/>
      <c r="K472" s="973" t="n"/>
      <c r="L472" s="253" t="n"/>
      <c r="M472" s="254" t="n"/>
      <c r="N472" s="254" t="n"/>
      <c r="O472" s="1183" t="n"/>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73" t="n"/>
      <c r="E473" s="973" t="n"/>
      <c r="F473" s="994" t="n"/>
      <c r="G473" s="994" t="n"/>
      <c r="H473" s="973" t="n"/>
      <c r="I473" s="973" t="n"/>
      <c r="J473" s="973" t="n"/>
      <c r="K473" s="973" t="n"/>
      <c r="L473" s="253" t="n"/>
      <c r="M473" s="254" t="n"/>
      <c r="N473" s="254" t="n"/>
      <c r="O473" s="1183" t="n"/>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73" t="n"/>
      <c r="E474" s="973" t="n"/>
      <c r="F474" s="994" t="n"/>
      <c r="G474" s="994" t="n"/>
      <c r="H474" s="973" t="n"/>
      <c r="I474" s="973" t="n"/>
      <c r="J474" s="973" t="n"/>
      <c r="K474" s="973" t="n"/>
      <c r="L474" s="253" t="n"/>
      <c r="M474" s="254" t="n"/>
      <c r="N474" s="254" t="n"/>
      <c r="O474" s="1183" t="n"/>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73" t="n"/>
      <c r="E475" s="973" t="n"/>
      <c r="F475" s="994" t="n"/>
      <c r="G475" s="994" t="n"/>
      <c r="H475" s="973" t="n"/>
      <c r="I475" s="973" t="n"/>
      <c r="J475" s="973" t="n"/>
      <c r="K475" s="975" t="n"/>
      <c r="L475" s="253" t="n"/>
      <c r="M475" s="254" t="n"/>
      <c r="N475" s="254" t="n"/>
      <c r="O475" s="1183" t="n"/>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75" t="n"/>
      <c r="E476" s="975" t="n"/>
      <c r="F476" s="998" t="n"/>
      <c r="G476" s="998" t="n"/>
      <c r="H476" s="975" t="n"/>
      <c r="I476" s="975" t="n"/>
      <c r="J476" s="975" t="n"/>
      <c r="K476" s="1189">
        <f>K471=L476</f>
        <v/>
      </c>
      <c r="L476" s="491">
        <f>SUM(L471:L475)</f>
        <v/>
      </c>
      <c r="M476" s="1190" t="inlineStr">
        <is>
          <t xml:space="preserve">“Verdadero” indica que la cantidad por lote, coincide con el saldo que inicia al mes siguiente. "Falso" no coinicide. </t>
        </is>
      </c>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413">
        <f>AGOSTO!K477</f>
        <v/>
      </c>
      <c r="E477" s="339">
        <f>H73</f>
        <v/>
      </c>
      <c r="F477" s="338" t="n"/>
      <c r="G477" s="338" t="n"/>
      <c r="H477" s="1235">
        <f>+F477+G477</f>
        <v/>
      </c>
      <c r="I477" s="340">
        <f>+AM477</f>
        <v/>
      </c>
      <c r="J477" s="341">
        <f>+H477+I477</f>
        <v/>
      </c>
      <c r="K477" s="583">
        <f>+(D477+E477)-(J477)</f>
        <v/>
      </c>
      <c r="L477" s="253" t="n"/>
      <c r="M477" s="254" t="n"/>
      <c r="N477" s="254" t="n"/>
      <c r="O477" s="1183" t="n"/>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c r="AA477" s="648" t="n"/>
      <c r="AB477" s="649">
        <f>+Z477+AA477</f>
        <v/>
      </c>
      <c r="AC477" s="648" t="n"/>
      <c r="AD477" s="648" t="n"/>
      <c r="AE477" s="648" t="n"/>
      <c r="AF477" s="648" t="n"/>
      <c r="AG477" s="648" t="n"/>
      <c r="AH477" s="648" t="n"/>
      <c r="AI477" s="648" t="n"/>
      <c r="AJ477" s="648" t="n"/>
      <c r="AK477" s="648" t="n"/>
      <c r="AL477" s="648" t="n"/>
      <c r="AM477" s="421">
        <f>SUM(AB477:AL481)</f>
        <v/>
      </c>
      <c r="AN477" s="726" t="n"/>
      <c r="AQ477" s="1238">
        <f>IFERROR(I477/J477*100,"0")</f>
        <v/>
      </c>
      <c r="AR477" s="343">
        <f>IFERROR(1/(1-(AQ477/100)),"0")</f>
        <v/>
      </c>
      <c r="AS477" s="1239" t="n">
        <v>0</v>
      </c>
      <c r="AT477" s="345" t="n">
        <v>1</v>
      </c>
      <c r="AU477" s="1240" t="n"/>
      <c r="AV477" s="1241" t="n"/>
      <c r="AW477" s="1242">
        <f>+H477-AV477</f>
        <v/>
      </c>
    </row>
    <row r="478" ht="17.25" customHeight="1">
      <c r="A478" s="973" t="n"/>
      <c r="B478" s="971" t="n"/>
      <c r="C478" s="972" t="n"/>
      <c r="D478" s="973" t="n"/>
      <c r="E478" s="973" t="n"/>
      <c r="F478" s="994" t="n"/>
      <c r="G478" s="994" t="n"/>
      <c r="H478" s="973" t="n"/>
      <c r="I478" s="973" t="n"/>
      <c r="J478" s="973" t="n"/>
      <c r="K478" s="973" t="n"/>
      <c r="L478" s="253" t="n"/>
      <c r="M478" s="254" t="n"/>
      <c r="N478" s="254" t="n"/>
      <c r="O478" s="1183" t="n"/>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73" t="n"/>
      <c r="E479" s="973" t="n"/>
      <c r="F479" s="994" t="n"/>
      <c r="G479" s="994" t="n"/>
      <c r="H479" s="973" t="n"/>
      <c r="I479" s="973" t="n"/>
      <c r="J479" s="973" t="n"/>
      <c r="K479" s="973" t="n"/>
      <c r="L479" s="253" t="n"/>
      <c r="M479" s="254" t="n"/>
      <c r="N479" s="254" t="n"/>
      <c r="O479" s="1183" t="n"/>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73" t="n"/>
      <c r="E480" s="973" t="n"/>
      <c r="F480" s="994" t="n"/>
      <c r="G480" s="994" t="n"/>
      <c r="H480" s="973" t="n"/>
      <c r="I480" s="973" t="n"/>
      <c r="J480" s="973" t="n"/>
      <c r="K480" s="973" t="n"/>
      <c r="L480" s="253" t="n"/>
      <c r="M480" s="254" t="n"/>
      <c r="N480" s="254" t="n"/>
      <c r="O480" s="1183" t="n"/>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73"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75" t="n"/>
      <c r="E482" s="975" t="n"/>
      <c r="F482" s="998" t="n"/>
      <c r="G482" s="998" t="n"/>
      <c r="H482" s="975" t="n"/>
      <c r="I482" s="975" t="n"/>
      <c r="J482" s="975" t="n"/>
      <c r="K482" s="1189">
        <f>K477=L482</f>
        <v/>
      </c>
      <c r="L482" s="491">
        <f>SUM(L477:L481)</f>
        <v/>
      </c>
      <c r="M482" s="1190" t="inlineStr">
        <is>
          <t xml:space="preserve">“Verdadero” indica que la cantidad por lote, coincide con el saldo que inicia al mes siguiente. "Falso" no coinicide. </t>
        </is>
      </c>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413">
        <f>AGOSTO!K483</f>
        <v/>
      </c>
      <c r="E483" s="339">
        <f>H79</f>
        <v/>
      </c>
      <c r="F483" s="338" t="n"/>
      <c r="G483" s="338" t="n"/>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c r="AA483" s="648" t="n"/>
      <c r="AB483" s="649">
        <f>+Z483+AA483</f>
        <v/>
      </c>
      <c r="AC483" s="648" t="n"/>
      <c r="AD483" s="648" t="n"/>
      <c r="AE483" s="648" t="n"/>
      <c r="AF483" s="648" t="n"/>
      <c r="AG483" s="648" t="n"/>
      <c r="AH483" s="648" t="n"/>
      <c r="AI483" s="648" t="n"/>
      <c r="AJ483" s="648" t="n"/>
      <c r="AK483" s="648" t="n"/>
      <c r="AL483" s="648" t="n"/>
      <c r="AM483" s="421">
        <f>SUM(AB483:AL487)</f>
        <v/>
      </c>
      <c r="AN483" s="726" t="n"/>
      <c r="AQ483" s="1238">
        <f>IFERROR(I483/J483*100,"0")</f>
        <v/>
      </c>
      <c r="AR483" s="343">
        <f>IFERROR(1/(1-(AQ483/100)),"0")</f>
        <v/>
      </c>
      <c r="AS483" s="1239" t="n">
        <v>0</v>
      </c>
      <c r="AT483" s="345" t="n">
        <v>1</v>
      </c>
      <c r="AU483" s="1240" t="n"/>
      <c r="AV483" s="1241" t="n"/>
      <c r="AW483" s="1242">
        <f>+H483-AV483</f>
        <v/>
      </c>
    </row>
    <row r="484" ht="17.25" customHeight="1">
      <c r="A484" s="973" t="n"/>
      <c r="B484" s="971" t="n"/>
      <c r="C484" s="972" t="n"/>
      <c r="D484" s="973"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73"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73"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73"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75" t="n"/>
      <c r="E488" s="975" t="n"/>
      <c r="F488" s="998" t="n"/>
      <c r="G488" s="998" t="n"/>
      <c r="H488" s="975" t="n"/>
      <c r="I488" s="975" t="n"/>
      <c r="J488" s="975" t="n"/>
      <c r="K488" s="1189">
        <f>K483=L488</f>
        <v/>
      </c>
      <c r="L488" s="491">
        <f>SUM(L483:L487)</f>
        <v/>
      </c>
      <c r="M488" s="1190" t="inlineStr">
        <is>
          <t xml:space="preserve">“Verdadero” indica que la cantidad por lote, coincide con el saldo que inicia al mes siguiente. "Falso" no coinicide. </t>
        </is>
      </c>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413">
        <f>AGOSTO!K489</f>
        <v/>
      </c>
      <c r="E489" s="339">
        <f>H85</f>
        <v/>
      </c>
      <c r="F489" s="338" t="n"/>
      <c r="G489" s="338" t="n"/>
      <c r="H489" s="1235">
        <f>+F489+G489</f>
        <v/>
      </c>
      <c r="I489" s="340">
        <f>+AM489</f>
        <v/>
      </c>
      <c r="J489" s="341">
        <f>+H489+I489</f>
        <v/>
      </c>
      <c r="K489" s="583">
        <f>+(D489+E489)-(J489)</f>
        <v/>
      </c>
      <c r="L489" s="253" t="n"/>
      <c r="M489" s="254" t="n"/>
      <c r="N489" s="254" t="n"/>
      <c r="O489" s="1183" t="n"/>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c r="AA489" s="648" t="n"/>
      <c r="AB489" s="649">
        <f>+Z489+AA489</f>
        <v/>
      </c>
      <c r="AC489" s="648" t="n"/>
      <c r="AD489" s="648" t="n"/>
      <c r="AE489" s="648" t="n"/>
      <c r="AF489" s="648" t="n"/>
      <c r="AG489" s="648" t="n"/>
      <c r="AH489" s="648" t="n"/>
      <c r="AI489" s="648" t="n"/>
      <c r="AJ489" s="648" t="n"/>
      <c r="AK489" s="648" t="n"/>
      <c r="AL489" s="648" t="n"/>
      <c r="AM489" s="421">
        <f>SUM(AB489:AL493)</f>
        <v/>
      </c>
      <c r="AN489" s="726" t="n"/>
      <c r="AQ489" s="1238">
        <f>IFERROR(I489/J489*100,"0")</f>
        <v/>
      </c>
      <c r="AR489" s="343">
        <f>IFERROR(1/(1-(AQ489/100)),"0")</f>
        <v/>
      </c>
      <c r="AS489" s="1239" t="n">
        <v>0</v>
      </c>
      <c r="AT489" s="345" t="n">
        <v>1</v>
      </c>
      <c r="AU489" s="1240" t="n"/>
      <c r="AV489" s="1241" t="n"/>
      <c r="AW489" s="1242">
        <f>+H489-AV489</f>
        <v/>
      </c>
    </row>
    <row r="490" ht="17.25" customHeight="1">
      <c r="A490" s="973" t="n"/>
      <c r="B490" s="971" t="n"/>
      <c r="C490" s="972" t="n"/>
      <c r="D490" s="973" t="n"/>
      <c r="E490" s="973" t="n"/>
      <c r="F490" s="994" t="n"/>
      <c r="G490" s="994" t="n"/>
      <c r="H490" s="973" t="n"/>
      <c r="I490" s="973" t="n"/>
      <c r="J490" s="973" t="n"/>
      <c r="K490" s="973" t="n"/>
      <c r="L490" s="253" t="n"/>
      <c r="M490" s="254" t="n"/>
      <c r="N490" s="254" t="n"/>
      <c r="O490" s="1183" t="n"/>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73" t="n"/>
      <c r="E491" s="973" t="n"/>
      <c r="F491" s="994" t="n"/>
      <c r="G491" s="994" t="n"/>
      <c r="H491" s="973" t="n"/>
      <c r="I491" s="973" t="n"/>
      <c r="J491" s="973" t="n"/>
      <c r="K491" s="973" t="n"/>
      <c r="L491" s="253" t="n"/>
      <c r="M491" s="254" t="n"/>
      <c r="N491" s="254" t="n"/>
      <c r="O491" s="1183" t="n"/>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73" t="n"/>
      <c r="E492" s="973" t="n"/>
      <c r="F492" s="994" t="n"/>
      <c r="G492" s="994" t="n"/>
      <c r="H492" s="973" t="n"/>
      <c r="I492" s="973" t="n"/>
      <c r="J492" s="973" t="n"/>
      <c r="K492" s="973" t="n"/>
      <c r="L492" s="253" t="n"/>
      <c r="M492" s="254" t="n"/>
      <c r="N492" s="254" t="n"/>
      <c r="O492" s="1183" t="n"/>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73"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75" t="n"/>
      <c r="E494" s="975" t="n"/>
      <c r="F494" s="998" t="n"/>
      <c r="G494" s="998" t="n"/>
      <c r="H494" s="975" t="n"/>
      <c r="I494" s="975" t="n"/>
      <c r="J494" s="975" t="n"/>
      <c r="K494" s="1189">
        <f>K489=L494</f>
        <v/>
      </c>
      <c r="L494" s="491">
        <f>SUM(L489:L493)</f>
        <v/>
      </c>
      <c r="M494" s="1190" t="inlineStr">
        <is>
          <t xml:space="preserve">“Verdadero” indica que la cantidad por lote, coincide con el saldo que inicia al mes siguiente. "Falso" no coinicide. </t>
        </is>
      </c>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413">
        <f>AGOSTO!K495</f>
        <v/>
      </c>
      <c r="E495" s="339">
        <f>H91</f>
        <v/>
      </c>
      <c r="F495" s="338" t="n"/>
      <c r="G495" s="338" t="n"/>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c r="AA495" s="648" t="n"/>
      <c r="AB495" s="649">
        <f>+Z495+AA495</f>
        <v/>
      </c>
      <c r="AC495" s="648" t="n"/>
      <c r="AD495" s="648" t="n"/>
      <c r="AE495" s="648" t="n"/>
      <c r="AF495" s="648" t="n"/>
      <c r="AG495" s="648" t="n"/>
      <c r="AH495" s="648" t="n"/>
      <c r="AI495" s="648" t="n"/>
      <c r="AJ495" s="648" t="n"/>
      <c r="AK495" s="648" t="n"/>
      <c r="AL495" s="648" t="n"/>
      <c r="AM495" s="421">
        <f>SUM(AB495:AL499)</f>
        <v/>
      </c>
      <c r="AN495" s="726" t="n"/>
      <c r="AQ495" s="1238">
        <f>IFERROR(I495/J495*100,"0")</f>
        <v/>
      </c>
      <c r="AR495" s="343">
        <f>IFERROR(1/(1-(AQ495/100)),"0")</f>
        <v/>
      </c>
      <c r="AS495" s="1239" t="n">
        <v>25</v>
      </c>
      <c r="AT495" s="345" t="n">
        <v>5</v>
      </c>
      <c r="AU495" s="1240" t="n"/>
      <c r="AV495" s="1241" t="n"/>
      <c r="AW495" s="1242">
        <f>+H495-AV495</f>
        <v/>
      </c>
    </row>
    <row r="496" ht="17.25" customHeight="1">
      <c r="A496" s="973" t="n"/>
      <c r="B496" s="971" t="n"/>
      <c r="C496" s="972" t="n"/>
      <c r="D496" s="973"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73"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73"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73"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75" t="n"/>
      <c r="E500" s="975" t="n"/>
      <c r="F500" s="998" t="n"/>
      <c r="G500" s="998" t="n"/>
      <c r="H500" s="975" t="n"/>
      <c r="I500" s="975" t="n"/>
      <c r="J500" s="975" t="n"/>
      <c r="K500" s="1189">
        <f>K495=L500</f>
        <v/>
      </c>
      <c r="L500" s="491">
        <f>SUM(L495:L499)</f>
        <v/>
      </c>
      <c r="M500" s="1190" t="inlineStr">
        <is>
          <t xml:space="preserve">“Verdadero” indica que la cantidad por lote, coincide con el saldo que inicia al mes siguiente. "Falso" no coinicide. </t>
        </is>
      </c>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413">
        <f>AGOSTO!K501</f>
        <v/>
      </c>
      <c r="E501" s="339">
        <f>H97</f>
        <v/>
      </c>
      <c r="F501" s="338" t="n"/>
      <c r="G501" s="338" t="n"/>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c r="AA501" s="648" t="n"/>
      <c r="AB501" s="649">
        <f>+Z501+AA501</f>
        <v/>
      </c>
      <c r="AC501" s="648" t="n"/>
      <c r="AD501" s="648" t="n"/>
      <c r="AE501" s="648" t="n"/>
      <c r="AF501" s="648" t="n"/>
      <c r="AG501" s="648" t="n"/>
      <c r="AH501" s="648" t="n"/>
      <c r="AI501" s="648" t="n"/>
      <c r="AJ501" s="648" t="n"/>
      <c r="AK501" s="648" t="n"/>
      <c r="AL501" s="648" t="n"/>
      <c r="AM501" s="421">
        <f>SUM(AB501:AL505)</f>
        <v/>
      </c>
      <c r="AN501" s="726" t="n"/>
      <c r="AQ501" s="1238">
        <f>IFERROR(I501/J501*100,"0")</f>
        <v/>
      </c>
      <c r="AR501" s="343">
        <f>IFERROR(1/(1-(AQ501/100)),"0")</f>
        <v/>
      </c>
      <c r="AS501" s="1239" t="n">
        <v>30</v>
      </c>
      <c r="AT501" s="345" t="n">
        <v>10</v>
      </c>
      <c r="AU501" s="1240" t="n"/>
      <c r="AV501" s="1241" t="n"/>
      <c r="AW501" s="1242">
        <f>+H501-AV501</f>
        <v/>
      </c>
    </row>
    <row r="502" ht="17.25" customHeight="1">
      <c r="A502" s="973" t="n"/>
      <c r="B502" s="971" t="n"/>
      <c r="C502" s="972" t="n"/>
      <c r="D502" s="973"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73"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73"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73"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75" t="n"/>
      <c r="E506" s="975" t="n"/>
      <c r="F506" s="998" t="n"/>
      <c r="G506" s="998" t="n"/>
      <c r="H506" s="975" t="n"/>
      <c r="I506" s="975" t="n"/>
      <c r="J506" s="975" t="n"/>
      <c r="K506" s="1189">
        <f>K501=L506</f>
        <v/>
      </c>
      <c r="L506" s="491">
        <f>SUM(L501:L505)</f>
        <v/>
      </c>
      <c r="M506" s="1190" t="inlineStr">
        <is>
          <t xml:space="preserve">“Verdadero” indica que la cantidad por lote, coincide con el saldo que inicia al mes siguiente. "Falso" no coinicide. </t>
        </is>
      </c>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413">
        <f>AGOSTO!K507</f>
        <v/>
      </c>
      <c r="E507" s="339">
        <f>H103</f>
        <v/>
      </c>
      <c r="F507" s="338" t="n"/>
      <c r="G507" s="338" t="n"/>
      <c r="H507" s="1235">
        <f>+F507+G507</f>
        <v/>
      </c>
      <c r="I507" s="340">
        <f>+AM507</f>
        <v/>
      </c>
      <c r="J507" s="341">
        <f>+H507+I507</f>
        <v/>
      </c>
      <c r="K507" s="583">
        <f>+(D507+E507)-(J507)</f>
        <v/>
      </c>
      <c r="L507" s="253" t="n"/>
      <c r="M507" s="254" t="n"/>
      <c r="N507" s="254" t="n"/>
      <c r="O507" s="1183" t="n"/>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c r="AA507" s="648" t="n"/>
      <c r="AB507" s="649">
        <f>+Z507+AA507</f>
        <v/>
      </c>
      <c r="AC507" s="648" t="n"/>
      <c r="AD507" s="648" t="n"/>
      <c r="AE507" s="648" t="n"/>
      <c r="AF507" s="648" t="n"/>
      <c r="AG507" s="648" t="n"/>
      <c r="AH507" s="648" t="n"/>
      <c r="AI507" s="648" t="n"/>
      <c r="AJ507" s="648" t="n"/>
      <c r="AK507" s="648" t="n"/>
      <c r="AL507" s="648" t="n"/>
      <c r="AM507" s="421">
        <f>SUM(AB507:AL511)</f>
        <v/>
      </c>
      <c r="AN507" s="726" t="n"/>
      <c r="AQ507" s="1238">
        <f>IFERROR(I507/J507*100,"0")</f>
        <v/>
      </c>
      <c r="AR507" s="343">
        <f>IFERROR(1/(1-(AQ507/100)),"0")</f>
        <v/>
      </c>
      <c r="AS507" s="1239" t="n">
        <v>0</v>
      </c>
      <c r="AT507" s="345" t="n">
        <v>1</v>
      </c>
      <c r="AU507" s="1240" t="n"/>
      <c r="AV507" s="1241" t="n"/>
      <c r="AW507" s="1242">
        <f>+H507-AV507</f>
        <v/>
      </c>
    </row>
    <row r="508" ht="17.25" customHeight="1">
      <c r="A508" s="973" t="n"/>
      <c r="B508" s="971" t="n"/>
      <c r="C508" s="972" t="n"/>
      <c r="D508" s="973" t="n"/>
      <c r="E508" s="973" t="n"/>
      <c r="F508" s="994" t="n"/>
      <c r="G508" s="994" t="n"/>
      <c r="H508" s="973" t="n"/>
      <c r="I508" s="973" t="n"/>
      <c r="J508" s="973" t="n"/>
      <c r="K508" s="973" t="n"/>
      <c r="L508" s="253" t="n"/>
      <c r="M508" s="254" t="n"/>
      <c r="N508" s="254" t="n"/>
      <c r="O508" s="1183" t="n"/>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73" t="n"/>
      <c r="E509" s="973" t="n"/>
      <c r="F509" s="994" t="n"/>
      <c r="G509" s="994" t="n"/>
      <c r="H509" s="973" t="n"/>
      <c r="I509" s="973" t="n"/>
      <c r="J509" s="973" t="n"/>
      <c r="K509" s="973" t="n"/>
      <c r="L509" s="253" t="n"/>
      <c r="M509" s="254" t="n"/>
      <c r="N509" s="254" t="n"/>
      <c r="O509" s="1183" t="n"/>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73" t="n"/>
      <c r="E510" s="973" t="n"/>
      <c r="F510" s="994" t="n"/>
      <c r="G510" s="994" t="n"/>
      <c r="H510" s="973" t="n"/>
      <c r="I510" s="973" t="n"/>
      <c r="J510" s="973" t="n"/>
      <c r="K510" s="973" t="n"/>
      <c r="L510" s="253" t="n"/>
      <c r="M510" s="254" t="n"/>
      <c r="N510" s="254" t="n"/>
      <c r="O510" s="1183" t="n"/>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73" t="n"/>
      <c r="E511" s="973" t="n"/>
      <c r="F511" s="994" t="n"/>
      <c r="G511" s="994" t="n"/>
      <c r="H511" s="973" t="n"/>
      <c r="I511" s="973" t="n"/>
      <c r="J511" s="973" t="n"/>
      <c r="K511" s="975" t="n"/>
      <c r="L511" s="253" t="n"/>
      <c r="M511" s="254" t="n"/>
      <c r="N511" s="254" t="n"/>
      <c r="O511" s="1183" t="n"/>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75" t="n"/>
      <c r="E512" s="975" t="n"/>
      <c r="F512" s="998" t="n"/>
      <c r="G512" s="998" t="n"/>
      <c r="H512" s="975" t="n"/>
      <c r="I512" s="975" t="n"/>
      <c r="J512" s="975" t="n"/>
      <c r="K512" s="1189">
        <f>K507=L512</f>
        <v/>
      </c>
      <c r="L512" s="491">
        <f>SUM(L507:L511)</f>
        <v/>
      </c>
      <c r="M512" s="1190" t="inlineStr">
        <is>
          <t xml:space="preserve">“Verdadero” indica que la cantidad por lote, coincide con el saldo que inicia al mes siguiente. "Falso" no coinicide. </t>
        </is>
      </c>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413">
        <f>AGOSTO!K513</f>
        <v/>
      </c>
      <c r="E513" s="339">
        <f>H109</f>
        <v/>
      </c>
      <c r="F513" s="338" t="n"/>
      <c r="G513" s="338" t="n"/>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c r="AA513" s="648" t="n"/>
      <c r="AB513" s="649">
        <f>+Z513+AA513</f>
        <v/>
      </c>
      <c r="AC513" s="648" t="n"/>
      <c r="AD513" s="648" t="n"/>
      <c r="AE513" s="648" t="n"/>
      <c r="AF513" s="648" t="n"/>
      <c r="AG513" s="648" t="n"/>
      <c r="AH513" s="648" t="n"/>
      <c r="AI513" s="648" t="n"/>
      <c r="AJ513" s="648" t="n"/>
      <c r="AK513" s="648" t="n"/>
      <c r="AL513" s="648" t="n"/>
      <c r="AM513" s="421">
        <f>SUM(AB513:AL517)</f>
        <v/>
      </c>
      <c r="AN513" s="726" t="n"/>
      <c r="AQ513" s="1238">
        <f>IFERROR(I513/J513*100,"0")</f>
        <v/>
      </c>
      <c r="AR513" s="343">
        <f>IFERROR(1/(1-(AQ513/100)),"0")</f>
        <v/>
      </c>
      <c r="AS513" s="1239" t="n">
        <v>30</v>
      </c>
      <c r="AT513" s="345" t="n">
        <v>10</v>
      </c>
      <c r="AU513" s="1240" t="n"/>
      <c r="AV513" s="1241" t="n"/>
      <c r="AW513" s="1242">
        <f>+H513-AV513</f>
        <v/>
      </c>
    </row>
    <row r="514" ht="17.25" customHeight="1">
      <c r="A514" s="973" t="n"/>
      <c r="B514" s="971" t="n"/>
      <c r="C514" s="972" t="n"/>
      <c r="D514" s="973"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73"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73"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73"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75" t="n"/>
      <c r="E518" s="975" t="n"/>
      <c r="F518" s="998" t="n"/>
      <c r="G518" s="998" t="n"/>
      <c r="H518" s="975" t="n"/>
      <c r="I518" s="975" t="n"/>
      <c r="J518" s="975" t="n"/>
      <c r="K518" s="1189">
        <f>K513=L518</f>
        <v/>
      </c>
      <c r="L518" s="491">
        <f>SUM(L513:L517)</f>
        <v/>
      </c>
      <c r="M518" s="1190" t="inlineStr">
        <is>
          <t xml:space="preserve">“Verdadero” indica que la cantidad por lote, coincide con el saldo que inicia al mes siguiente. "Falso" no coinicide. </t>
        </is>
      </c>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413">
        <f>AGOSTO!K519</f>
        <v/>
      </c>
      <c r="E519" s="339">
        <f>H115</f>
        <v/>
      </c>
      <c r="F519" s="338" t="n"/>
      <c r="G519" s="338" t="n"/>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c r="AA519" s="648" t="n"/>
      <c r="AB519" s="649">
        <f>+Z519+AA519</f>
        <v/>
      </c>
      <c r="AC519" s="648" t="n"/>
      <c r="AD519" s="648" t="n"/>
      <c r="AE519" s="648" t="n"/>
      <c r="AF519" s="648" t="n"/>
      <c r="AG519" s="648" t="n"/>
      <c r="AH519" s="648" t="n"/>
      <c r="AI519" s="648" t="n"/>
      <c r="AJ519" s="648" t="n"/>
      <c r="AK519" s="648" t="n"/>
      <c r="AL519" s="648" t="n"/>
      <c r="AM519" s="421">
        <f>SUM(AB519:AL523)</f>
        <v/>
      </c>
      <c r="AN519" s="726" t="n"/>
      <c r="AQ519" s="1238">
        <f>IFERROR(I519/J519*100,"0")</f>
        <v/>
      </c>
      <c r="AR519" s="343">
        <f>IFERROR(1/(1-(AQ519/100)),"0")</f>
        <v/>
      </c>
      <c r="AS519" s="1239" t="n">
        <v>0</v>
      </c>
      <c r="AT519" s="345" t="n">
        <v>1</v>
      </c>
      <c r="AU519" s="1240" t="n"/>
      <c r="AV519" s="1241" t="n"/>
      <c r="AW519" s="1242">
        <f>+H519-AV519</f>
        <v/>
      </c>
    </row>
    <row r="520" ht="17.25" customHeight="1">
      <c r="A520" s="973" t="n"/>
      <c r="B520" s="971" t="n"/>
      <c r="C520" s="972" t="n"/>
      <c r="D520" s="973"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73"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73"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73"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75" t="n"/>
      <c r="E524" s="975" t="n"/>
      <c r="F524" s="998" t="n"/>
      <c r="G524" s="998" t="n"/>
      <c r="H524" s="975" t="n"/>
      <c r="I524" s="975" t="n"/>
      <c r="J524" s="975" t="n"/>
      <c r="K524" s="1189">
        <f>K519=L524</f>
        <v/>
      </c>
      <c r="L524" s="491">
        <f>SUM(L519:L523)</f>
        <v/>
      </c>
      <c r="M524" s="1190" t="inlineStr">
        <is>
          <t xml:space="preserve">“Verdadero” indica que la cantidad por lote, coincide con el saldo que inicia al mes siguiente. "Falso" no coinicide. </t>
        </is>
      </c>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413">
        <f>AGOSTO!K525</f>
        <v/>
      </c>
      <c r="E525" s="339">
        <f>H121</f>
        <v/>
      </c>
      <c r="F525" s="338" t="n"/>
      <c r="G525" s="338" t="n"/>
      <c r="H525" s="1235">
        <f>+F525+G525</f>
        <v/>
      </c>
      <c r="I525" s="340">
        <f>+AM525</f>
        <v/>
      </c>
      <c r="J525" s="341">
        <f>+H525+I525</f>
        <v/>
      </c>
      <c r="K525" s="583">
        <f>+(D525+E525)-(J525)</f>
        <v/>
      </c>
      <c r="L525" s="253" t="n"/>
      <c r="M525" s="254" t="n"/>
      <c r="N525" s="254" t="n"/>
      <c r="O525" s="1183" t="n"/>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c r="AA525" s="648" t="n"/>
      <c r="AB525" s="649">
        <f>+Z525+AA525</f>
        <v/>
      </c>
      <c r="AC525" s="648" t="n"/>
      <c r="AD525" s="648" t="n"/>
      <c r="AE525" s="648" t="n"/>
      <c r="AF525" s="648" t="n"/>
      <c r="AG525" s="648" t="n"/>
      <c r="AH525" s="648" t="n"/>
      <c r="AI525" s="648" t="n"/>
      <c r="AJ525" s="648" t="n"/>
      <c r="AK525" s="648" t="n"/>
      <c r="AL525" s="648" t="n"/>
      <c r="AM525" s="421">
        <f>SUM(AB525:AL529)</f>
        <v/>
      </c>
      <c r="AN525" s="726" t="n"/>
      <c r="AQ525" s="1238">
        <f>IFERROR(I525/J525*100,"0")</f>
        <v/>
      </c>
      <c r="AR525" s="343">
        <f>IFERROR(1/(1-(AQ525/100)),"0")</f>
        <v/>
      </c>
      <c r="AS525" s="1239" t="n">
        <v>70</v>
      </c>
      <c r="AT525" s="345" t="n">
        <v>10</v>
      </c>
      <c r="AU525" s="1240" t="n"/>
      <c r="AV525" s="1241" t="n"/>
      <c r="AW525" s="1242">
        <f>+H525-AV525</f>
        <v/>
      </c>
    </row>
    <row r="526" ht="17.25" customHeight="1">
      <c r="A526" s="973" t="n"/>
      <c r="B526" s="971" t="n"/>
      <c r="C526" s="972" t="n"/>
      <c r="D526" s="973" t="n"/>
      <c r="E526" s="973" t="n"/>
      <c r="F526" s="994" t="n"/>
      <c r="G526" s="994" t="n"/>
      <c r="H526" s="973" t="n"/>
      <c r="I526" s="973" t="n"/>
      <c r="J526" s="973" t="n"/>
      <c r="K526" s="973" t="n"/>
      <c r="L526" s="253" t="n"/>
      <c r="M526" s="254" t="n"/>
      <c r="N526" s="254" t="n"/>
      <c r="O526" s="1183" t="n"/>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73" t="n"/>
      <c r="E527" s="973" t="n"/>
      <c r="F527" s="994" t="n"/>
      <c r="G527" s="994" t="n"/>
      <c r="H527" s="973" t="n"/>
      <c r="I527" s="973" t="n"/>
      <c r="J527" s="973" t="n"/>
      <c r="K527" s="973" t="n"/>
      <c r="L527" s="253" t="n"/>
      <c r="M527" s="254" t="n"/>
      <c r="N527" s="254" t="n"/>
      <c r="O527" s="1183" t="n"/>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73" t="n"/>
      <c r="E528" s="973" t="n"/>
      <c r="F528" s="994" t="n"/>
      <c r="G528" s="994" t="n"/>
      <c r="H528" s="973" t="n"/>
      <c r="I528" s="973" t="n"/>
      <c r="J528" s="973" t="n"/>
      <c r="K528" s="973" t="n"/>
      <c r="L528" s="253" t="n"/>
      <c r="M528" s="254" t="n"/>
      <c r="N528" s="254" t="n"/>
      <c r="O528" s="1183" t="n"/>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73" t="n"/>
      <c r="E529" s="973" t="n"/>
      <c r="F529" s="994" t="n"/>
      <c r="G529" s="994" t="n"/>
      <c r="H529" s="973" t="n"/>
      <c r="I529" s="973" t="n"/>
      <c r="J529" s="973" t="n"/>
      <c r="K529" s="975" t="n"/>
      <c r="L529" s="253" t="n"/>
      <c r="M529" s="254" t="n"/>
      <c r="N529" s="254" t="n"/>
      <c r="O529" s="1183" t="n"/>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75" t="n"/>
      <c r="E530" s="975" t="n"/>
      <c r="F530" s="998" t="n"/>
      <c r="G530" s="998" t="n"/>
      <c r="H530" s="975" t="n"/>
      <c r="I530" s="975" t="n"/>
      <c r="J530" s="975" t="n"/>
      <c r="K530" s="1189">
        <f>K525=L530</f>
        <v/>
      </c>
      <c r="L530" s="491">
        <f>SUM(L525:L529)</f>
        <v/>
      </c>
      <c r="M530" s="1190" t="inlineStr">
        <is>
          <t xml:space="preserve">“Verdadero” indica que la cantidad por lote, coincide con el saldo que inicia al mes siguiente. "Falso" no coinicide. </t>
        </is>
      </c>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413">
        <f>AGOSTO!K531</f>
        <v/>
      </c>
      <c r="E531" s="339">
        <f>H127</f>
        <v/>
      </c>
      <c r="F531" s="338" t="n"/>
      <c r="G531" s="338" t="n"/>
      <c r="H531" s="1235">
        <f>+F531+G531</f>
        <v/>
      </c>
      <c r="I531" s="340">
        <f>+AM531</f>
        <v/>
      </c>
      <c r="J531" s="341">
        <f>+H531+I531</f>
        <v/>
      </c>
      <c r="K531" s="583">
        <f>+(D531+E531)-(J531)</f>
        <v/>
      </c>
      <c r="L531" s="253" t="n"/>
      <c r="M531" s="254" t="n"/>
      <c r="N531" s="254" t="n"/>
      <c r="O531" s="1183" t="n"/>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c r="AA531" s="648" t="n"/>
      <c r="AB531" s="649">
        <f>+Z531+AA531</f>
        <v/>
      </c>
      <c r="AC531" s="648" t="n"/>
      <c r="AD531" s="648" t="n"/>
      <c r="AE531" s="648" t="n"/>
      <c r="AF531" s="648" t="n"/>
      <c r="AG531" s="648" t="n"/>
      <c r="AH531" s="648" t="n"/>
      <c r="AI531" s="648" t="n"/>
      <c r="AJ531" s="648" t="n"/>
      <c r="AK531" s="648" t="n"/>
      <c r="AL531" s="648" t="n"/>
      <c r="AM531" s="421">
        <f>SUM(AB531:AL535)</f>
        <v/>
      </c>
      <c r="AN531" s="726" t="n"/>
      <c r="AQ531" s="1238">
        <f>IFERROR(I531/J531*100,"0")</f>
        <v/>
      </c>
      <c r="AR531" s="343">
        <f>IFERROR(1/(1-(AQ531/100)),"0")</f>
        <v/>
      </c>
      <c r="AS531" s="1239" t="n">
        <v>0</v>
      </c>
      <c r="AT531" s="345" t="n">
        <v>1</v>
      </c>
      <c r="AU531" s="1240" t="n"/>
      <c r="AV531" s="1241" t="n"/>
      <c r="AW531" s="1242">
        <f>+H531-AV531</f>
        <v/>
      </c>
    </row>
    <row r="532" ht="17.25" customHeight="1">
      <c r="A532" s="973" t="n"/>
      <c r="B532" s="971" t="n"/>
      <c r="C532" s="972" t="n"/>
      <c r="D532" s="973" t="n"/>
      <c r="E532" s="973" t="n"/>
      <c r="F532" s="994" t="n"/>
      <c r="G532" s="994" t="n"/>
      <c r="H532" s="973" t="n"/>
      <c r="I532" s="973" t="n"/>
      <c r="J532" s="973" t="n"/>
      <c r="K532" s="973" t="n"/>
      <c r="L532" s="253" t="n"/>
      <c r="M532" s="254" t="n"/>
      <c r="N532" s="254" t="n"/>
      <c r="O532" s="1183" t="n"/>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73" t="n"/>
      <c r="E533" s="973" t="n"/>
      <c r="F533" s="994" t="n"/>
      <c r="G533" s="994" t="n"/>
      <c r="H533" s="973" t="n"/>
      <c r="I533" s="973" t="n"/>
      <c r="J533" s="973" t="n"/>
      <c r="K533" s="973" t="n"/>
      <c r="L533" s="253" t="n"/>
      <c r="M533" s="254" t="n"/>
      <c r="N533" s="254" t="n"/>
      <c r="O533" s="1183" t="n"/>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73" t="n"/>
      <c r="E534" s="973" t="n"/>
      <c r="F534" s="994" t="n"/>
      <c r="G534" s="994" t="n"/>
      <c r="H534" s="973" t="n"/>
      <c r="I534" s="973" t="n"/>
      <c r="J534" s="973" t="n"/>
      <c r="K534" s="973" t="n"/>
      <c r="L534" s="253" t="n"/>
      <c r="M534" s="254" t="n"/>
      <c r="N534" s="254" t="n"/>
      <c r="O534" s="1183" t="n"/>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73" t="n"/>
      <c r="E535" s="973" t="n"/>
      <c r="F535" s="994" t="n"/>
      <c r="G535" s="994" t="n"/>
      <c r="H535" s="973" t="n"/>
      <c r="I535" s="973" t="n"/>
      <c r="J535" s="973" t="n"/>
      <c r="K535" s="975" t="n"/>
      <c r="L535" s="253" t="n"/>
      <c r="M535" s="254" t="n"/>
      <c r="N535" s="254" t="n"/>
      <c r="O535" s="1183" t="n"/>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75" t="n"/>
      <c r="E536" s="975" t="n"/>
      <c r="F536" s="998" t="n"/>
      <c r="G536" s="998" t="n"/>
      <c r="H536" s="975" t="n"/>
      <c r="I536" s="975" t="n"/>
      <c r="J536" s="975" t="n"/>
      <c r="K536" s="1189">
        <f>K531=L536</f>
        <v/>
      </c>
      <c r="L536" s="491">
        <f>SUM(L531:L535)</f>
        <v/>
      </c>
      <c r="M536" s="1190" t="inlineStr">
        <is>
          <t xml:space="preserve">“Verdadero” indica que la cantidad por lote, coincide con el saldo que inicia al mes siguiente. "Falso" no coinicide. </t>
        </is>
      </c>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413">
        <f>AGOSTO!K537</f>
        <v/>
      </c>
      <c r="E537" s="339">
        <f>H133</f>
        <v/>
      </c>
      <c r="F537" s="338" t="n"/>
      <c r="G537" s="338" t="n"/>
      <c r="H537" s="1235">
        <f>+F537+G537</f>
        <v/>
      </c>
      <c r="I537" s="340">
        <f>+AM537</f>
        <v/>
      </c>
      <c r="J537" s="341">
        <f>+H537+I537</f>
        <v/>
      </c>
      <c r="K537" s="583">
        <f>+(D537+E537)-(J537)</f>
        <v/>
      </c>
      <c r="L537" s="253" t="n"/>
      <c r="M537" s="254" t="n"/>
      <c r="N537" s="254" t="n"/>
      <c r="O537" s="1183" t="n"/>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c r="AA537" s="648" t="n"/>
      <c r="AB537" s="649">
        <f>+Z537+AA537</f>
        <v/>
      </c>
      <c r="AC537" s="648" t="n"/>
      <c r="AD537" s="648" t="n"/>
      <c r="AE537" s="648" t="n"/>
      <c r="AF537" s="648" t="n"/>
      <c r="AG537" s="648" t="n"/>
      <c r="AH537" s="648" t="n"/>
      <c r="AI537" s="648" t="n"/>
      <c r="AJ537" s="648" t="n"/>
      <c r="AK537" s="648" t="n"/>
      <c r="AL537" s="648" t="n"/>
      <c r="AM537" s="421">
        <f>SUM(AB537:AL541)</f>
        <v/>
      </c>
      <c r="AN537" s="726" t="n"/>
      <c r="AQ537" s="1238">
        <f>IFERROR(I537/J537*100,"0")</f>
        <v/>
      </c>
      <c r="AR537" s="343">
        <f>IFERROR(1/(1-(AQ537/100)),"0")</f>
        <v/>
      </c>
      <c r="AS537" s="1239" t="n">
        <v>0</v>
      </c>
      <c r="AT537" s="345" t="n">
        <v>1</v>
      </c>
      <c r="AU537" s="1240" t="n"/>
      <c r="AV537" s="1241" t="n"/>
      <c r="AW537" s="1242">
        <f>+H537-AV537</f>
        <v/>
      </c>
    </row>
    <row r="538" ht="17.25" customHeight="1">
      <c r="A538" s="973" t="n"/>
      <c r="B538" s="971" t="n"/>
      <c r="C538" s="972" t="n"/>
      <c r="D538" s="973" t="n"/>
      <c r="E538" s="973" t="n"/>
      <c r="F538" s="994" t="n"/>
      <c r="G538" s="994" t="n"/>
      <c r="H538" s="973" t="n"/>
      <c r="I538" s="973" t="n"/>
      <c r="J538" s="973" t="n"/>
      <c r="K538" s="973" t="n"/>
      <c r="L538" s="253" t="n"/>
      <c r="M538" s="254" t="n"/>
      <c r="N538" s="254" t="n"/>
      <c r="O538" s="1183" t="n"/>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73" t="n"/>
      <c r="E539" s="973" t="n"/>
      <c r="F539" s="994" t="n"/>
      <c r="G539" s="994" t="n"/>
      <c r="H539" s="973" t="n"/>
      <c r="I539" s="973" t="n"/>
      <c r="J539" s="973" t="n"/>
      <c r="K539" s="973" t="n"/>
      <c r="L539" s="253" t="n"/>
      <c r="M539" s="254" t="n"/>
      <c r="N539" s="254" t="n"/>
      <c r="O539" s="1183" t="n"/>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73" t="n"/>
      <c r="E540" s="973" t="n"/>
      <c r="F540" s="994" t="n"/>
      <c r="G540" s="994" t="n"/>
      <c r="H540" s="973" t="n"/>
      <c r="I540" s="973" t="n"/>
      <c r="J540" s="973" t="n"/>
      <c r="K540" s="973" t="n"/>
      <c r="L540" s="253" t="n"/>
      <c r="M540" s="254" t="n"/>
      <c r="N540" s="254" t="n"/>
      <c r="O540" s="1183" t="n"/>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73" t="n"/>
      <c r="E541" s="973" t="n"/>
      <c r="F541" s="994" t="n"/>
      <c r="G541" s="994" t="n"/>
      <c r="H541" s="973" t="n"/>
      <c r="I541" s="973" t="n"/>
      <c r="J541" s="973" t="n"/>
      <c r="K541" s="975" t="n"/>
      <c r="L541" s="253" t="n"/>
      <c r="M541" s="254" t="n"/>
      <c r="N541" s="254" t="n"/>
      <c r="O541" s="1183" t="n"/>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75" t="n"/>
      <c r="E542" s="975" t="n"/>
      <c r="F542" s="998" t="n"/>
      <c r="G542" s="998" t="n"/>
      <c r="H542" s="975" t="n"/>
      <c r="I542" s="975" t="n"/>
      <c r="J542" s="975" t="n"/>
      <c r="K542" s="1189">
        <f>K537=L542</f>
        <v/>
      </c>
      <c r="L542" s="491">
        <f>SUM(L537:L541)</f>
        <v/>
      </c>
      <c r="M542" s="1190" t="inlineStr">
        <is>
          <t xml:space="preserve">“Verdadero” indica que la cantidad por lote, coincide con el saldo que inicia al mes siguiente. "Falso" no coinicide. </t>
        </is>
      </c>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413">
        <f>AGOSTO!K543</f>
        <v/>
      </c>
      <c r="E543" s="339">
        <f>H139</f>
        <v/>
      </c>
      <c r="F543" s="338" t="n"/>
      <c r="G543" s="338" t="n"/>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c r="AA543" s="648" t="n"/>
      <c r="AB543" s="649">
        <f>+Z543+AA543</f>
        <v/>
      </c>
      <c r="AC543" s="648" t="n"/>
      <c r="AD543" s="648" t="n"/>
      <c r="AE543" s="648" t="n"/>
      <c r="AF543" s="648" t="n"/>
      <c r="AG543" s="648" t="n"/>
      <c r="AH543" s="648" t="n"/>
      <c r="AI543" s="648" t="n"/>
      <c r="AJ543" s="648" t="n"/>
      <c r="AK543" s="648" t="n"/>
      <c r="AL543" s="648" t="n"/>
      <c r="AM543" s="421">
        <f>SUM(AB543:AL547)</f>
        <v/>
      </c>
      <c r="AN543" s="726" t="n"/>
      <c r="AQ543" s="1238">
        <f>IFERROR(I543/J543*100,"0")</f>
        <v/>
      </c>
      <c r="AR543" s="343">
        <f>IFERROR(1/(1-(AQ543/100)),"0")</f>
        <v/>
      </c>
      <c r="AS543" s="1239" t="n">
        <v>0</v>
      </c>
      <c r="AT543" s="345" t="n">
        <v>1</v>
      </c>
      <c r="AU543" s="1240" t="n"/>
      <c r="AV543" s="1241" t="n"/>
      <c r="AW543" s="1242">
        <f>+H543-AV543</f>
        <v/>
      </c>
    </row>
    <row r="544" ht="17.25" customHeight="1">
      <c r="A544" s="973" t="n"/>
      <c r="B544" s="971" t="n"/>
      <c r="C544" s="972" t="n"/>
      <c r="D544" s="973"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73"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73"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73"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75" t="n"/>
      <c r="E548" s="975" t="n"/>
      <c r="F548" s="998" t="n"/>
      <c r="G548" s="998" t="n"/>
      <c r="H548" s="975" t="n"/>
      <c r="I548" s="975" t="n"/>
      <c r="J548" s="975" t="n"/>
      <c r="K548" s="1189">
        <f>K543=L548</f>
        <v/>
      </c>
      <c r="L548" s="491">
        <f>SUM(L543:L547)</f>
        <v/>
      </c>
      <c r="M548" s="1190" t="inlineStr">
        <is>
          <t xml:space="preserve">“Verdadero” indica que la cantidad por lote, coincide con el saldo que inicia al mes siguiente. "Falso" no coinicide. </t>
        </is>
      </c>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413">
        <f>AGOSTO!K549</f>
        <v/>
      </c>
      <c r="E549" s="339">
        <f>H145</f>
        <v/>
      </c>
      <c r="F549" s="338" t="n"/>
      <c r="G549" s="338" t="n"/>
      <c r="H549" s="1235">
        <f>+F549+G549</f>
        <v/>
      </c>
      <c r="I549" s="340">
        <f>+AM549</f>
        <v/>
      </c>
      <c r="J549" s="341">
        <f>+H549+I549</f>
        <v/>
      </c>
      <c r="K549" s="583">
        <f>+(D549+E549)-(J549)</f>
        <v/>
      </c>
      <c r="L549" s="253" t="n"/>
      <c r="M549" s="254" t="n"/>
      <c r="N549" s="254" t="n"/>
      <c r="O549" s="1183" t="n"/>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c r="AA549" s="648" t="n"/>
      <c r="AB549" s="649">
        <f>+Z549+AA549</f>
        <v/>
      </c>
      <c r="AC549" s="648" t="n"/>
      <c r="AD549" s="648" t="n"/>
      <c r="AE549" s="648" t="n"/>
      <c r="AF549" s="648" t="n"/>
      <c r="AG549" s="648" t="n"/>
      <c r="AH549" s="648" t="n"/>
      <c r="AI549" s="648" t="n"/>
      <c r="AJ549" s="648" t="n"/>
      <c r="AK549" s="648" t="n"/>
      <c r="AL549" s="648" t="n"/>
      <c r="AM549" s="421">
        <f>SUM(AB549:AL553)</f>
        <v/>
      </c>
      <c r="AN549" s="726" t="n"/>
      <c r="AQ549" s="1238">
        <f>IFERROR(I549/J549*100,"0")</f>
        <v/>
      </c>
      <c r="AR549" s="343">
        <f>IFERROR(1/(1-(AQ549/100)),"0")</f>
        <v/>
      </c>
      <c r="AS549" s="1239" t="n">
        <v>15</v>
      </c>
      <c r="AT549" s="345" t="n">
        <v>10</v>
      </c>
      <c r="AU549" s="1240" t="n"/>
      <c r="AV549" s="1241" t="n"/>
      <c r="AW549" s="1242">
        <f>+H549-AV549</f>
        <v/>
      </c>
    </row>
    <row r="550" ht="17.25" customHeight="1">
      <c r="A550" s="973" t="n"/>
      <c r="B550" s="971" t="n"/>
      <c r="C550" s="972" t="n"/>
      <c r="D550" s="973" t="n"/>
      <c r="E550" s="973" t="n"/>
      <c r="F550" s="994" t="n"/>
      <c r="G550" s="994" t="n"/>
      <c r="H550" s="973" t="n"/>
      <c r="I550" s="973" t="n"/>
      <c r="J550" s="973" t="n"/>
      <c r="K550" s="973" t="n"/>
      <c r="L550" s="253" t="n"/>
      <c r="M550" s="254" t="n"/>
      <c r="N550" s="254" t="n"/>
      <c r="O550" s="1183" t="n"/>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73" t="n"/>
      <c r="E551" s="973" t="n"/>
      <c r="F551" s="994" t="n"/>
      <c r="G551" s="994" t="n"/>
      <c r="H551" s="973" t="n"/>
      <c r="I551" s="973" t="n"/>
      <c r="J551" s="973" t="n"/>
      <c r="K551" s="973" t="n"/>
      <c r="L551" s="253" t="n"/>
      <c r="M551" s="254" t="n"/>
      <c r="N551" s="254" t="n"/>
      <c r="O551" s="1183" t="n"/>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73" t="n"/>
      <c r="E552" s="973" t="n"/>
      <c r="F552" s="994" t="n"/>
      <c r="G552" s="994" t="n"/>
      <c r="H552" s="973" t="n"/>
      <c r="I552" s="973" t="n"/>
      <c r="J552" s="973" t="n"/>
      <c r="K552" s="973" t="n"/>
      <c r="L552" s="253" t="n"/>
      <c r="M552" s="254" t="n"/>
      <c r="N552" s="254" t="n"/>
      <c r="O552" s="1183" t="n"/>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73" t="n"/>
      <c r="E553" s="973" t="n"/>
      <c r="F553" s="994" t="n"/>
      <c r="G553" s="994" t="n"/>
      <c r="H553" s="973" t="n"/>
      <c r="I553" s="973" t="n"/>
      <c r="J553" s="973" t="n"/>
      <c r="K553" s="975" t="n"/>
      <c r="L553" s="253" t="n"/>
      <c r="M553" s="254" t="n"/>
      <c r="N553" s="254" t="n"/>
      <c r="O553" s="1183" t="n"/>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75" t="n"/>
      <c r="E554" s="975" t="n"/>
      <c r="F554" s="998" t="n"/>
      <c r="G554" s="998" t="n"/>
      <c r="H554" s="975" t="n"/>
      <c r="I554" s="975" t="n"/>
      <c r="J554" s="975" t="n"/>
      <c r="K554" s="1189">
        <f>K549=L554</f>
        <v/>
      </c>
      <c r="L554" s="491">
        <f>SUM(L549:L553)</f>
        <v/>
      </c>
      <c r="M554" s="1190" t="inlineStr">
        <is>
          <t xml:space="preserve">“Verdadero” indica que la cantidad por lote, coincide con el saldo que inicia al mes siguiente. "Falso" no coinicide. </t>
        </is>
      </c>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413">
        <f>AGOSTO!K555</f>
        <v/>
      </c>
      <c r="E555" s="339">
        <f>H151</f>
        <v/>
      </c>
      <c r="F555" s="338" t="n"/>
      <c r="G555" s="338" t="n"/>
      <c r="H555" s="1235">
        <f>+F555+G555</f>
        <v/>
      </c>
      <c r="I555" s="340">
        <f>+AM555</f>
        <v/>
      </c>
      <c r="J555" s="341">
        <f>+H555+I555</f>
        <v/>
      </c>
      <c r="K555" s="583">
        <f>+(D555+E555)-(J555)</f>
        <v/>
      </c>
      <c r="L555" s="253" t="n"/>
      <c r="M555" s="254" t="n"/>
      <c r="N555" s="254" t="n"/>
      <c r="O555" s="1183" t="n"/>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c r="AA555" s="648" t="n"/>
      <c r="AB555" s="649">
        <f>+Z555+AA555</f>
        <v/>
      </c>
      <c r="AC555" s="648" t="n"/>
      <c r="AD555" s="648" t="n"/>
      <c r="AE555" s="648" t="n"/>
      <c r="AF555" s="648" t="n"/>
      <c r="AG555" s="648" t="n"/>
      <c r="AH555" s="648" t="n"/>
      <c r="AI555" s="648" t="n"/>
      <c r="AJ555" s="648" t="n"/>
      <c r="AK555" s="648" t="n"/>
      <c r="AL555" s="648" t="n"/>
      <c r="AM555" s="421">
        <f>SUM(AB555:AL559)</f>
        <v/>
      </c>
      <c r="AN555" s="726" t="n"/>
      <c r="AQ555" s="1238">
        <f>IFERROR(I555/J555*100,"0")</f>
        <v/>
      </c>
      <c r="AR555" s="343">
        <f>IFERROR(1/(1-(AQ555/100)),"0")</f>
        <v/>
      </c>
      <c r="AS555" s="1239" t="n">
        <v>0</v>
      </c>
      <c r="AT555" s="345" t="n">
        <v>1</v>
      </c>
      <c r="AU555" s="1240" t="n"/>
      <c r="AV555" s="1241" t="n"/>
      <c r="AW555" s="1242">
        <f>+H555-AV555</f>
        <v/>
      </c>
    </row>
    <row r="556" ht="17.25" customHeight="1">
      <c r="A556" s="973" t="n"/>
      <c r="B556" s="971" t="n"/>
      <c r="C556" s="972" t="n"/>
      <c r="D556" s="973" t="n"/>
      <c r="E556" s="973" t="n"/>
      <c r="F556" s="994" t="n"/>
      <c r="G556" s="994" t="n"/>
      <c r="H556" s="973" t="n"/>
      <c r="I556" s="973" t="n"/>
      <c r="J556" s="973" t="n"/>
      <c r="K556" s="973" t="n"/>
      <c r="L556" s="253" t="n"/>
      <c r="M556" s="254" t="n"/>
      <c r="N556" s="254" t="n"/>
      <c r="O556" s="1183" t="n"/>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73" t="n"/>
      <c r="E557" s="973" t="n"/>
      <c r="F557" s="994" t="n"/>
      <c r="G557" s="994" t="n"/>
      <c r="H557" s="973" t="n"/>
      <c r="I557" s="973" t="n"/>
      <c r="J557" s="973" t="n"/>
      <c r="K557" s="973" t="n"/>
      <c r="L557" s="253" t="n"/>
      <c r="M557" s="254" t="n"/>
      <c r="N557" s="254" t="n"/>
      <c r="O557" s="1183" t="n"/>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73" t="n"/>
      <c r="E558" s="973" t="n"/>
      <c r="F558" s="994" t="n"/>
      <c r="G558" s="994" t="n"/>
      <c r="H558" s="973" t="n"/>
      <c r="I558" s="973" t="n"/>
      <c r="J558" s="973" t="n"/>
      <c r="K558" s="973" t="n"/>
      <c r="L558" s="253" t="n"/>
      <c r="M558" s="254" t="n"/>
      <c r="N558" s="254" t="n"/>
      <c r="O558" s="1183" t="n"/>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73"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75" t="n"/>
      <c r="E560" s="975" t="n"/>
      <c r="F560" s="998" t="n"/>
      <c r="G560" s="998" t="n"/>
      <c r="H560" s="975" t="n"/>
      <c r="I560" s="975" t="n"/>
      <c r="J560" s="975" t="n"/>
      <c r="K560" s="1189">
        <f>K555=L560</f>
        <v/>
      </c>
      <c r="L560" s="491">
        <f>SUM(L555:L559)</f>
        <v/>
      </c>
      <c r="M560" s="1190" t="inlineStr">
        <is>
          <t xml:space="preserve">“Verdadero” indica que la cantidad por lote, coincide con el saldo que inicia al mes siguiente. "Falso" no coinicide. </t>
        </is>
      </c>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66">
        <f>AGOSTO!K561</f>
        <v/>
      </c>
      <c r="E561" s="339">
        <f>H157</f>
        <v/>
      </c>
      <c r="F561" s="338" t="n"/>
      <c r="G561" s="338" t="n"/>
      <c r="H561" s="1235">
        <f>+F561+G561</f>
        <v/>
      </c>
      <c r="I561" s="340">
        <f>+AM561</f>
        <v/>
      </c>
      <c r="J561" s="341">
        <f>+H561+I561</f>
        <v/>
      </c>
      <c r="K561" s="583">
        <f>+(D561-D564+D565)+E561-J561</f>
        <v/>
      </c>
      <c r="L561" s="253" t="n"/>
      <c r="M561" s="254" t="n"/>
      <c r="N561" s="254" t="n"/>
      <c r="O561" s="1183" t="n"/>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c r="AA561" s="648" t="n"/>
      <c r="AB561" s="649">
        <f>+Z561+AA561</f>
        <v/>
      </c>
      <c r="AC561" s="648" t="n"/>
      <c r="AD561" s="648" t="n"/>
      <c r="AE561" s="648" t="n"/>
      <c r="AF561" s="648" t="n"/>
      <c r="AG561" s="648" t="n"/>
      <c r="AH561" s="648" t="n"/>
      <c r="AI561" s="648" t="n"/>
      <c r="AJ561" s="648" t="n"/>
      <c r="AK561" s="648" t="n"/>
      <c r="AL561" s="648" t="n"/>
      <c r="AM561" s="421">
        <f>SUM(AB561:AL565)</f>
        <v/>
      </c>
      <c r="AN561" s="726" t="n"/>
      <c r="AQ561" s="1238">
        <f>IFERROR(I561/J561*100,"0")</f>
        <v/>
      </c>
      <c r="AR561" s="343">
        <f>IFERROR(1/(1-(AQ561/100)),"0")</f>
        <v/>
      </c>
      <c r="AS561" s="1239" t="n">
        <v>15</v>
      </c>
      <c r="AT561" s="345" t="n">
        <v>20</v>
      </c>
      <c r="AU561" s="1240" t="n"/>
      <c r="AV561" s="1241" t="n"/>
      <c r="AW561" s="1242">
        <f>+H561-AV561</f>
        <v/>
      </c>
    </row>
    <row r="562" ht="19.5" customHeight="1">
      <c r="A562" s="973" t="n"/>
      <c r="B562" s="971" t="n"/>
      <c r="C562" s="972" t="n"/>
      <c r="D562" s="973" t="n"/>
      <c r="E562" s="973" t="n"/>
      <c r="F562" s="994" t="n"/>
      <c r="G562" s="994" t="n"/>
      <c r="H562" s="973" t="n"/>
      <c r="I562" s="973" t="n"/>
      <c r="J562" s="973" t="n"/>
      <c r="K562" s="973" t="n"/>
      <c r="L562" s="253" t="n"/>
      <c r="M562" s="254" t="n"/>
      <c r="N562" s="254" t="n"/>
      <c r="O562" s="1183" t="n"/>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75" t="n"/>
      <c r="E563" s="973" t="n"/>
      <c r="F563" s="994" t="n"/>
      <c r="G563" s="994" t="n"/>
      <c r="H563" s="973" t="n"/>
      <c r="I563" s="973" t="n"/>
      <c r="J563" s="973" t="n"/>
      <c r="K563" s="973" t="n"/>
      <c r="L563" s="253" t="n"/>
      <c r="M563" s="254" t="n"/>
      <c r="N563" s="254" t="n"/>
      <c r="O563" s="1183" t="n"/>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c r="M564" s="254" t="n"/>
      <c r="N564" s="254" t="n"/>
      <c r="O564" s="1183" t="n"/>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inlineStr">
        <is>
          <t xml:space="preserve">“Verdadero” indica que la cantidad por lote, coincide con el saldo que inicia al mes siguiente. "Falso" no coinicide. </t>
        </is>
      </c>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66">
        <f>AGOSTO!K567</f>
        <v/>
      </c>
      <c r="E567" s="1244">
        <f>H163</f>
        <v/>
      </c>
      <c r="F567" s="338" t="n"/>
      <c r="G567" s="338" t="n"/>
      <c r="H567" s="1235">
        <f>+F567+G567</f>
        <v/>
      </c>
      <c r="I567" s="340">
        <f>+AM567</f>
        <v/>
      </c>
      <c r="J567" s="341">
        <f>+H567+I567</f>
        <v/>
      </c>
      <c r="K567" s="583">
        <f>(D567-D570+D571+E567)-(J567)</f>
        <v/>
      </c>
      <c r="L567" s="253" t="n"/>
      <c r="M567" s="254" t="n"/>
      <c r="N567" s="254" t="n"/>
      <c r="O567" s="1183" t="n"/>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c r="AA567" s="648" t="n"/>
      <c r="AB567" s="649">
        <f>+Z567+AA567</f>
        <v/>
      </c>
      <c r="AC567" s="648" t="n"/>
      <c r="AD567" s="648" t="n"/>
      <c r="AE567" s="648" t="n"/>
      <c r="AF567" s="648" t="n"/>
      <c r="AG567" s="648" t="n"/>
      <c r="AH567" s="648" t="n"/>
      <c r="AI567" s="648" t="n"/>
      <c r="AJ567" s="648" t="n"/>
      <c r="AK567" s="648" t="n"/>
      <c r="AL567" s="648" t="n"/>
      <c r="AM567" s="421">
        <f>SUM(AB567:AL571)</f>
        <v/>
      </c>
      <c r="AN567" s="726" t="n"/>
      <c r="AQ567" s="1238">
        <f>IFERROR(I567/J567*100,"0")</f>
        <v/>
      </c>
      <c r="AR567" s="343">
        <f>IFERROR(1/(1-(AQ567/100)),"0")</f>
        <v/>
      </c>
      <c r="AS567" s="1239" t="n">
        <v>10</v>
      </c>
      <c r="AT567" s="345" t="n">
        <v>10</v>
      </c>
      <c r="AU567" s="1240" t="n"/>
      <c r="AV567" s="1241" t="n"/>
      <c r="AW567" s="1242">
        <f>+H567-AV567</f>
        <v/>
      </c>
    </row>
    <row r="568" ht="19.5" customHeight="1">
      <c r="A568" s="973" t="n"/>
      <c r="B568" s="971" t="n"/>
      <c r="C568" s="972" t="n"/>
      <c r="D568" s="973" t="n"/>
      <c r="E568" s="973" t="n"/>
      <c r="F568" s="994" t="n"/>
      <c r="G568" s="994" t="n"/>
      <c r="H568" s="973" t="n"/>
      <c r="I568" s="973" t="n"/>
      <c r="J568" s="973" t="n"/>
      <c r="K568" s="973" t="n"/>
      <c r="L568" s="253" t="n"/>
      <c r="M568" s="254" t="n"/>
      <c r="N568" s="254" t="n"/>
      <c r="O568" s="1183" t="n"/>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75" t="n"/>
      <c r="E569" s="973" t="n"/>
      <c r="F569" s="994" t="n"/>
      <c r="G569" s="994" t="n"/>
      <c r="H569" s="973" t="n"/>
      <c r="I569" s="973" t="n"/>
      <c r="J569" s="973" t="n"/>
      <c r="K569" s="973" t="n"/>
      <c r="L569" s="253" t="n"/>
      <c r="M569" s="254" t="n"/>
      <c r="N569" s="254" t="n"/>
      <c r="O569" s="1183" t="n"/>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c r="M570" s="254" t="n"/>
      <c r="N570" s="254" t="n"/>
      <c r="O570" s="1183" t="n"/>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inlineStr">
        <is>
          <t xml:space="preserve">“Verdadero” indica que la cantidad por lote, coincide con el saldo que inicia al mes siguiente. "Falso" no coinicide. </t>
        </is>
      </c>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413">
        <f>AGOSTO!K573</f>
        <v/>
      </c>
      <c r="E573" s="339">
        <f>H169</f>
        <v/>
      </c>
      <c r="F573" s="338" t="n"/>
      <c r="G573" s="338" t="n"/>
      <c r="H573" s="1235">
        <f>+F573+G573</f>
        <v/>
      </c>
      <c r="I573" s="340">
        <f>+AM573</f>
        <v/>
      </c>
      <c r="J573" s="341">
        <f>+H573+I573</f>
        <v/>
      </c>
      <c r="K573" s="583">
        <f>+(D573+E573)-(J573)</f>
        <v/>
      </c>
      <c r="L573" s="253" t="n"/>
      <c r="M573" s="254" t="n"/>
      <c r="N573" s="254" t="n"/>
      <c r="O573" s="1183" t="n"/>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c r="AA573" s="648" t="n"/>
      <c r="AB573" s="649">
        <f>+Z573+AA573</f>
        <v/>
      </c>
      <c r="AC573" s="648" t="n"/>
      <c r="AD573" s="648" t="n"/>
      <c r="AE573" s="648" t="n"/>
      <c r="AF573" s="648" t="n"/>
      <c r="AG573" s="648" t="n"/>
      <c r="AH573" s="648" t="n"/>
      <c r="AI573" s="648" t="n"/>
      <c r="AJ573" s="648" t="n"/>
      <c r="AK573" s="648" t="n"/>
      <c r="AL573" s="648" t="n"/>
      <c r="AM573" s="421">
        <f>SUM(AB573:AL577)</f>
        <v/>
      </c>
      <c r="AN573" s="726" t="n"/>
      <c r="AQ573" s="1238">
        <f>IFERROR(I573/J573*100,"0")</f>
        <v/>
      </c>
      <c r="AR573" s="343">
        <f>IFERROR(1/(1-(AQ573/100)),"0")</f>
        <v/>
      </c>
      <c r="AS573" s="1239" t="n">
        <v>0</v>
      </c>
      <c r="AT573" s="345" t="n">
        <v>1</v>
      </c>
      <c r="AU573" s="1240" t="n"/>
      <c r="AV573" s="1241" t="n"/>
      <c r="AW573" s="1242">
        <f>+H573-AV573</f>
        <v/>
      </c>
    </row>
    <row r="574" ht="17.25" customHeight="1">
      <c r="A574" s="973" t="n"/>
      <c r="B574" s="971" t="n"/>
      <c r="C574" s="972" t="n"/>
      <c r="D574" s="973" t="n"/>
      <c r="E574" s="973" t="n"/>
      <c r="F574" s="994" t="n"/>
      <c r="G574" s="994" t="n"/>
      <c r="H574" s="973" t="n"/>
      <c r="I574" s="973" t="n"/>
      <c r="J574" s="973" t="n"/>
      <c r="K574" s="973" t="n"/>
      <c r="L574" s="253" t="n"/>
      <c r="M574" s="254" t="n"/>
      <c r="N574" s="254" t="n"/>
      <c r="O574" s="1183" t="n"/>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73" t="n"/>
      <c r="E575" s="973" t="n"/>
      <c r="F575" s="994" t="n"/>
      <c r="G575" s="994" t="n"/>
      <c r="H575" s="973" t="n"/>
      <c r="I575" s="973" t="n"/>
      <c r="J575" s="973" t="n"/>
      <c r="K575" s="973" t="n"/>
      <c r="L575" s="253" t="n"/>
      <c r="M575" s="254" t="n"/>
      <c r="N575" s="254" t="n"/>
      <c r="O575" s="1183" t="n"/>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73" t="n"/>
      <c r="E576" s="973" t="n"/>
      <c r="F576" s="994" t="n"/>
      <c r="G576" s="994" t="n"/>
      <c r="H576" s="973" t="n"/>
      <c r="I576" s="973" t="n"/>
      <c r="J576" s="973" t="n"/>
      <c r="K576" s="973" t="n"/>
      <c r="L576" s="253" t="n"/>
      <c r="M576" s="254" t="n"/>
      <c r="N576" s="254" t="n"/>
      <c r="O576" s="1183" t="n"/>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73" t="n"/>
      <c r="E577" s="973" t="n"/>
      <c r="F577" s="994" t="n"/>
      <c r="G577" s="994" t="n"/>
      <c r="H577" s="973" t="n"/>
      <c r="I577" s="973" t="n"/>
      <c r="J577" s="973" t="n"/>
      <c r="K577" s="975" t="n"/>
      <c r="L577" s="253" t="n"/>
      <c r="M577" s="254" t="n"/>
      <c r="N577" s="254" t="n"/>
      <c r="O577" s="1183" t="n"/>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75" t="n"/>
      <c r="E578" s="975" t="n"/>
      <c r="F578" s="998" t="n"/>
      <c r="G578" s="998" t="n"/>
      <c r="H578" s="975" t="n"/>
      <c r="I578" s="975" t="n"/>
      <c r="J578" s="975" t="n"/>
      <c r="K578" s="1189">
        <f>K573=L578</f>
        <v/>
      </c>
      <c r="L578" s="491">
        <f>SUM(L573:L577)</f>
        <v/>
      </c>
      <c r="M578" s="1190" t="inlineStr">
        <is>
          <t xml:space="preserve">“Verdadero” indica que la cantidad por lote, coincide con el saldo que inicia al mes siguiente. "Falso" no coinicide. </t>
        </is>
      </c>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413">
        <f>AGOSTO!K579</f>
        <v/>
      </c>
      <c r="E579" s="339">
        <f>H175</f>
        <v/>
      </c>
      <c r="F579" s="338" t="n"/>
      <c r="G579" s="338" t="n"/>
      <c r="H579" s="1235">
        <f>+F579+G579</f>
        <v/>
      </c>
      <c r="I579" s="340">
        <f>+AM579</f>
        <v/>
      </c>
      <c r="J579" s="341">
        <f>+H579+I579</f>
        <v/>
      </c>
      <c r="K579" s="583">
        <f>+(D579+E579)-(J579)</f>
        <v/>
      </c>
      <c r="L579" s="253" t="n"/>
      <c r="M579" s="254" t="n"/>
      <c r="N579" s="254" t="n"/>
      <c r="O579" s="1183" t="n"/>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c r="AA579" s="648" t="n"/>
      <c r="AB579" s="649">
        <f>+Z579+AA579</f>
        <v/>
      </c>
      <c r="AC579" s="648" t="n"/>
      <c r="AD579" s="648" t="n"/>
      <c r="AE579" s="648" t="n"/>
      <c r="AF579" s="648" t="n"/>
      <c r="AG579" s="648" t="n"/>
      <c r="AH579" s="648" t="n"/>
      <c r="AI579" s="648" t="n"/>
      <c r="AJ579" s="648" t="n"/>
      <c r="AK579" s="648" t="n"/>
      <c r="AL579" s="648" t="n"/>
      <c r="AM579" s="421">
        <f>SUM(AB579:AL583)</f>
        <v/>
      </c>
      <c r="AN579" s="726" t="n"/>
      <c r="AQ579" s="1238">
        <f>IFERROR(I579/J579*100,"0")</f>
        <v/>
      </c>
      <c r="AR579" s="343">
        <f>IFERROR(1/(1-(AQ579/100)),"0")</f>
        <v/>
      </c>
      <c r="AS579" s="1239" t="n">
        <v>0</v>
      </c>
      <c r="AT579" s="345" t="n">
        <v>1</v>
      </c>
      <c r="AU579" s="1240" t="n"/>
      <c r="AV579" s="1241" t="n"/>
      <c r="AW579" s="1242">
        <f>+H579-AV579</f>
        <v/>
      </c>
    </row>
    <row r="580" ht="17.25" customHeight="1">
      <c r="A580" s="973" t="n"/>
      <c r="B580" s="971" t="n"/>
      <c r="C580" s="972" t="n"/>
      <c r="D580" s="973" t="n"/>
      <c r="E580" s="973" t="n"/>
      <c r="F580" s="994" t="n"/>
      <c r="G580" s="994" t="n"/>
      <c r="H580" s="973" t="n"/>
      <c r="I580" s="973" t="n"/>
      <c r="J580" s="973" t="n"/>
      <c r="K580" s="973" t="n"/>
      <c r="L580" s="253" t="n"/>
      <c r="M580" s="254" t="n"/>
      <c r="N580" s="254" t="n"/>
      <c r="O580" s="1183" t="n"/>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73" t="n"/>
      <c r="E581" s="973" t="n"/>
      <c r="F581" s="994" t="n"/>
      <c r="G581" s="994" t="n"/>
      <c r="H581" s="973" t="n"/>
      <c r="I581" s="973" t="n"/>
      <c r="J581" s="973" t="n"/>
      <c r="K581" s="973" t="n"/>
      <c r="L581" s="253" t="n"/>
      <c r="M581" s="254" t="n"/>
      <c r="N581" s="254" t="n"/>
      <c r="O581" s="1183" t="n"/>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73" t="n"/>
      <c r="E582" s="973" t="n"/>
      <c r="F582" s="994" t="n"/>
      <c r="G582" s="994" t="n"/>
      <c r="H582" s="973" t="n"/>
      <c r="I582" s="973" t="n"/>
      <c r="J582" s="973" t="n"/>
      <c r="K582" s="973" t="n"/>
      <c r="L582" s="253" t="n"/>
      <c r="M582" s="254" t="n"/>
      <c r="N582" s="254" t="n"/>
      <c r="O582" s="1183" t="n"/>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73"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75" t="n"/>
      <c r="E584" s="975" t="n"/>
      <c r="F584" s="998" t="n"/>
      <c r="G584" s="998" t="n"/>
      <c r="H584" s="975" t="n"/>
      <c r="I584" s="975" t="n"/>
      <c r="J584" s="975" t="n"/>
      <c r="K584" s="1189">
        <f>K579=L584</f>
        <v/>
      </c>
      <c r="L584" s="491">
        <f>SUM(L579:L583)</f>
        <v/>
      </c>
      <c r="M584" s="1190" t="inlineStr">
        <is>
          <t xml:space="preserve">“Verdadero” indica que la cantidad por lote, coincide con el saldo que inicia al mes siguiente. "Falso" no coinicide. </t>
        </is>
      </c>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413">
        <f>AGOSTO!K585</f>
        <v/>
      </c>
      <c r="E585" s="339">
        <f>H181</f>
        <v/>
      </c>
      <c r="F585" s="338" t="n"/>
      <c r="G585" s="338" t="n"/>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c r="AA585" s="648" t="n"/>
      <c r="AB585" s="649">
        <f>+Z585+AA585</f>
        <v/>
      </c>
      <c r="AC585" s="648" t="n"/>
      <c r="AD585" s="648" t="n"/>
      <c r="AE585" s="648" t="n"/>
      <c r="AF585" s="648" t="n"/>
      <c r="AG585" s="648" t="n"/>
      <c r="AH585" s="648" t="n"/>
      <c r="AI585" s="648" t="n"/>
      <c r="AJ585" s="648" t="n"/>
      <c r="AK585" s="648" t="n"/>
      <c r="AL585" s="648" t="n"/>
      <c r="AM585" s="421">
        <f>SUM(AB585:AL589)</f>
        <v/>
      </c>
      <c r="AN585" s="726" t="n"/>
      <c r="AQ585" s="1238">
        <f>IFERROR(I585/J585*100,"0")</f>
        <v/>
      </c>
      <c r="AR585" s="343">
        <f>IFERROR(1/(1-(AQ585/100)),"0")</f>
        <v/>
      </c>
      <c r="AS585" s="1239" t="n">
        <v>0</v>
      </c>
      <c r="AT585" s="345" t="n">
        <v>1</v>
      </c>
      <c r="AU585" s="1240" t="n"/>
      <c r="AV585" s="1241" t="n"/>
      <c r="AW585" s="1242">
        <f>+H585-AV585</f>
        <v/>
      </c>
    </row>
    <row r="586" ht="17.25" customHeight="1">
      <c r="A586" s="973" t="n"/>
      <c r="B586" s="971" t="n"/>
      <c r="C586" s="972" t="n"/>
      <c r="D586" s="973"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73"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73"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73"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75" t="n"/>
      <c r="E590" s="975" t="n"/>
      <c r="F590" s="998" t="n"/>
      <c r="G590" s="998" t="n"/>
      <c r="H590" s="975" t="n"/>
      <c r="I590" s="975" t="n"/>
      <c r="J590" s="975" t="n"/>
      <c r="K590" s="1189">
        <f>K585=L590</f>
        <v/>
      </c>
      <c r="L590" s="491">
        <f>SUM(L585:L589)</f>
        <v/>
      </c>
      <c r="M590" s="1190" t="inlineStr">
        <is>
          <t xml:space="preserve">“Verdadero” indica que la cantidad por lote, coincide con el saldo que inicia al mes siguiente. "Falso" no coinicide. </t>
        </is>
      </c>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413">
        <f>AGOSTO!K591</f>
        <v/>
      </c>
      <c r="E591" s="339">
        <f>H187</f>
        <v/>
      </c>
      <c r="F591" s="338" t="n"/>
      <c r="G591" s="338" t="n"/>
      <c r="H591" s="1235">
        <f>+F591+G591</f>
        <v/>
      </c>
      <c r="I591" s="340">
        <f>+AM591</f>
        <v/>
      </c>
      <c r="J591" s="341">
        <f>+H591+I591</f>
        <v/>
      </c>
      <c r="K591" s="583">
        <f>+(D591+E591)-(J591)</f>
        <v/>
      </c>
      <c r="L591" s="253" t="n"/>
      <c r="M591" s="254" t="n"/>
      <c r="N591" s="254" t="n"/>
      <c r="O591" s="1183" t="n"/>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c r="AA591" s="648" t="n"/>
      <c r="AB591" s="649">
        <f>+Z591+AA591</f>
        <v/>
      </c>
      <c r="AC591" s="648" t="n"/>
      <c r="AD591" s="648" t="n"/>
      <c r="AE591" s="648" t="n"/>
      <c r="AF591" s="648" t="n"/>
      <c r="AG591" s="648" t="n"/>
      <c r="AH591" s="648" t="n"/>
      <c r="AI591" s="648" t="n"/>
      <c r="AJ591" s="648" t="n"/>
      <c r="AK591" s="648" t="n"/>
      <c r="AL591" s="648" t="n"/>
      <c r="AM591" s="421">
        <f>SUM(AB591:AL595)</f>
        <v/>
      </c>
      <c r="AN591" s="726" t="n"/>
      <c r="AQ591" s="1238">
        <f>IFERROR(I591/J591*100,"0")</f>
        <v/>
      </c>
      <c r="AR591" s="343">
        <f>IFERROR(1/(1-(AQ591/100)),"0")</f>
        <v/>
      </c>
      <c r="AS591" s="1239" t="n">
        <v>0</v>
      </c>
      <c r="AT591" s="345" t="n">
        <v>1</v>
      </c>
      <c r="AU591" s="1240" t="n"/>
      <c r="AV591" s="1241" t="n"/>
      <c r="AW591" s="1242">
        <f>+H591-AV591</f>
        <v/>
      </c>
    </row>
    <row r="592" ht="17.25" customHeight="1">
      <c r="A592" s="973" t="n"/>
      <c r="B592" s="971" t="n"/>
      <c r="C592" s="972" t="n"/>
      <c r="D592" s="973" t="n"/>
      <c r="E592" s="973" t="n"/>
      <c r="F592" s="994" t="n"/>
      <c r="G592" s="994" t="n"/>
      <c r="H592" s="973" t="n"/>
      <c r="I592" s="973" t="n"/>
      <c r="J592" s="973" t="n"/>
      <c r="K592" s="973" t="n"/>
      <c r="L592" s="253" t="n"/>
      <c r="M592" s="254" t="n"/>
      <c r="N592" s="254" t="n"/>
      <c r="O592" s="1183" t="n"/>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73" t="n"/>
      <c r="E593" s="973" t="n"/>
      <c r="F593" s="994" t="n"/>
      <c r="G593" s="994" t="n"/>
      <c r="H593" s="973" t="n"/>
      <c r="I593" s="973" t="n"/>
      <c r="J593" s="973" t="n"/>
      <c r="K593" s="973" t="n"/>
      <c r="L593" s="253" t="n"/>
      <c r="M593" s="254" t="n"/>
      <c r="N593" s="254" t="n"/>
      <c r="O593" s="1183" t="n"/>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73" t="n"/>
      <c r="E594" s="973" t="n"/>
      <c r="F594" s="994" t="n"/>
      <c r="G594" s="994" t="n"/>
      <c r="H594" s="973" t="n"/>
      <c r="I594" s="973" t="n"/>
      <c r="J594" s="973" t="n"/>
      <c r="K594" s="973" t="n"/>
      <c r="L594" s="253" t="n"/>
      <c r="M594" s="254" t="n"/>
      <c r="N594" s="254" t="n"/>
      <c r="O594" s="1183" t="n"/>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73" t="n"/>
      <c r="E595" s="973" t="n"/>
      <c r="F595" s="994" t="n"/>
      <c r="G595" s="994" t="n"/>
      <c r="H595" s="973" t="n"/>
      <c r="I595" s="973" t="n"/>
      <c r="J595" s="973" t="n"/>
      <c r="K595" s="975" t="n"/>
      <c r="L595" s="253" t="n"/>
      <c r="M595" s="254" t="n"/>
      <c r="N595" s="254" t="n"/>
      <c r="O595" s="1183" t="n"/>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75" t="n"/>
      <c r="E596" s="975" t="n"/>
      <c r="F596" s="998" t="n"/>
      <c r="G596" s="998" t="n"/>
      <c r="H596" s="975" t="n"/>
      <c r="I596" s="975" t="n"/>
      <c r="J596" s="975" t="n"/>
      <c r="K596" s="1189">
        <f>K591=L596</f>
        <v/>
      </c>
      <c r="L596" s="491">
        <f>SUM(L591:L595)</f>
        <v/>
      </c>
      <c r="M596" s="1190" t="inlineStr">
        <is>
          <t xml:space="preserve">“Verdadero” indica que la cantidad por lote, coincide con el saldo que inicia al mes siguiente. "Falso" no coinicide. </t>
        </is>
      </c>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413">
        <f>AGOSTO!K597</f>
        <v/>
      </c>
      <c r="E597" s="339">
        <f>H193</f>
        <v/>
      </c>
      <c r="F597" s="338" t="n"/>
      <c r="G597" s="338" t="n"/>
      <c r="H597" s="1235">
        <f>+F597+G597</f>
        <v/>
      </c>
      <c r="I597" s="340">
        <f>+AM597</f>
        <v/>
      </c>
      <c r="J597" s="341">
        <f>+H597+I597</f>
        <v/>
      </c>
      <c r="K597" s="583">
        <f>+(D597+E597)-(J597)</f>
        <v/>
      </c>
      <c r="L597" s="253" t="n"/>
      <c r="M597" s="254" t="n"/>
      <c r="N597" s="254" t="n"/>
      <c r="O597" s="1183" t="n"/>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c r="AA597" s="648" t="n"/>
      <c r="AB597" s="649">
        <f>+Z597+AA597</f>
        <v/>
      </c>
      <c r="AC597" s="648" t="n"/>
      <c r="AD597" s="648" t="n"/>
      <c r="AE597" s="648" t="n"/>
      <c r="AF597" s="648" t="n"/>
      <c r="AG597" s="648" t="n"/>
      <c r="AH597" s="648" t="n"/>
      <c r="AI597" s="648" t="n"/>
      <c r="AJ597" s="648" t="n"/>
      <c r="AK597" s="648" t="n"/>
      <c r="AL597" s="648" t="n"/>
      <c r="AM597" s="421">
        <f>SUM(AB597:AL601)</f>
        <v/>
      </c>
      <c r="AN597" s="726" t="n"/>
      <c r="AQ597" s="1238">
        <f>IFERROR(I597/J597*100,"0")</f>
        <v/>
      </c>
      <c r="AR597" s="343">
        <f>IFERROR(1/(1-(AQ597/100)),"0")</f>
        <v/>
      </c>
      <c r="AS597" s="1239" t="n">
        <v>0</v>
      </c>
      <c r="AT597" s="345" t="n">
        <v>1</v>
      </c>
      <c r="AU597" s="1240" t="n"/>
      <c r="AV597" s="1241" t="n"/>
      <c r="AW597" s="1242">
        <f>+H597-AV597</f>
        <v/>
      </c>
    </row>
    <row r="598" ht="17.25" customHeight="1">
      <c r="A598" s="973" t="n"/>
      <c r="B598" s="971" t="n"/>
      <c r="C598" s="972" t="n"/>
      <c r="D598" s="973" t="n"/>
      <c r="E598" s="973" t="n"/>
      <c r="F598" s="994" t="n"/>
      <c r="G598" s="994" t="n"/>
      <c r="H598" s="973" t="n"/>
      <c r="I598" s="973" t="n"/>
      <c r="J598" s="973" t="n"/>
      <c r="K598" s="973" t="n"/>
      <c r="L598" s="253" t="n"/>
      <c r="M598" s="254" t="n"/>
      <c r="N598" s="254" t="n"/>
      <c r="O598" s="1183" t="n"/>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73" t="n"/>
      <c r="E599" s="973" t="n"/>
      <c r="F599" s="994" t="n"/>
      <c r="G599" s="994" t="n"/>
      <c r="H599" s="973" t="n"/>
      <c r="I599" s="973" t="n"/>
      <c r="J599" s="973" t="n"/>
      <c r="K599" s="973" t="n"/>
      <c r="L599" s="253" t="n"/>
      <c r="M599" s="254" t="n"/>
      <c r="N599" s="254" t="n"/>
      <c r="O599" s="1183" t="n"/>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73"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73"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75" t="n"/>
      <c r="E602" s="975" t="n"/>
      <c r="F602" s="998" t="n"/>
      <c r="G602" s="998" t="n"/>
      <c r="H602" s="975" t="n"/>
      <c r="I602" s="975" t="n"/>
      <c r="J602" s="975" t="n"/>
      <c r="K602" s="1189">
        <f>K597=L602</f>
        <v/>
      </c>
      <c r="L602" s="491">
        <f>SUM(L597:L601)</f>
        <v/>
      </c>
      <c r="M602" s="1190" t="inlineStr">
        <is>
          <t xml:space="preserve">“Verdadero” indica que la cantidad por lote, coincide con el saldo que inicia al mes siguiente. "Falso" no coinicide. </t>
        </is>
      </c>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413">
        <f>AGOSTO!K603</f>
        <v/>
      </c>
      <c r="E603" s="339">
        <f>H199</f>
        <v/>
      </c>
      <c r="F603" s="338" t="n"/>
      <c r="G603" s="338" t="n"/>
      <c r="H603" s="1235">
        <f>+F603+G603</f>
        <v/>
      </c>
      <c r="I603" s="340">
        <f>+AM603</f>
        <v/>
      </c>
      <c r="J603" s="341">
        <f>+H603+I603</f>
        <v/>
      </c>
      <c r="K603" s="583">
        <f>+(D603+E603)-(J603)</f>
        <v/>
      </c>
      <c r="L603" s="253" t="n"/>
      <c r="M603" s="254" t="n"/>
      <c r="N603" s="254" t="n"/>
      <c r="O603" s="1183" t="n"/>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c r="AA603" s="648" t="n"/>
      <c r="AB603" s="649">
        <f>+Z603+AA603</f>
        <v/>
      </c>
      <c r="AC603" s="648" t="n"/>
      <c r="AD603" s="648" t="n"/>
      <c r="AE603" s="648" t="n"/>
      <c r="AF603" s="648" t="n"/>
      <c r="AG603" s="648" t="n"/>
      <c r="AH603" s="648" t="n"/>
      <c r="AI603" s="648" t="n"/>
      <c r="AJ603" s="648" t="n"/>
      <c r="AK603" s="648" t="n"/>
      <c r="AL603" s="648" t="n"/>
      <c r="AM603" s="421">
        <f>SUM(AB603:AL607)</f>
        <v/>
      </c>
      <c r="AN603" s="726" t="n"/>
      <c r="AQ603" s="1238">
        <f>IFERROR(I603/J603*100,"0")</f>
        <v/>
      </c>
      <c r="AR603" s="343">
        <f>IFERROR(1/(1-(AQ603/100)),"0")</f>
        <v/>
      </c>
      <c r="AS603" s="1239" t="n">
        <v>0</v>
      </c>
      <c r="AT603" s="345" t="n">
        <v>1</v>
      </c>
      <c r="AU603" s="1240" t="n"/>
      <c r="AV603" s="1241" t="n"/>
      <c r="AW603" s="1242">
        <f>+H603-AV603</f>
        <v/>
      </c>
    </row>
    <row r="604" ht="17.25" customHeight="1">
      <c r="A604" s="973" t="n"/>
      <c r="B604" s="971" t="n"/>
      <c r="C604" s="972" t="n"/>
      <c r="D604" s="973" t="n"/>
      <c r="E604" s="973" t="n"/>
      <c r="F604" s="994" t="n"/>
      <c r="G604" s="994" t="n"/>
      <c r="H604" s="973" t="n"/>
      <c r="I604" s="973" t="n"/>
      <c r="J604" s="973" t="n"/>
      <c r="K604" s="973" t="n"/>
      <c r="L604" s="253" t="n"/>
      <c r="M604" s="254" t="n"/>
      <c r="N604" s="254" t="n"/>
      <c r="O604" s="1183" t="n"/>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73" t="n"/>
      <c r="E605" s="973" t="n"/>
      <c r="F605" s="994" t="n"/>
      <c r="G605" s="994" t="n"/>
      <c r="H605" s="973" t="n"/>
      <c r="I605" s="973" t="n"/>
      <c r="J605" s="973" t="n"/>
      <c r="K605" s="973" t="n"/>
      <c r="L605" s="253" t="n"/>
      <c r="M605" s="254" t="n"/>
      <c r="N605" s="254" t="n"/>
      <c r="O605" s="1183" t="n"/>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73" t="n"/>
      <c r="E606" s="973" t="n"/>
      <c r="F606" s="994" t="n"/>
      <c r="G606" s="994" t="n"/>
      <c r="H606" s="973" t="n"/>
      <c r="I606" s="973" t="n"/>
      <c r="J606" s="973" t="n"/>
      <c r="K606" s="973" t="n"/>
      <c r="L606" s="253" t="n"/>
      <c r="M606" s="254" t="n"/>
      <c r="N606" s="254" t="n"/>
      <c r="O606" s="1183" t="n"/>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73"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75" t="n"/>
      <c r="E608" s="975" t="n"/>
      <c r="F608" s="998" t="n"/>
      <c r="G608" s="998" t="n"/>
      <c r="H608" s="975" t="n"/>
      <c r="I608" s="975" t="n"/>
      <c r="J608" s="975" t="n"/>
      <c r="K608" s="1189">
        <f>K603=L608</f>
        <v/>
      </c>
      <c r="L608" s="491">
        <f>SUM(L603:L607)</f>
        <v/>
      </c>
      <c r="M608" s="1190" t="inlineStr">
        <is>
          <t xml:space="preserve">“Verdadero” indica que la cantidad por lote, coincide con el saldo que inicia al mes siguiente. "Falso" no coinicide. </t>
        </is>
      </c>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413">
        <f>AGOSTO!K609</f>
        <v/>
      </c>
      <c r="E609" s="339">
        <f>H205</f>
        <v/>
      </c>
      <c r="F609" s="338" t="n"/>
      <c r="G609" s="338" t="n"/>
      <c r="H609" s="1235">
        <f>+F609+G609</f>
        <v/>
      </c>
      <c r="I609" s="340">
        <f>+AM609</f>
        <v/>
      </c>
      <c r="J609" s="341">
        <f>+H609+I609</f>
        <v/>
      </c>
      <c r="K609" s="583">
        <f>+(D609+E609)-(J609)</f>
        <v/>
      </c>
      <c r="L609" s="253" t="n"/>
      <c r="M609" s="254" t="n"/>
      <c r="N609" s="254" t="n"/>
      <c r="O609" s="1183" t="n"/>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c r="AA609" s="648" t="n"/>
      <c r="AB609" s="649">
        <f>+Z609+AA609</f>
        <v/>
      </c>
      <c r="AC609" s="648" t="n"/>
      <c r="AD609" s="648" t="n"/>
      <c r="AE609" s="648" t="n"/>
      <c r="AF609" s="648" t="n"/>
      <c r="AG609" s="648" t="n"/>
      <c r="AH609" s="648" t="n"/>
      <c r="AI609" s="648" t="n"/>
      <c r="AJ609" s="648" t="n"/>
      <c r="AK609" s="648" t="n"/>
      <c r="AL609" s="648" t="n"/>
      <c r="AM609" s="421">
        <f>SUM(AB609:AL613)</f>
        <v/>
      </c>
      <c r="AN609" s="726" t="n"/>
      <c r="AQ609" s="1238">
        <f>IFERROR(I609/J609*100,"0")</f>
        <v/>
      </c>
      <c r="AR609" s="343">
        <f>IFERROR(1/(1-(AQ609/100)),"0")</f>
        <v/>
      </c>
      <c r="AS609" s="1239" t="n">
        <v>0</v>
      </c>
      <c r="AT609" s="345" t="n">
        <v>1</v>
      </c>
      <c r="AU609" s="1240" t="n"/>
      <c r="AV609" s="1241" t="n"/>
      <c r="AW609" s="1242">
        <f>+H609-AV609</f>
        <v/>
      </c>
    </row>
    <row r="610" ht="17.25" customHeight="1">
      <c r="A610" s="973" t="n"/>
      <c r="B610" s="971" t="n"/>
      <c r="C610" s="972" t="n"/>
      <c r="D610" s="973" t="n"/>
      <c r="E610" s="973" t="n"/>
      <c r="F610" s="994" t="n"/>
      <c r="G610" s="994" t="n"/>
      <c r="H610" s="973" t="n"/>
      <c r="I610" s="973" t="n"/>
      <c r="J610" s="973" t="n"/>
      <c r="K610" s="973" t="n"/>
      <c r="L610" s="253" t="n"/>
      <c r="M610" s="254" t="n"/>
      <c r="N610" s="254" t="n"/>
      <c r="O610" s="1183" t="n"/>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73" t="n"/>
      <c r="E611" s="973" t="n"/>
      <c r="F611" s="994" t="n"/>
      <c r="G611" s="994" t="n"/>
      <c r="H611" s="973" t="n"/>
      <c r="I611" s="973" t="n"/>
      <c r="J611" s="973" t="n"/>
      <c r="K611" s="973" t="n"/>
      <c r="L611" s="253" t="n"/>
      <c r="M611" s="254" t="n"/>
      <c r="N611" s="254" t="n"/>
      <c r="O611" s="1183" t="n"/>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73" t="n"/>
      <c r="E612" s="973" t="n"/>
      <c r="F612" s="994" t="n"/>
      <c r="G612" s="994" t="n"/>
      <c r="H612" s="973" t="n"/>
      <c r="I612" s="973" t="n"/>
      <c r="J612" s="973" t="n"/>
      <c r="K612" s="973" t="n"/>
      <c r="L612" s="253" t="n"/>
      <c r="M612" s="254" t="n"/>
      <c r="N612" s="254" t="n"/>
      <c r="O612" s="1183" t="n"/>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73" t="n"/>
      <c r="E613" s="973" t="n"/>
      <c r="F613" s="994" t="n"/>
      <c r="G613" s="994" t="n"/>
      <c r="H613" s="973" t="n"/>
      <c r="I613" s="973" t="n"/>
      <c r="J613" s="973" t="n"/>
      <c r="K613" s="975" t="n"/>
      <c r="L613" s="253" t="n"/>
      <c r="M613" s="254" t="n"/>
      <c r="N613" s="254" t="n"/>
      <c r="O613" s="1183" t="n"/>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75" t="n"/>
      <c r="E614" s="975" t="n"/>
      <c r="F614" s="998" t="n"/>
      <c r="G614" s="998" t="n"/>
      <c r="H614" s="975" t="n"/>
      <c r="I614" s="975" t="n"/>
      <c r="J614" s="975" t="n"/>
      <c r="K614" s="1189">
        <f>K609=L614</f>
        <v/>
      </c>
      <c r="L614" s="491">
        <f>SUM(L609:L613)</f>
        <v/>
      </c>
      <c r="M614" s="1190" t="inlineStr">
        <is>
          <t xml:space="preserve">“Verdadero” indica que la cantidad por lote, coincide con el saldo que inicia al mes siguiente. "Falso" no coinicide. </t>
        </is>
      </c>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413">
        <f>AGOSTO!K615</f>
        <v/>
      </c>
      <c r="E615" s="339">
        <f>H211</f>
        <v/>
      </c>
      <c r="F615" s="338" t="n"/>
      <c r="G615" s="338" t="n"/>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c r="AA615" s="648" t="n"/>
      <c r="AB615" s="649">
        <f>+Z615+AA615</f>
        <v/>
      </c>
      <c r="AC615" s="648" t="n"/>
      <c r="AD615" s="648" t="n"/>
      <c r="AE615" s="648" t="n"/>
      <c r="AF615" s="648" t="n"/>
      <c r="AG615" s="648" t="n"/>
      <c r="AH615" s="648" t="n"/>
      <c r="AI615" s="648" t="n"/>
      <c r="AJ615" s="648" t="n"/>
      <c r="AK615" s="648" t="n"/>
      <c r="AL615" s="648" t="n"/>
      <c r="AM615" s="421">
        <f>SUM(AB615:AL619)</f>
        <v/>
      </c>
      <c r="AN615" s="726" t="n"/>
      <c r="AQ615" s="1238">
        <f>IFERROR(I615/J615*100,"0")</f>
        <v/>
      </c>
      <c r="AR615" s="343">
        <f>IFERROR(1/(1-(AQ615/100)),"0")</f>
        <v/>
      </c>
      <c r="AS615" s="1239" t="n">
        <v>0</v>
      </c>
      <c r="AT615" s="345" t="n">
        <v>1</v>
      </c>
      <c r="AU615" s="1240" t="n"/>
      <c r="AV615" s="1241" t="n"/>
      <c r="AW615" s="1242">
        <f>+H615-AV615</f>
        <v/>
      </c>
    </row>
    <row r="616" ht="17.25" customHeight="1">
      <c r="A616" s="973" t="n"/>
      <c r="B616" s="971" t="n"/>
      <c r="C616" s="972" t="n"/>
      <c r="D616" s="973"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73"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73"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73"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75" t="n"/>
      <c r="E620" s="975" t="n"/>
      <c r="F620" s="998" t="n"/>
      <c r="G620" s="998" t="n"/>
      <c r="H620" s="975" t="n"/>
      <c r="I620" s="975" t="n"/>
      <c r="J620" s="975" t="n"/>
      <c r="K620" s="1189">
        <f>K615=L620</f>
        <v/>
      </c>
      <c r="L620" s="491">
        <f>SUM(L615:L619)</f>
        <v/>
      </c>
      <c r="M620" s="1190" t="inlineStr">
        <is>
          <t xml:space="preserve">“Verdadero” indica que la cantidad por lote, coincide con el saldo que inicia al mes siguiente. "Falso" no coinicide. </t>
        </is>
      </c>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413">
        <f>AGOSTO!K621</f>
        <v/>
      </c>
      <c r="E621" s="339">
        <f>H217</f>
        <v/>
      </c>
      <c r="F621" s="338" t="n"/>
      <c r="G621" s="338" t="n"/>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c r="AA621" s="648" t="n"/>
      <c r="AB621" s="649">
        <f>+Z621+AA621</f>
        <v/>
      </c>
      <c r="AC621" s="648" t="n"/>
      <c r="AD621" s="648" t="n"/>
      <c r="AE621" s="648" t="n"/>
      <c r="AF621" s="648" t="n"/>
      <c r="AG621" s="648" t="n"/>
      <c r="AH621" s="648" t="n"/>
      <c r="AI621" s="648" t="n"/>
      <c r="AJ621" s="648" t="n"/>
      <c r="AK621" s="648" t="n"/>
      <c r="AL621" s="648" t="n"/>
      <c r="AM621" s="421">
        <f>SUM(AB621:AL625)</f>
        <v/>
      </c>
      <c r="AN621" s="726" t="n"/>
      <c r="AQ621" s="1238">
        <f>IFERROR(I621/J621*100,"0")</f>
        <v/>
      </c>
      <c r="AR621" s="343">
        <f>IFERROR(1/(1-(AQ621/100)),"0")</f>
        <v/>
      </c>
      <c r="AS621" s="1239" t="n">
        <v>0</v>
      </c>
      <c r="AT621" s="345" t="n">
        <v>1</v>
      </c>
      <c r="AU621" s="1240" t="n"/>
      <c r="AV621" s="1241" t="n"/>
      <c r="AW621" s="1242">
        <f>+H621-AV621</f>
        <v/>
      </c>
    </row>
    <row r="622" ht="17.25" customHeight="1">
      <c r="A622" s="973" t="n"/>
      <c r="B622" s="971" t="n"/>
      <c r="C622" s="972" t="n"/>
      <c r="D622" s="973"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73"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73"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73"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75" t="n"/>
      <c r="E626" s="975" t="n"/>
      <c r="F626" s="998" t="n"/>
      <c r="G626" s="998" t="n"/>
      <c r="H626" s="975" t="n"/>
      <c r="I626" s="975" t="n"/>
      <c r="J626" s="975" t="n"/>
      <c r="K626" s="1189">
        <f>K621=L626</f>
        <v/>
      </c>
      <c r="L626" s="491">
        <f>SUM(L621:L625)</f>
        <v/>
      </c>
      <c r="M626" s="1190" t="inlineStr">
        <is>
          <t xml:space="preserve">“Verdadero” indica que la cantidad por lote, coincide con el saldo que inicia al mes siguiente. "Falso" no coinicide. </t>
        </is>
      </c>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413">
        <f>AGOSTO!K627</f>
        <v/>
      </c>
      <c r="E627" s="339">
        <f>H223</f>
        <v/>
      </c>
      <c r="F627" s="338" t="n"/>
      <c r="G627" s="338" t="n"/>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c r="AA627" s="648" t="n"/>
      <c r="AB627" s="649">
        <f>+Z627+AA627</f>
        <v/>
      </c>
      <c r="AC627" s="648" t="n"/>
      <c r="AD627" s="648" t="n"/>
      <c r="AE627" s="648" t="n"/>
      <c r="AF627" s="648" t="n"/>
      <c r="AG627" s="648" t="n"/>
      <c r="AH627" s="648" t="n"/>
      <c r="AI627" s="648" t="n"/>
      <c r="AJ627" s="648" t="n"/>
      <c r="AK627" s="648" t="n"/>
      <c r="AL627" s="648" t="n"/>
      <c r="AM627" s="421">
        <f>SUM(AB627:AL631)</f>
        <v/>
      </c>
      <c r="AN627" s="726" t="n"/>
      <c r="AQ627" s="1238">
        <f>IFERROR(I627/J627*100,"0")</f>
        <v/>
      </c>
      <c r="AR627" s="343">
        <f>IFERROR(1/(1-(AQ627/100)),"0")</f>
        <v/>
      </c>
      <c r="AS627" s="1239" t="n">
        <v>0</v>
      </c>
      <c r="AT627" s="345" t="n">
        <v>1</v>
      </c>
      <c r="AU627" s="1240" t="n"/>
      <c r="AV627" s="1241" t="n"/>
      <c r="AW627" s="1242">
        <f>+H627-AV627</f>
        <v/>
      </c>
    </row>
    <row r="628" ht="17.25" customHeight="1">
      <c r="A628" s="973" t="n"/>
      <c r="B628" s="971" t="n"/>
      <c r="C628" s="972" t="n"/>
      <c r="D628" s="973"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73"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73"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73"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75" t="n"/>
      <c r="E632" s="975" t="n"/>
      <c r="F632" s="998" t="n"/>
      <c r="G632" s="998" t="n"/>
      <c r="H632" s="975" t="n"/>
      <c r="I632" s="975" t="n"/>
      <c r="J632" s="975" t="n"/>
      <c r="K632" s="1189">
        <f>K627=L632</f>
        <v/>
      </c>
      <c r="L632" s="491">
        <f>SUM(L627:L631)</f>
        <v/>
      </c>
      <c r="M632" s="1190" t="inlineStr">
        <is>
          <t xml:space="preserve">“Verdadero” indica que la cantidad por lote, coincide con el saldo que inicia al mes siguiente. "Falso" no coinicide. </t>
        </is>
      </c>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647"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413">
        <f>AGOSTO!K634</f>
        <v/>
      </c>
      <c r="E634" s="339">
        <f>H230</f>
        <v/>
      </c>
      <c r="F634" s="338" t="n"/>
      <c r="G634" s="338" t="n"/>
      <c r="H634" s="1235">
        <f>+F634+G634</f>
        <v/>
      </c>
      <c r="I634" s="340">
        <f>+AM634</f>
        <v/>
      </c>
      <c r="J634" s="341">
        <f>+H634+I634</f>
        <v/>
      </c>
      <c r="K634" s="583">
        <f>+(D634+E634)-(J634)</f>
        <v/>
      </c>
      <c r="L634" s="253" t="n"/>
      <c r="M634" s="254" t="n"/>
      <c r="N634" s="254" t="n"/>
      <c r="O634" s="1183" t="n"/>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c r="AA634" s="648" t="n"/>
      <c r="AB634" s="649">
        <f>+Z634+AA634</f>
        <v/>
      </c>
      <c r="AC634" s="648" t="n"/>
      <c r="AD634" s="648" t="n"/>
      <c r="AE634" s="648" t="n"/>
      <c r="AF634" s="648" t="n"/>
      <c r="AG634" s="648" t="n"/>
      <c r="AH634" s="648" t="n"/>
      <c r="AI634" s="648" t="n"/>
      <c r="AJ634" s="648" t="n"/>
      <c r="AK634" s="648" t="n"/>
      <c r="AL634" s="648" t="n"/>
      <c r="AM634" s="421">
        <f>SUM(AB634:AL638)</f>
        <v/>
      </c>
      <c r="AN634" s="726" t="n"/>
      <c r="AU634" s="1240" t="n"/>
      <c r="AV634" s="1240" t="n"/>
    </row>
    <row r="635" ht="17.1" customHeight="1">
      <c r="A635" s="973" t="n"/>
      <c r="B635" s="971" t="n"/>
      <c r="C635" s="972" t="n"/>
      <c r="D635" s="973" t="n"/>
      <c r="E635" s="973" t="n"/>
      <c r="F635" s="994" t="n"/>
      <c r="G635" s="994" t="n"/>
      <c r="H635" s="973" t="n"/>
      <c r="I635" s="973" t="n"/>
      <c r="J635" s="973" t="n"/>
      <c r="K635" s="973" t="n"/>
      <c r="L635" s="253" t="n"/>
      <c r="M635" s="254" t="n"/>
      <c r="N635" s="254" t="n"/>
      <c r="O635" s="1183" t="n"/>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73" t="n"/>
      <c r="E636" s="973" t="n"/>
      <c r="F636" s="994" t="n"/>
      <c r="G636" s="994" t="n"/>
      <c r="H636" s="973" t="n"/>
      <c r="I636" s="973" t="n"/>
      <c r="J636" s="973" t="n"/>
      <c r="K636" s="973" t="n"/>
      <c r="L636" s="253" t="n"/>
      <c r="M636" s="254" t="n"/>
      <c r="N636" s="254" t="n"/>
      <c r="O636" s="1183" t="n"/>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73" t="n"/>
      <c r="E637" s="973" t="n"/>
      <c r="F637" s="994" t="n"/>
      <c r="G637" s="994" t="n"/>
      <c r="H637" s="973" t="n"/>
      <c r="I637" s="973" t="n"/>
      <c r="J637" s="973" t="n"/>
      <c r="K637" s="973" t="n"/>
      <c r="L637" s="253" t="n"/>
      <c r="M637" s="254" t="n"/>
      <c r="N637" s="254" t="n"/>
      <c r="O637" s="1183" t="n"/>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73" t="n"/>
      <c r="E638" s="973" t="n"/>
      <c r="F638" s="994" t="n"/>
      <c r="G638" s="994" t="n"/>
      <c r="H638" s="973" t="n"/>
      <c r="I638" s="973" t="n"/>
      <c r="J638" s="973" t="n"/>
      <c r="K638" s="975" t="n"/>
      <c r="L638" s="253" t="n"/>
      <c r="M638" s="254" t="n"/>
      <c r="N638" s="254" t="n"/>
      <c r="O638" s="1183" t="n"/>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75" t="n"/>
      <c r="E639" s="975" t="n"/>
      <c r="F639" s="998" t="n"/>
      <c r="G639" s="998" t="n"/>
      <c r="H639" s="975" t="n"/>
      <c r="I639" s="975" t="n"/>
      <c r="J639" s="975" t="n"/>
      <c r="K639" s="1189">
        <f>K634=L639</f>
        <v/>
      </c>
      <c r="L639" s="491">
        <f>SUM(L634:L638)</f>
        <v/>
      </c>
      <c r="M639" s="1190" t="inlineStr">
        <is>
          <t xml:space="preserve">“Verdadero” indica que la cantidad por lote, coincide con el saldo que inicia al mes siguiente. "Falso" no coinicide. </t>
        </is>
      </c>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413">
        <f>AGOSTO!K640</f>
        <v/>
      </c>
      <c r="E640" s="339">
        <f>H236</f>
        <v/>
      </c>
      <c r="F640" s="338" t="n"/>
      <c r="G640" s="338" t="n"/>
      <c r="H640" s="1235">
        <f>+F640+G640</f>
        <v/>
      </c>
      <c r="I640" s="340">
        <f>+AM640</f>
        <v/>
      </c>
      <c r="J640" s="341">
        <f>+H640+I640</f>
        <v/>
      </c>
      <c r="K640" s="583">
        <f>+(D640+E640)-(J640)</f>
        <v/>
      </c>
      <c r="L640" s="253" t="n"/>
      <c r="M640" s="254" t="n"/>
      <c r="N640" s="254" t="n"/>
      <c r="O640" s="1183" t="n"/>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c r="AA640" s="648" t="n"/>
      <c r="AB640" s="649">
        <f>+Z640+AA640</f>
        <v/>
      </c>
      <c r="AC640" s="648" t="n"/>
      <c r="AD640" s="648" t="n"/>
      <c r="AE640" s="648" t="n"/>
      <c r="AF640" s="648" t="n"/>
      <c r="AG640" s="648" t="n"/>
      <c r="AH640" s="648" t="n"/>
      <c r="AI640" s="648" t="n"/>
      <c r="AJ640" s="648" t="n"/>
      <c r="AK640" s="648" t="n"/>
      <c r="AL640" s="648" t="n"/>
      <c r="AM640" s="421">
        <f>SUM(AB640:AL644)</f>
        <v/>
      </c>
      <c r="AN640" s="726" t="n"/>
      <c r="AU640" s="1240" t="n"/>
      <c r="AV640" s="1240" t="n"/>
    </row>
    <row r="641" ht="17.1" customHeight="1">
      <c r="A641" s="973" t="n"/>
      <c r="B641" s="971" t="n"/>
      <c r="C641" s="972" t="n"/>
      <c r="D641" s="973" t="n"/>
      <c r="E641" s="973" t="n"/>
      <c r="F641" s="994" t="n"/>
      <c r="G641" s="994" t="n"/>
      <c r="H641" s="973" t="n"/>
      <c r="I641" s="973" t="n"/>
      <c r="J641" s="973" t="n"/>
      <c r="K641" s="973" t="n"/>
      <c r="L641" s="253" t="n"/>
      <c r="M641" s="254" t="n"/>
      <c r="N641" s="254" t="n"/>
      <c r="O641" s="1183" t="n"/>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73" t="n"/>
      <c r="E642" s="973" t="n"/>
      <c r="F642" s="994" t="n"/>
      <c r="G642" s="994" t="n"/>
      <c r="H642" s="973" t="n"/>
      <c r="I642" s="973" t="n"/>
      <c r="J642" s="973" t="n"/>
      <c r="K642" s="973" t="n"/>
      <c r="L642" s="253" t="n"/>
      <c r="M642" s="254" t="n"/>
      <c r="N642" s="254" t="n"/>
      <c r="O642" s="1183" t="n"/>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73" t="n"/>
      <c r="E643" s="973" t="n"/>
      <c r="F643" s="994" t="n"/>
      <c r="G643" s="994" t="n"/>
      <c r="H643" s="973" t="n"/>
      <c r="I643" s="973" t="n"/>
      <c r="J643" s="973" t="n"/>
      <c r="K643" s="973" t="n"/>
      <c r="L643" s="253" t="n"/>
      <c r="M643" s="254" t="n"/>
      <c r="N643" s="254" t="n"/>
      <c r="O643" s="1183" t="n"/>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73"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75" t="n"/>
      <c r="E645" s="975" t="n"/>
      <c r="F645" s="998" t="n"/>
      <c r="G645" s="998" t="n"/>
      <c r="H645" s="975" t="n"/>
      <c r="I645" s="975" t="n"/>
      <c r="J645" s="975" t="n"/>
      <c r="K645" s="1189">
        <f>K640=L645</f>
        <v/>
      </c>
      <c r="L645" s="491">
        <f>SUM(L640:L644)</f>
        <v/>
      </c>
      <c r="M645" s="1190" t="inlineStr">
        <is>
          <t xml:space="preserve">“Verdadero” indica que la cantidad por lote, coincide con el saldo que inicia al mes siguiente. "Falso" no coinicide. </t>
        </is>
      </c>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413">
        <f>AGOSTO!K646</f>
        <v/>
      </c>
      <c r="E646" s="339">
        <f>H242</f>
        <v/>
      </c>
      <c r="F646" s="338" t="n"/>
      <c r="G646" s="338" t="n"/>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c r="AA646" s="648" t="n"/>
      <c r="AB646" s="649">
        <f>+Z646+AA646</f>
        <v/>
      </c>
      <c r="AC646" s="648" t="n"/>
      <c r="AD646" s="648" t="n"/>
      <c r="AE646" s="648" t="n"/>
      <c r="AF646" s="648" t="n"/>
      <c r="AG646" s="648" t="n"/>
      <c r="AH646" s="648" t="n"/>
      <c r="AI646" s="648" t="n"/>
      <c r="AJ646" s="648" t="n"/>
      <c r="AK646" s="648" t="n"/>
      <c r="AL646" s="648" t="n"/>
      <c r="AM646" s="421">
        <f>SUM(AB646:AL650)</f>
        <v/>
      </c>
      <c r="AN646" s="726" t="n"/>
      <c r="AU646" s="1240" t="n"/>
      <c r="AV646" s="1240" t="n"/>
    </row>
    <row r="647" ht="17.1" customHeight="1">
      <c r="A647" s="973" t="n"/>
      <c r="B647" s="971" t="n"/>
      <c r="C647" s="972" t="n"/>
      <c r="D647" s="973"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73"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73"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73"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75" t="n"/>
      <c r="E651" s="975" t="n"/>
      <c r="F651" s="998" t="n"/>
      <c r="G651" s="998" t="n"/>
      <c r="H651" s="975" t="n"/>
      <c r="I651" s="975" t="n"/>
      <c r="J651" s="975" t="n"/>
      <c r="K651" s="1189">
        <f>K646=L651</f>
        <v/>
      </c>
      <c r="L651" s="491">
        <f>SUM(L646:L650)</f>
        <v/>
      </c>
      <c r="M651" s="1190" t="inlineStr">
        <is>
          <t xml:space="preserve">“Verdadero” indica que la cantidad por lote, coincide con el saldo que inicia al mes siguiente. "Falso" no coinicide. </t>
        </is>
      </c>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413">
        <f>AGOSTO!K652</f>
        <v/>
      </c>
      <c r="E652" s="339">
        <f>H248</f>
        <v/>
      </c>
      <c r="F652" s="338" t="n"/>
      <c r="G652" s="338" t="n"/>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c r="AA652" s="648" t="n"/>
      <c r="AB652" s="649">
        <f>+Z652+AA652</f>
        <v/>
      </c>
      <c r="AC652" s="648" t="n"/>
      <c r="AD652" s="648" t="n"/>
      <c r="AE652" s="648" t="n"/>
      <c r="AF652" s="648" t="n"/>
      <c r="AG652" s="648" t="n"/>
      <c r="AH652" s="648" t="n"/>
      <c r="AI652" s="648" t="n"/>
      <c r="AJ652" s="648" t="n"/>
      <c r="AK652" s="648" t="n"/>
      <c r="AL652" s="648" t="n"/>
      <c r="AM652" s="421">
        <f>SUM(AB652:AL656)</f>
        <v/>
      </c>
      <c r="AN652" s="726" t="n"/>
      <c r="AU652" s="1240" t="n"/>
      <c r="AV652" s="1240" t="n"/>
    </row>
    <row r="653" ht="17.1" customHeight="1">
      <c r="A653" s="973" t="n"/>
      <c r="B653" s="971" t="n"/>
      <c r="C653" s="972" t="n"/>
      <c r="D653" s="973"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73"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73"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73"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75" t="n"/>
      <c r="E657" s="975" t="n"/>
      <c r="F657" s="998" t="n"/>
      <c r="G657" s="998" t="n"/>
      <c r="H657" s="975" t="n"/>
      <c r="I657" s="975" t="n"/>
      <c r="J657" s="975" t="n"/>
      <c r="K657" s="1189">
        <f>K652=L657</f>
        <v/>
      </c>
      <c r="L657" s="491">
        <f>SUM(L652:L656)</f>
        <v/>
      </c>
      <c r="M657" s="1190" t="inlineStr">
        <is>
          <t xml:space="preserve">“Verdadero” indica que la cantidad por lote, coincide con el saldo que inicia al mes siguiente. "Falso" no coinicide. </t>
        </is>
      </c>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413">
        <f>AGOSTO!K658</f>
        <v/>
      </c>
      <c r="E658" s="339">
        <f>H254</f>
        <v/>
      </c>
      <c r="F658" s="338" t="n"/>
      <c r="G658" s="338" t="n"/>
      <c r="H658" s="1235">
        <f>+F658+G658</f>
        <v/>
      </c>
      <c r="I658" s="340">
        <f>+AM658</f>
        <v/>
      </c>
      <c r="J658" s="341">
        <f>+H658+I658</f>
        <v/>
      </c>
      <c r="K658" s="583">
        <f>+(D658+E658)-(J658)</f>
        <v/>
      </c>
      <c r="L658" s="253" t="n"/>
      <c r="M658" s="254" t="n"/>
      <c r="N658" s="254" t="n"/>
      <c r="O658" s="1183" t="n"/>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c r="AA658" s="648" t="n"/>
      <c r="AB658" s="649">
        <f>+Z658+AA658</f>
        <v/>
      </c>
      <c r="AC658" s="648" t="n"/>
      <c r="AD658" s="648" t="n"/>
      <c r="AE658" s="648" t="n"/>
      <c r="AF658" s="648" t="n"/>
      <c r="AG658" s="648" t="n"/>
      <c r="AH658" s="648" t="n"/>
      <c r="AI658" s="648" t="n"/>
      <c r="AJ658" s="648" t="n"/>
      <c r="AK658" s="648" t="n"/>
      <c r="AL658" s="648" t="n"/>
      <c r="AM658" s="421">
        <f>SUM(AB658:AL662)</f>
        <v/>
      </c>
      <c r="AN658" s="726" t="n"/>
      <c r="AU658" s="1240" t="n"/>
      <c r="AV658" s="1240" t="n"/>
    </row>
    <row r="659" ht="17.1" customHeight="1">
      <c r="A659" s="973" t="n"/>
      <c r="B659" s="971" t="n"/>
      <c r="C659" s="972" t="n"/>
      <c r="D659" s="973" t="n"/>
      <c r="E659" s="973" t="n"/>
      <c r="F659" s="994" t="n"/>
      <c r="G659" s="994" t="n"/>
      <c r="H659" s="973" t="n"/>
      <c r="I659" s="973" t="n"/>
      <c r="J659" s="973" t="n"/>
      <c r="K659" s="973" t="n"/>
      <c r="L659" s="253" t="n"/>
      <c r="M659" s="254" t="n"/>
      <c r="N659" s="254" t="n"/>
      <c r="O659" s="1183" t="n"/>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73" t="n"/>
      <c r="E660" s="973" t="n"/>
      <c r="F660" s="994" t="n"/>
      <c r="G660" s="994" t="n"/>
      <c r="H660" s="973" t="n"/>
      <c r="I660" s="973" t="n"/>
      <c r="J660" s="973" t="n"/>
      <c r="K660" s="973" t="n"/>
      <c r="L660" s="253" t="n"/>
      <c r="M660" s="254" t="n"/>
      <c r="N660" s="254" t="n"/>
      <c r="O660" s="1183" t="n"/>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73" t="n"/>
      <c r="E661" s="973" t="n"/>
      <c r="F661" s="994" t="n"/>
      <c r="G661" s="994" t="n"/>
      <c r="H661" s="973" t="n"/>
      <c r="I661" s="973" t="n"/>
      <c r="J661" s="973" t="n"/>
      <c r="K661" s="973" t="n"/>
      <c r="L661" s="253" t="n"/>
      <c r="M661" s="254" t="n"/>
      <c r="N661" s="254" t="n"/>
      <c r="O661" s="1183" t="n"/>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73"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75" t="n"/>
      <c r="E663" s="975" t="n"/>
      <c r="F663" s="998" t="n"/>
      <c r="G663" s="998" t="n"/>
      <c r="H663" s="975" t="n"/>
      <c r="I663" s="975" t="n"/>
      <c r="J663" s="975" t="n"/>
      <c r="K663" s="1189">
        <f>K658=L663</f>
        <v/>
      </c>
      <c r="L663" s="491">
        <f>SUM(L658:L662)</f>
        <v/>
      </c>
      <c r="M663" s="1190" t="inlineStr">
        <is>
          <t xml:space="preserve">“Verdadero” indica que la cantidad por lote, coincide con el saldo que inicia al mes siguiente. "Falso" no coinicide. </t>
        </is>
      </c>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413">
        <f>AGOSTO!K664</f>
        <v/>
      </c>
      <c r="E664" s="339">
        <f>H260</f>
        <v/>
      </c>
      <c r="F664" s="338" t="n"/>
      <c r="G664" s="338" t="n"/>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c r="AA664" s="648" t="n"/>
      <c r="AB664" s="649">
        <f>+Z664+AA664</f>
        <v/>
      </c>
      <c r="AC664" s="648" t="n"/>
      <c r="AD664" s="648" t="n"/>
      <c r="AE664" s="648" t="n"/>
      <c r="AF664" s="648" t="n"/>
      <c r="AG664" s="648" t="n"/>
      <c r="AH664" s="648" t="n"/>
      <c r="AI664" s="648" t="n"/>
      <c r="AJ664" s="648" t="n"/>
      <c r="AK664" s="648" t="n"/>
      <c r="AL664" s="648" t="n"/>
      <c r="AM664" s="421">
        <f>SUM(AB664:AL668)</f>
        <v/>
      </c>
      <c r="AN664" s="726" t="n"/>
      <c r="AU664" s="1240" t="n"/>
      <c r="AV664" s="1240" t="n"/>
    </row>
    <row r="665" ht="17.1" customHeight="1">
      <c r="A665" s="973" t="n"/>
      <c r="B665" s="971" t="n"/>
      <c r="C665" s="972" t="n"/>
      <c r="D665" s="973"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73"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73"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73"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75" t="n"/>
      <c r="E669" s="975" t="n"/>
      <c r="F669" s="998" t="n"/>
      <c r="G669" s="998" t="n"/>
      <c r="H669" s="975" t="n"/>
      <c r="I669" s="975" t="n"/>
      <c r="J669" s="975" t="n"/>
      <c r="K669" s="1189">
        <f>K664=L669</f>
        <v/>
      </c>
      <c r="L669" s="491">
        <f>SUM(L664:L668)</f>
        <v/>
      </c>
      <c r="M669" s="1190" t="inlineStr">
        <is>
          <t xml:space="preserve">“Verdadero” indica que la cantidad por lote, coincide con el saldo que inicia al mes siguiente. "Falso" no coinicide. </t>
        </is>
      </c>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413">
        <f>AGOSTO!K670</f>
        <v/>
      </c>
      <c r="E670" s="339">
        <f>H266</f>
        <v/>
      </c>
      <c r="F670" s="338" t="n"/>
      <c r="G670" s="338" t="n"/>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c r="AA670" s="648" t="n"/>
      <c r="AB670" s="649">
        <f>+Z670+AA670</f>
        <v/>
      </c>
      <c r="AC670" s="648" t="n"/>
      <c r="AD670" s="648" t="n"/>
      <c r="AE670" s="648" t="n"/>
      <c r="AF670" s="648" t="n"/>
      <c r="AG670" s="648" t="n"/>
      <c r="AH670" s="648" t="n"/>
      <c r="AI670" s="648" t="n"/>
      <c r="AJ670" s="648" t="n"/>
      <c r="AK670" s="648" t="n"/>
      <c r="AL670" s="648" t="n"/>
      <c r="AM670" s="421">
        <f>SUM(AB670:AL674)</f>
        <v/>
      </c>
      <c r="AN670" s="726" t="n"/>
      <c r="AU670" s="1240" t="n"/>
      <c r="AV670" s="1240" t="n"/>
    </row>
    <row r="671" ht="17.1" customHeight="1">
      <c r="A671" s="973" t="n"/>
      <c r="B671" s="971" t="n"/>
      <c r="C671" s="972" t="n"/>
      <c r="D671" s="973"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73"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73"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73"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75" t="n"/>
      <c r="E675" s="975" t="n"/>
      <c r="F675" s="998" t="n"/>
      <c r="G675" s="998" t="n"/>
      <c r="H675" s="975" t="n"/>
      <c r="I675" s="975" t="n"/>
      <c r="J675" s="975" t="n"/>
      <c r="K675" s="1189">
        <f>K670=L675</f>
        <v/>
      </c>
      <c r="L675" s="491">
        <f>SUM(L670:L674)</f>
        <v/>
      </c>
      <c r="M675" s="1190" t="inlineStr">
        <is>
          <t xml:space="preserve">“Verdadero” indica que la cantidad por lote, coincide con el saldo que inicia al mes siguiente. "Falso" no coinicide. </t>
        </is>
      </c>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413">
        <f>AGOSTO!K676</f>
        <v/>
      </c>
      <c r="E676" s="339">
        <f>H272</f>
        <v/>
      </c>
      <c r="F676" s="338" t="n"/>
      <c r="G676" s="338" t="n"/>
      <c r="H676" s="1235">
        <f>+F676+G676</f>
        <v/>
      </c>
      <c r="I676" s="340">
        <f>+AM676</f>
        <v/>
      </c>
      <c r="J676" s="341">
        <f>+H676+I676</f>
        <v/>
      </c>
      <c r="K676" s="583">
        <f>+(D676+E676)-(J676)</f>
        <v/>
      </c>
      <c r="L676" s="253" t="n"/>
      <c r="M676" s="254" t="n"/>
      <c r="N676" s="254" t="n"/>
      <c r="O676" s="1183" t="n"/>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c r="AA676" s="648" t="n"/>
      <c r="AB676" s="649">
        <f>+Z676+AA676</f>
        <v/>
      </c>
      <c r="AC676" s="648" t="n"/>
      <c r="AD676" s="648" t="n"/>
      <c r="AE676" s="648" t="n"/>
      <c r="AF676" s="648" t="n"/>
      <c r="AG676" s="648" t="n"/>
      <c r="AH676" s="648" t="n"/>
      <c r="AI676" s="648" t="n"/>
      <c r="AJ676" s="648" t="n"/>
      <c r="AK676" s="648" t="n"/>
      <c r="AL676" s="648" t="n"/>
      <c r="AM676" s="421">
        <f>SUM(AB676:AL680)</f>
        <v/>
      </c>
      <c r="AN676" s="726" t="n"/>
      <c r="AU676" s="1240" t="n"/>
      <c r="AV676" s="1240" t="n"/>
    </row>
    <row r="677" ht="17.1" customHeight="1">
      <c r="A677" s="973" t="n"/>
      <c r="B677" s="971" t="n"/>
      <c r="C677" s="972" t="n"/>
      <c r="D677" s="973" t="n"/>
      <c r="E677" s="973" t="n"/>
      <c r="F677" s="994" t="n"/>
      <c r="G677" s="994" t="n"/>
      <c r="H677" s="973" t="n"/>
      <c r="I677" s="973" t="n"/>
      <c r="J677" s="973" t="n"/>
      <c r="K677" s="973" t="n"/>
      <c r="L677" s="253" t="n"/>
      <c r="M677" s="254" t="n"/>
      <c r="N677" s="254" t="n"/>
      <c r="O677" s="1183" t="n"/>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73" t="n"/>
      <c r="E678" s="973" t="n"/>
      <c r="F678" s="994" t="n"/>
      <c r="G678" s="994" t="n"/>
      <c r="H678" s="973" t="n"/>
      <c r="I678" s="973" t="n"/>
      <c r="J678" s="973" t="n"/>
      <c r="K678" s="973" t="n"/>
      <c r="L678" s="253" t="n"/>
      <c r="M678" s="254" t="n"/>
      <c r="N678" s="254" t="n"/>
      <c r="O678" s="1183" t="n"/>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73" t="n"/>
      <c r="E679" s="973" t="n"/>
      <c r="F679" s="994" t="n"/>
      <c r="G679" s="994" t="n"/>
      <c r="H679" s="973" t="n"/>
      <c r="I679" s="973" t="n"/>
      <c r="J679" s="973" t="n"/>
      <c r="K679" s="973" t="n"/>
      <c r="L679" s="253" t="n"/>
      <c r="M679" s="254" t="n"/>
      <c r="N679" s="254" t="n"/>
      <c r="O679" s="1183" t="n"/>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73" t="n"/>
      <c r="E680" s="973" t="n"/>
      <c r="F680" s="994" t="n"/>
      <c r="G680" s="994" t="n"/>
      <c r="H680" s="973" t="n"/>
      <c r="I680" s="973" t="n"/>
      <c r="J680" s="973" t="n"/>
      <c r="K680" s="975" t="n"/>
      <c r="L680" s="253" t="n"/>
      <c r="M680" s="254" t="n"/>
      <c r="N680" s="254" t="n"/>
      <c r="O680" s="1183" t="n"/>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75" t="n"/>
      <c r="E681" s="975" t="n"/>
      <c r="F681" s="998" t="n"/>
      <c r="G681" s="998" t="n"/>
      <c r="H681" s="975" t="n"/>
      <c r="I681" s="975" t="n"/>
      <c r="J681" s="975" t="n"/>
      <c r="K681" s="1189">
        <f>K676=L681</f>
        <v/>
      </c>
      <c r="L681" s="491">
        <f>SUM(L676:L680)</f>
        <v/>
      </c>
      <c r="M681" s="1190" t="inlineStr">
        <is>
          <t xml:space="preserve">“Verdadero” indica que la cantidad por lote, coincide con el saldo que inicia al mes siguiente. "Falso" no coinicide. </t>
        </is>
      </c>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413">
        <f>AGOSTO!K682</f>
        <v/>
      </c>
      <c r="E682" s="339">
        <f>H278</f>
        <v/>
      </c>
      <c r="F682" s="338" t="n"/>
      <c r="G682" s="338" t="n"/>
      <c r="H682" s="1235">
        <f>+F682+G682</f>
        <v/>
      </c>
      <c r="I682" s="340">
        <f>+AM682</f>
        <v/>
      </c>
      <c r="J682" s="341">
        <f>+H682+I682</f>
        <v/>
      </c>
      <c r="K682" s="583">
        <f>+(D682+E682)-(J682)</f>
        <v/>
      </c>
      <c r="L682" s="253" t="n"/>
      <c r="M682" s="254" t="n"/>
      <c r="N682" s="254" t="n"/>
      <c r="O682" s="1183" t="n"/>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c r="AA682" s="648" t="n"/>
      <c r="AB682" s="649">
        <f>+Z682+AA682</f>
        <v/>
      </c>
      <c r="AC682" s="648" t="n"/>
      <c r="AD682" s="648" t="n"/>
      <c r="AE682" s="648" t="n"/>
      <c r="AF682" s="648" t="n"/>
      <c r="AG682" s="648" t="n"/>
      <c r="AH682" s="648" t="n"/>
      <c r="AI682" s="648" t="n"/>
      <c r="AJ682" s="648" t="n"/>
      <c r="AK682" s="648" t="n"/>
      <c r="AL682" s="648" t="n"/>
      <c r="AM682" s="421">
        <f>SUM(AB682:AL686)</f>
        <v/>
      </c>
      <c r="AN682" s="726" t="n"/>
      <c r="AU682" s="1240" t="n"/>
      <c r="AV682" s="1240" t="n"/>
    </row>
    <row r="683" ht="17.1" customHeight="1">
      <c r="A683" s="973" t="n"/>
      <c r="B683" s="971" t="n"/>
      <c r="C683" s="972" t="n"/>
      <c r="D683" s="973" t="n"/>
      <c r="E683" s="973" t="n"/>
      <c r="F683" s="994" t="n"/>
      <c r="G683" s="994" t="n"/>
      <c r="H683" s="973" t="n"/>
      <c r="I683" s="973" t="n"/>
      <c r="J683" s="973" t="n"/>
      <c r="K683" s="973" t="n"/>
      <c r="L683" s="253" t="n"/>
      <c r="M683" s="254" t="n"/>
      <c r="N683" s="254" t="n"/>
      <c r="O683" s="1183" t="n"/>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73" t="n"/>
      <c r="E684" s="973" t="n"/>
      <c r="F684" s="994" t="n"/>
      <c r="G684" s="994" t="n"/>
      <c r="H684" s="973" t="n"/>
      <c r="I684" s="973" t="n"/>
      <c r="J684" s="973" t="n"/>
      <c r="K684" s="973" t="n"/>
      <c r="L684" s="253" t="n"/>
      <c r="M684" s="254" t="n"/>
      <c r="N684" s="254" t="n"/>
      <c r="O684" s="1183" t="n"/>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73"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73"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75" t="n"/>
      <c r="E687" s="975" t="n"/>
      <c r="F687" s="998" t="n"/>
      <c r="G687" s="998" t="n"/>
      <c r="H687" s="975" t="n"/>
      <c r="I687" s="975" t="n"/>
      <c r="J687" s="975" t="n"/>
      <c r="K687" s="1189">
        <f>K682=L687</f>
        <v/>
      </c>
      <c r="L687" s="491">
        <f>SUM(L682:L686)</f>
        <v/>
      </c>
      <c r="M687" s="1190" t="inlineStr">
        <is>
          <t xml:space="preserve">“Verdadero” indica que la cantidad por lote, coincide con el saldo que inicia al mes siguiente. "Falso" no coinicide. </t>
        </is>
      </c>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413">
        <f>AGOSTO!K688</f>
        <v/>
      </c>
      <c r="E688" s="339">
        <f>H284</f>
        <v/>
      </c>
      <c r="F688" s="338" t="n"/>
      <c r="G688" s="338" t="n"/>
      <c r="H688" s="1235">
        <f>+F688+G688</f>
        <v/>
      </c>
      <c r="I688" s="340">
        <f>+AM688</f>
        <v/>
      </c>
      <c r="J688" s="341">
        <f>+H688+I688</f>
        <v/>
      </c>
      <c r="K688" s="583">
        <f>+(D688+E688)-(J688)</f>
        <v/>
      </c>
      <c r="L688" s="253" t="n"/>
      <c r="M688" s="254" t="n"/>
      <c r="N688" s="254" t="n"/>
      <c r="O688" s="1183" t="n"/>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c r="AA688" s="648" t="n"/>
      <c r="AB688" s="649">
        <f>+Z688+AA688</f>
        <v/>
      </c>
      <c r="AC688" s="648" t="n"/>
      <c r="AD688" s="648" t="n"/>
      <c r="AE688" s="648" t="n"/>
      <c r="AF688" s="648" t="n"/>
      <c r="AG688" s="648" t="n"/>
      <c r="AH688" s="648" t="n"/>
      <c r="AI688" s="648" t="n"/>
      <c r="AJ688" s="648" t="n"/>
      <c r="AK688" s="648" t="n"/>
      <c r="AL688" s="648" t="n"/>
      <c r="AM688" s="421">
        <f>SUM(AB688:AL692)</f>
        <v/>
      </c>
      <c r="AN688" s="726" t="n"/>
      <c r="AU688" s="1240" t="n"/>
      <c r="AV688" s="1240" t="n"/>
    </row>
    <row r="689" ht="17.1" customHeight="1">
      <c r="A689" s="973" t="n"/>
      <c r="B689" s="971" t="n"/>
      <c r="C689" s="972" t="n"/>
      <c r="D689" s="973" t="n"/>
      <c r="E689" s="973" t="n"/>
      <c r="F689" s="994" t="n"/>
      <c r="G689" s="994" t="n"/>
      <c r="H689" s="973" t="n"/>
      <c r="I689" s="973" t="n"/>
      <c r="J689" s="973" t="n"/>
      <c r="K689" s="973" t="n"/>
      <c r="L689" s="253" t="n"/>
      <c r="M689" s="254" t="n"/>
      <c r="N689" s="254" t="n"/>
      <c r="O689" s="1183" t="n"/>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73" t="n"/>
      <c r="E690" s="973" t="n"/>
      <c r="F690" s="994" t="n"/>
      <c r="G690" s="994" t="n"/>
      <c r="H690" s="973" t="n"/>
      <c r="I690" s="973" t="n"/>
      <c r="J690" s="973" t="n"/>
      <c r="K690" s="973" t="n"/>
      <c r="L690" s="253" t="n"/>
      <c r="M690" s="254" t="n"/>
      <c r="N690" s="254" t="n"/>
      <c r="O690" s="1183" t="n"/>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73" t="n"/>
      <c r="E691" s="973" t="n"/>
      <c r="F691" s="994" t="n"/>
      <c r="G691" s="994" t="n"/>
      <c r="H691" s="973" t="n"/>
      <c r="I691" s="973" t="n"/>
      <c r="J691" s="973" t="n"/>
      <c r="K691" s="973" t="n"/>
      <c r="L691" s="253" t="n"/>
      <c r="M691" s="254" t="n"/>
      <c r="N691" s="254" t="n"/>
      <c r="O691" s="1183" t="n"/>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73" t="n"/>
      <c r="E692" s="973" t="n"/>
      <c r="F692" s="994" t="n"/>
      <c r="G692" s="994" t="n"/>
      <c r="H692" s="973" t="n"/>
      <c r="I692" s="973" t="n"/>
      <c r="J692" s="973" t="n"/>
      <c r="K692" s="975" t="n"/>
      <c r="L692" s="253" t="n"/>
      <c r="M692" s="254" t="n"/>
      <c r="N692" s="254" t="n"/>
      <c r="O692" s="1183" t="n"/>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75" t="n"/>
      <c r="E693" s="975" t="n"/>
      <c r="F693" s="998" t="n"/>
      <c r="G693" s="998" t="n"/>
      <c r="H693" s="975" t="n"/>
      <c r="I693" s="975" t="n"/>
      <c r="J693" s="975" t="n"/>
      <c r="K693" s="1189">
        <f>K688=L693</f>
        <v/>
      </c>
      <c r="L693" s="491">
        <f>SUM(L688:L692)</f>
        <v/>
      </c>
      <c r="M693" s="1190" t="inlineStr">
        <is>
          <t xml:space="preserve">“Verdadero” indica que la cantidad por lote, coincide con el saldo que inicia al mes siguiente. "Falso" no coinicide. </t>
        </is>
      </c>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413">
        <f>AGOSTO!K694</f>
        <v/>
      </c>
      <c r="E694" s="339">
        <f>H290</f>
        <v/>
      </c>
      <c r="F694" s="338" t="n"/>
      <c r="G694" s="338" t="n"/>
      <c r="H694" s="1235">
        <f>+F694+G694</f>
        <v/>
      </c>
      <c r="I694" s="340">
        <f>+AM694</f>
        <v/>
      </c>
      <c r="J694" s="341">
        <f>+H694+I694</f>
        <v/>
      </c>
      <c r="K694" s="583">
        <f>+(D694+E694)-(J694)</f>
        <v/>
      </c>
      <c r="L694" s="253" t="n"/>
      <c r="M694" s="254" t="n"/>
      <c r="N694" s="254" t="n"/>
      <c r="O694" s="1183" t="n"/>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c r="AA694" s="648" t="n"/>
      <c r="AB694" s="649">
        <f>+Z694+AA694</f>
        <v/>
      </c>
      <c r="AC694" s="648" t="n"/>
      <c r="AD694" s="648" t="n"/>
      <c r="AE694" s="648" t="n"/>
      <c r="AF694" s="648" t="n"/>
      <c r="AG694" s="648" t="n"/>
      <c r="AH694" s="648" t="n"/>
      <c r="AI694" s="648" t="n"/>
      <c r="AJ694" s="648" t="n"/>
      <c r="AK694" s="648" t="n"/>
      <c r="AL694" s="648" t="n"/>
      <c r="AM694" s="421">
        <f>SUM(AB694:AL698)</f>
        <v/>
      </c>
      <c r="AN694" s="726" t="n"/>
      <c r="AU694" s="1240" t="n"/>
      <c r="AV694" s="1240" t="n"/>
    </row>
    <row r="695" ht="17.1" customHeight="1">
      <c r="A695" s="973" t="n"/>
      <c r="B695" s="971" t="n"/>
      <c r="C695" s="972" t="n"/>
      <c r="D695" s="973" t="n"/>
      <c r="E695" s="973" t="n"/>
      <c r="F695" s="994" t="n"/>
      <c r="G695" s="994" t="n"/>
      <c r="H695" s="973" t="n"/>
      <c r="I695" s="973" t="n"/>
      <c r="J695" s="973" t="n"/>
      <c r="K695" s="973" t="n"/>
      <c r="L695" s="253" t="n"/>
      <c r="M695" s="254" t="n"/>
      <c r="N695" s="254" t="n"/>
      <c r="O695" s="1183" t="n"/>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73" t="n"/>
      <c r="E696" s="973" t="n"/>
      <c r="F696" s="994" t="n"/>
      <c r="G696" s="994" t="n"/>
      <c r="H696" s="973" t="n"/>
      <c r="I696" s="973" t="n"/>
      <c r="J696" s="973" t="n"/>
      <c r="K696" s="973" t="n"/>
      <c r="L696" s="253" t="n"/>
      <c r="M696" s="254" t="n"/>
      <c r="N696" s="254" t="n"/>
      <c r="O696" s="1183" t="n"/>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73" t="n"/>
      <c r="E697" s="973" t="n"/>
      <c r="F697" s="994" t="n"/>
      <c r="G697" s="994" t="n"/>
      <c r="H697" s="973" t="n"/>
      <c r="I697" s="973" t="n"/>
      <c r="J697" s="973" t="n"/>
      <c r="K697" s="973" t="n"/>
      <c r="L697" s="253" t="n"/>
      <c r="M697" s="254" t="n"/>
      <c r="N697" s="254" t="n"/>
      <c r="O697" s="1183" t="n"/>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73" t="n"/>
      <c r="E698" s="973" t="n"/>
      <c r="F698" s="994" t="n"/>
      <c r="G698" s="994" t="n"/>
      <c r="H698" s="973" t="n"/>
      <c r="I698" s="973" t="n"/>
      <c r="J698" s="973" t="n"/>
      <c r="K698" s="975" t="n"/>
      <c r="L698" s="253" t="n"/>
      <c r="M698" s="254" t="n"/>
      <c r="N698" s="254" t="n"/>
      <c r="O698" s="1183" t="n"/>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75" t="n"/>
      <c r="E699" s="975" t="n"/>
      <c r="F699" s="998" t="n"/>
      <c r="G699" s="998" t="n"/>
      <c r="H699" s="975" t="n"/>
      <c r="I699" s="975" t="n"/>
      <c r="J699" s="975" t="n"/>
      <c r="K699" s="1189">
        <f>K694=L699</f>
        <v/>
      </c>
      <c r="L699" s="491">
        <f>SUM(L694:L698)</f>
        <v/>
      </c>
      <c r="M699" s="1190" t="inlineStr">
        <is>
          <t xml:space="preserve">“Verdadero” indica que la cantidad por lote, coincide con el saldo que inicia al mes siguiente. "Falso" no coinicide. </t>
        </is>
      </c>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413">
        <f>AGOSTO!K700</f>
        <v/>
      </c>
      <c r="E700" s="339">
        <f>H296</f>
        <v/>
      </c>
      <c r="F700" s="338" t="n"/>
      <c r="G700" s="338" t="n"/>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c r="AA700" s="648" t="n"/>
      <c r="AB700" s="649">
        <f>+Z700+AA700</f>
        <v/>
      </c>
      <c r="AC700" s="648" t="n"/>
      <c r="AD700" s="648" t="n"/>
      <c r="AE700" s="648" t="n"/>
      <c r="AF700" s="648" t="n"/>
      <c r="AG700" s="648" t="n"/>
      <c r="AH700" s="648" t="n"/>
      <c r="AI700" s="648" t="n"/>
      <c r="AJ700" s="648" t="n"/>
      <c r="AK700" s="648" t="n"/>
      <c r="AL700" s="648" t="n"/>
      <c r="AM700" s="421">
        <f>SUM(AB700:AL704)</f>
        <v/>
      </c>
      <c r="AN700" s="726" t="n"/>
      <c r="AU700" s="1240" t="n"/>
      <c r="AV700" s="1240" t="n"/>
    </row>
    <row r="701" ht="17.1" customHeight="1">
      <c r="A701" s="973" t="n"/>
      <c r="B701" s="971" t="n"/>
      <c r="C701" s="972" t="n"/>
      <c r="D701" s="973"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73"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73"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73"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75" t="n"/>
      <c r="E705" s="975" t="n"/>
      <c r="F705" s="998" t="n"/>
      <c r="G705" s="998" t="n"/>
      <c r="H705" s="975" t="n"/>
      <c r="I705" s="975" t="n"/>
      <c r="J705" s="975" t="n"/>
      <c r="K705" s="1189">
        <f>K700=L705</f>
        <v/>
      </c>
      <c r="L705" s="491">
        <f>SUM(L700:L704)</f>
        <v/>
      </c>
      <c r="M705" s="1190" t="inlineStr">
        <is>
          <t xml:space="preserve">“Verdadero” indica que la cantidad por lote, coincide con el saldo que inicia al mes siguiente. "Falso" no coinicide. </t>
        </is>
      </c>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647"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413">
        <f>AGOSTO!K707</f>
        <v/>
      </c>
      <c r="E707" s="339">
        <f>H303</f>
        <v/>
      </c>
      <c r="F707" s="338" t="n"/>
      <c r="G707" s="338" t="n"/>
      <c r="H707" s="1235">
        <f>+F707+G707</f>
        <v/>
      </c>
      <c r="I707" s="340">
        <f>+AM707</f>
        <v/>
      </c>
      <c r="J707" s="341">
        <f>+H707+I707</f>
        <v/>
      </c>
      <c r="K707" s="583">
        <f>+(D707+E707)-(J707)</f>
        <v/>
      </c>
      <c r="L707" s="253" t="n"/>
      <c r="M707" s="254" t="n"/>
      <c r="N707" s="254" t="n"/>
      <c r="O707" s="1183" t="n"/>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c r="AA707" s="648" t="n"/>
      <c r="AB707" s="649">
        <f>+Z707+AA707</f>
        <v/>
      </c>
      <c r="AC707" s="648" t="n"/>
      <c r="AD707" s="648" t="n"/>
      <c r="AE707" s="648" t="n"/>
      <c r="AF707" s="648" t="n"/>
      <c r="AG707" s="648" t="n"/>
      <c r="AH707" s="648" t="n"/>
      <c r="AI707" s="648" t="n"/>
      <c r="AJ707" s="648" t="n"/>
      <c r="AK707" s="648" t="n"/>
      <c r="AL707" s="648" t="n"/>
      <c r="AM707" s="421">
        <f>SUM(AB707:AL712)</f>
        <v/>
      </c>
      <c r="AN707" s="726" t="n"/>
      <c r="AU707" s="1240" t="n"/>
      <c r="AV707" s="1240" t="n"/>
    </row>
    <row r="708" ht="17.1" customHeight="1">
      <c r="A708" s="973" t="n"/>
      <c r="B708" s="971" t="n"/>
      <c r="C708" s="972" t="n"/>
      <c r="D708" s="973" t="n"/>
      <c r="E708" s="973" t="n"/>
      <c r="F708" s="994" t="n"/>
      <c r="G708" s="994" t="n"/>
      <c r="H708" s="973" t="n"/>
      <c r="I708" s="973" t="n"/>
      <c r="J708" s="973" t="n"/>
      <c r="K708" s="973" t="n"/>
      <c r="L708" s="253" t="n"/>
      <c r="M708" s="254" t="n"/>
      <c r="N708" s="254" t="n"/>
      <c r="O708" s="1183" t="n"/>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73" t="n"/>
      <c r="E709" s="973" t="n"/>
      <c r="F709" s="994" t="n"/>
      <c r="G709" s="994" t="n"/>
      <c r="H709" s="973" t="n"/>
      <c r="I709" s="973" t="n"/>
      <c r="J709" s="973" t="n"/>
      <c r="K709" s="973" t="n"/>
      <c r="L709" s="253" t="n"/>
      <c r="M709" s="254" t="n"/>
      <c r="N709" s="254" t="n"/>
      <c r="O709" s="1183" t="n"/>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73"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73" t="n"/>
      <c r="E711" s="973" t="n"/>
      <c r="F711" s="994" t="n"/>
      <c r="G711" s="994" t="n"/>
      <c r="H711" s="973" t="n"/>
      <c r="I711" s="973" t="n"/>
      <c r="J711" s="973" t="n"/>
      <c r="K711" s="973" t="n"/>
      <c r="L711" s="253" t="n"/>
      <c r="M711" s="254" t="n"/>
      <c r="N711" s="254" t="n"/>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73"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75" t="n"/>
      <c r="E713" s="975" t="n"/>
      <c r="F713" s="998" t="n"/>
      <c r="G713" s="998" t="n"/>
      <c r="H713" s="975" t="n"/>
      <c r="I713" s="975" t="n"/>
      <c r="J713" s="975" t="n"/>
      <c r="K713" s="1189">
        <f>K707=L713</f>
        <v/>
      </c>
      <c r="L713" s="491">
        <f>SUM(L707:L712)</f>
        <v/>
      </c>
      <c r="M713" s="1190" t="inlineStr">
        <is>
          <t xml:space="preserve">“Verdadero” indica que la cantidad por lote, coincide con el saldo que inicia al mes siguiente. "Falso" no coinicide. </t>
        </is>
      </c>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413">
        <f>AGOSTO!K714</f>
        <v/>
      </c>
      <c r="E714" s="339">
        <f>H310</f>
        <v/>
      </c>
      <c r="F714" s="338" t="n"/>
      <c r="G714" s="338" t="n"/>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c r="AA714" s="648" t="n"/>
      <c r="AB714" s="649">
        <f>+Z714+AA714</f>
        <v/>
      </c>
      <c r="AC714" s="648" t="n"/>
      <c r="AD714" s="648" t="n"/>
      <c r="AE714" s="648" t="n"/>
      <c r="AF714" s="648" t="n"/>
      <c r="AG714" s="648" t="n"/>
      <c r="AH714" s="648" t="n"/>
      <c r="AI714" s="648" t="n"/>
      <c r="AJ714" s="648" t="n"/>
      <c r="AK714" s="648" t="n"/>
      <c r="AL714" s="648" t="n"/>
      <c r="AM714" s="421">
        <f>SUM(AB714:AL719)</f>
        <v/>
      </c>
      <c r="AN714" s="726" t="n"/>
      <c r="AU714" s="1240" t="n"/>
      <c r="AV714" s="1240" t="n"/>
    </row>
    <row r="715" ht="17.1" customHeight="1">
      <c r="A715" s="973" t="n"/>
      <c r="B715" s="971" t="n"/>
      <c r="C715" s="972" t="n"/>
      <c r="D715" s="973"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73"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73"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73"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73"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75"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413">
        <f>AGOSTO!K721</f>
        <v/>
      </c>
      <c r="E721" s="339">
        <f>H317</f>
        <v/>
      </c>
      <c r="F721" s="338" t="n"/>
      <c r="G721" s="338" t="n"/>
      <c r="H721" s="1235">
        <f>+F721+G721</f>
        <v/>
      </c>
      <c r="I721" s="340">
        <f>+AM721</f>
        <v/>
      </c>
      <c r="J721" s="341">
        <f>+H721+I721</f>
        <v/>
      </c>
      <c r="K721" s="583">
        <f>+(D721+E721)-(J721)</f>
        <v/>
      </c>
      <c r="L721" s="253" t="n"/>
      <c r="M721" s="254" t="n"/>
      <c r="N721" s="254" t="n"/>
      <c r="O721" s="1183" t="n"/>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c r="AA721" s="648" t="n"/>
      <c r="AB721" s="649">
        <f>+Z721+AA721</f>
        <v/>
      </c>
      <c r="AC721" s="648" t="n"/>
      <c r="AD721" s="648" t="n"/>
      <c r="AE721" s="648" t="n"/>
      <c r="AF721" s="648" t="n"/>
      <c r="AG721" s="648" t="n"/>
      <c r="AH721" s="648" t="n"/>
      <c r="AI721" s="648" t="n"/>
      <c r="AJ721" s="648" t="n"/>
      <c r="AK721" s="648" t="n"/>
      <c r="AL721" s="648" t="n"/>
      <c r="AM721" s="421">
        <f>SUM(AB721:AL726)</f>
        <v/>
      </c>
      <c r="AN721" s="726" t="n"/>
      <c r="AU721" s="1240" t="n"/>
      <c r="AV721" s="1240" t="n"/>
    </row>
    <row r="722" ht="17.1" customHeight="1">
      <c r="A722" s="973" t="n"/>
      <c r="B722" s="971" t="n"/>
      <c r="C722" s="972" t="n"/>
      <c r="D722" s="973" t="n"/>
      <c r="E722" s="973" t="n"/>
      <c r="F722" s="994" t="n"/>
      <c r="G722" s="994" t="n"/>
      <c r="H722" s="973" t="n"/>
      <c r="I722" s="973" t="n"/>
      <c r="J722" s="973" t="n"/>
      <c r="K722" s="973" t="n"/>
      <c r="L722" s="253" t="n"/>
      <c r="M722" s="254" t="n"/>
      <c r="N722" s="254" t="n"/>
      <c r="O722" s="1183" t="n"/>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73" t="n"/>
      <c r="E723" s="973" t="n"/>
      <c r="F723" s="994" t="n"/>
      <c r="G723" s="994" t="n"/>
      <c r="H723" s="973" t="n"/>
      <c r="I723" s="973" t="n"/>
      <c r="J723" s="973" t="n"/>
      <c r="K723" s="973" t="n"/>
      <c r="L723" s="253" t="n"/>
      <c r="M723" s="254" t="n"/>
      <c r="N723" s="254" t="n"/>
      <c r="O723" s="1183" t="n"/>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73" t="n"/>
      <c r="E724" s="973" t="n"/>
      <c r="F724" s="994" t="n"/>
      <c r="G724" s="994" t="n"/>
      <c r="H724" s="973" t="n"/>
      <c r="I724" s="973" t="n"/>
      <c r="J724" s="973" t="n"/>
      <c r="K724" s="973" t="n"/>
      <c r="L724" s="253" t="n"/>
      <c r="M724" s="254" t="n"/>
      <c r="N724" s="254" t="n"/>
      <c r="O724" s="1183" t="n"/>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73" t="n"/>
      <c r="E725" s="973" t="n"/>
      <c r="F725" s="994" t="n"/>
      <c r="G725" s="994" t="n"/>
      <c r="H725" s="973" t="n"/>
      <c r="I725" s="973" t="n"/>
      <c r="J725" s="973" t="n"/>
      <c r="K725" s="973" t="n"/>
      <c r="L725" s="253" t="n"/>
      <c r="M725" s="254" t="n"/>
      <c r="N725" s="254" t="n"/>
      <c r="O725" s="1183" t="n"/>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73" t="n"/>
      <c r="E726" s="973" t="n"/>
      <c r="F726" s="994" t="n"/>
      <c r="G726" s="994" t="n"/>
      <c r="H726" s="973" t="n"/>
      <c r="I726" s="973" t="n"/>
      <c r="J726" s="973" t="n"/>
      <c r="K726" s="975" t="n"/>
      <c r="L726" s="253" t="n"/>
      <c r="M726" s="254" t="n"/>
      <c r="N726" s="254" t="n"/>
      <c r="O726" s="1183" t="n"/>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75" t="n"/>
      <c r="E727" s="975" t="n"/>
      <c r="F727" s="998" t="n"/>
      <c r="G727" s="998" t="n"/>
      <c r="H727" s="975" t="n"/>
      <c r="I727" s="975" t="n"/>
      <c r="J727" s="975" t="n"/>
      <c r="K727" s="1189">
        <f>K721=L727</f>
        <v/>
      </c>
      <c r="L727" s="491">
        <f>SUM(L721:L726)</f>
        <v/>
      </c>
      <c r="M727" s="1190" t="inlineStr">
        <is>
          <t xml:space="preserve">“Verdadero” indica que la cantidad por lote, coincide con el saldo que inicia al mes siguiente. "Falso" no coinicide. </t>
        </is>
      </c>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413">
        <f>AGOSTO!K728</f>
        <v/>
      </c>
      <c r="E728" s="339">
        <f>H324</f>
        <v/>
      </c>
      <c r="F728" s="338" t="n"/>
      <c r="G728" s="338" t="n"/>
      <c r="H728" s="1235">
        <f>+F728+G728</f>
        <v/>
      </c>
      <c r="I728" s="340">
        <f>+AM728</f>
        <v/>
      </c>
      <c r="J728" s="341">
        <f>+H728+I728</f>
        <v/>
      </c>
      <c r="K728" s="583">
        <f>+(D728+E728)-(J728)</f>
        <v/>
      </c>
      <c r="L728" s="253" t="n"/>
      <c r="M728" s="254" t="n"/>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c r="AA728" s="648" t="n"/>
      <c r="AB728" s="649">
        <f>+Z728+AA728</f>
        <v/>
      </c>
      <c r="AC728" s="648" t="n"/>
      <c r="AD728" s="648" t="n"/>
      <c r="AE728" s="648" t="n"/>
      <c r="AF728" s="648" t="n"/>
      <c r="AG728" s="648" t="n"/>
      <c r="AH728" s="648" t="n"/>
      <c r="AI728" s="648" t="n"/>
      <c r="AJ728" s="648" t="n"/>
      <c r="AK728" s="648" t="n"/>
      <c r="AL728" s="648" t="n"/>
      <c r="AM728" s="421">
        <f>SUM(AB728:AL733)</f>
        <v/>
      </c>
      <c r="AN728" s="726" t="n"/>
      <c r="AU728" s="1240" t="n"/>
      <c r="AV728" s="1240" t="n"/>
    </row>
    <row r="729" ht="17.1" customHeight="1">
      <c r="A729" s="973" t="n"/>
      <c r="B729" s="971" t="n"/>
      <c r="C729" s="972" t="n"/>
      <c r="D729" s="973" t="n"/>
      <c r="E729" s="973" t="n"/>
      <c r="F729" s="994" t="n"/>
      <c r="G729" s="994" t="n"/>
      <c r="H729" s="973" t="n"/>
      <c r="I729" s="973" t="n"/>
      <c r="J729" s="973" t="n"/>
      <c r="K729" s="973" t="n"/>
      <c r="L729" s="253" t="n"/>
      <c r="M729" s="254" t="n"/>
      <c r="N729" s="254" t="n"/>
      <c r="O729" s="1183" t="n"/>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73"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73"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73"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73"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75" t="n"/>
      <c r="E734" s="975" t="n"/>
      <c r="F734" s="998" t="n"/>
      <c r="G734" s="998" t="n"/>
      <c r="H734" s="975" t="n"/>
      <c r="I734" s="975" t="n"/>
      <c r="J734" s="975" t="n"/>
      <c r="K734" s="1189">
        <f>K728=L734</f>
        <v/>
      </c>
      <c r="L734" s="491">
        <f>SUM(L728:L733)</f>
        <v/>
      </c>
      <c r="M734" s="1190" t="inlineStr">
        <is>
          <t xml:space="preserve">“Verdadero” indica que la cantidad por lote, coincide con el saldo que inicia al mes siguiente. "Falso" no coinicide. </t>
        </is>
      </c>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413">
        <f>AGOSTO!K735</f>
        <v/>
      </c>
      <c r="E735" s="339">
        <f>H331</f>
        <v/>
      </c>
      <c r="F735" s="338" t="n"/>
      <c r="G735" s="338" t="n"/>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c r="AA735" s="648" t="n"/>
      <c r="AB735" s="649">
        <f>+Z735+AA735</f>
        <v/>
      </c>
      <c r="AC735" s="648" t="n"/>
      <c r="AD735" s="648" t="n"/>
      <c r="AE735" s="648" t="n"/>
      <c r="AF735" s="648" t="n"/>
      <c r="AG735" s="648" t="n"/>
      <c r="AH735" s="648" t="n"/>
      <c r="AI735" s="648" t="n"/>
      <c r="AJ735" s="648" t="n"/>
      <c r="AK735" s="648" t="n"/>
      <c r="AL735" s="648" t="n"/>
      <c r="AM735" s="421">
        <f>SUM(AB735:AL740)</f>
        <v/>
      </c>
      <c r="AN735" s="726" t="n"/>
      <c r="AU735" s="1240" t="n"/>
      <c r="AV735" s="1240" t="n"/>
    </row>
    <row r="736" ht="17.1" customHeight="1">
      <c r="A736" s="973" t="n"/>
      <c r="B736" s="971" t="n"/>
      <c r="C736" s="972" t="n"/>
      <c r="D736" s="973"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73"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73"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73"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73"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75" t="n"/>
      <c r="E741" s="975" t="n"/>
      <c r="F741" s="998" t="n"/>
      <c r="G741" s="998" t="n"/>
      <c r="H741" s="975" t="n"/>
      <c r="I741" s="975" t="n"/>
      <c r="J741" s="975" t="n"/>
      <c r="K741" s="1189">
        <f>K735=L741</f>
        <v/>
      </c>
      <c r="L741" s="491">
        <f>SUM(L735:L740)</f>
        <v/>
      </c>
      <c r="M741" s="1190" t="inlineStr">
        <is>
          <t xml:space="preserve">“Verdadero” indica que la cantidad por lote, coincide con el saldo que inicia al mes siguiente. "Falso" no coinicide. </t>
        </is>
      </c>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413">
        <f>AGOSTO!K742</f>
        <v/>
      </c>
      <c r="E742" s="339">
        <f>H338</f>
        <v/>
      </c>
      <c r="F742" s="338" t="n"/>
      <c r="G742" s="338" t="n"/>
      <c r="H742" s="1235">
        <f>+F742+G742</f>
        <v/>
      </c>
      <c r="I742" s="340">
        <f>+AM742</f>
        <v/>
      </c>
      <c r="J742" s="341">
        <f>+H742+I742</f>
        <v/>
      </c>
      <c r="K742" s="583">
        <f>+(D742+E742)-(J742)</f>
        <v/>
      </c>
      <c r="L742" s="253" t="n"/>
      <c r="M742" s="254" t="n"/>
      <c r="N742" s="254" t="n"/>
      <c r="O742" s="1183" t="n"/>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c r="AA742" s="648" t="n"/>
      <c r="AB742" s="649">
        <f>+Z742+AA742</f>
        <v/>
      </c>
      <c r="AC742" s="648" t="n"/>
      <c r="AD742" s="648" t="n"/>
      <c r="AE742" s="648" t="n"/>
      <c r="AF742" s="648" t="n"/>
      <c r="AG742" s="648" t="n"/>
      <c r="AH742" s="648" t="n"/>
      <c r="AI742" s="648" t="n"/>
      <c r="AJ742" s="648" t="n"/>
      <c r="AK742" s="648" t="n"/>
      <c r="AL742" s="648" t="n"/>
      <c r="AM742" s="421">
        <f>SUM(AB742:AL747)</f>
        <v/>
      </c>
      <c r="AN742" s="726" t="n"/>
      <c r="AU742" s="1240" t="n"/>
      <c r="AV742" s="1240" t="n"/>
    </row>
    <row r="743" ht="17.1" customHeight="1">
      <c r="A743" s="973" t="n"/>
      <c r="B743" s="971" t="n"/>
      <c r="C743" s="972" t="n"/>
      <c r="D743" s="973" t="n"/>
      <c r="E743" s="973" t="n"/>
      <c r="F743" s="994" t="n"/>
      <c r="G743" s="994" t="n"/>
      <c r="H743" s="973" t="n"/>
      <c r="I743" s="973" t="n"/>
      <c r="J743" s="973" t="n"/>
      <c r="K743" s="973" t="n"/>
      <c r="L743" s="253" t="n"/>
      <c r="M743" s="254" t="n"/>
      <c r="N743" s="254" t="n"/>
      <c r="O743" s="1183" t="n"/>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73" t="n"/>
      <c r="E744" s="973" t="n"/>
      <c r="F744" s="994" t="n"/>
      <c r="G744" s="994" t="n"/>
      <c r="H744" s="973" t="n"/>
      <c r="I744" s="973" t="n"/>
      <c r="J744" s="973" t="n"/>
      <c r="K744" s="973" t="n"/>
      <c r="L744" s="253" t="n"/>
      <c r="M744" s="254" t="n"/>
      <c r="N744" s="254" t="n"/>
      <c r="O744" s="1183" t="n"/>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73" t="n"/>
      <c r="E745" s="973" t="n"/>
      <c r="F745" s="994" t="n"/>
      <c r="G745" s="994" t="n"/>
      <c r="H745" s="973" t="n"/>
      <c r="I745" s="973" t="n"/>
      <c r="J745" s="973" t="n"/>
      <c r="K745" s="973" t="n"/>
      <c r="L745" s="253" t="n"/>
      <c r="M745" s="254" t="n"/>
      <c r="N745" s="254" t="n"/>
      <c r="O745" s="1183" t="n"/>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73" t="n"/>
      <c r="E746" s="973" t="n"/>
      <c r="F746" s="994" t="n"/>
      <c r="G746" s="994" t="n"/>
      <c r="H746" s="973" t="n"/>
      <c r="I746" s="973" t="n"/>
      <c r="J746" s="973" t="n"/>
      <c r="K746" s="973" t="n"/>
      <c r="L746" s="253" t="n"/>
      <c r="M746" s="254" t="n"/>
      <c r="N746" s="254" t="n"/>
      <c r="O746" s="1183" t="n"/>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73" t="n"/>
      <c r="E747" s="973" t="n"/>
      <c r="F747" s="994" t="n"/>
      <c r="G747" s="994" t="n"/>
      <c r="H747" s="973" t="n"/>
      <c r="I747" s="973" t="n"/>
      <c r="J747" s="973" t="n"/>
      <c r="K747" s="975" t="n"/>
      <c r="L747" s="253" t="n"/>
      <c r="M747" s="254" t="n"/>
      <c r="N747" s="254" t="n"/>
      <c r="O747" s="1183" t="n"/>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75" t="n"/>
      <c r="E748" s="975" t="n"/>
      <c r="F748" s="998" t="n"/>
      <c r="G748" s="998" t="n"/>
      <c r="H748" s="975" t="n"/>
      <c r="I748" s="975" t="n"/>
      <c r="J748" s="975" t="n"/>
      <c r="K748" s="1189">
        <f>K742=L748</f>
        <v/>
      </c>
      <c r="L748" s="491">
        <f>SUM(L742:L747)</f>
        <v/>
      </c>
      <c r="M748" s="1190" t="inlineStr">
        <is>
          <t xml:space="preserve">“Verdadero” indica que la cantidad por lote, coincide con el saldo que inicia al mes siguiente. "Falso" no coinicide. </t>
        </is>
      </c>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413">
        <f>AGOSTO!K749</f>
        <v/>
      </c>
      <c r="E749" s="339">
        <f>H345</f>
        <v/>
      </c>
      <c r="F749" s="338" t="n"/>
      <c r="G749" s="338" t="n"/>
      <c r="H749" s="1235">
        <f>+F749+G749</f>
        <v/>
      </c>
      <c r="I749" s="340">
        <f>+AM749</f>
        <v/>
      </c>
      <c r="J749" s="341">
        <f>+H749+I749</f>
        <v/>
      </c>
      <c r="K749" s="583">
        <f>+(D749+E749)-(J749)</f>
        <v/>
      </c>
      <c r="L749" s="253" t="n"/>
      <c r="M749" s="254" t="n"/>
      <c r="N749" s="254" t="n"/>
      <c r="O749" s="1183" t="n"/>
      <c r="P749" s="256">
        <f>IF(O749=0," ",IFERROR(IF(DATEDIF(TODAY(),O749,"M")&lt;=5,"ROJO",IF(DATEDIF(TODAY(),O749,"M")&gt;=12,"VERDE",IF(AND(DATEDIF(TODAY(),O749,"M")&gt;=6,DATEDIF(TODAY(),O749,"M")&lt;=11),"AMARILLO"))),Q749))</f>
        <v/>
      </c>
      <c r="Q749" s="256">
        <f>IF(O749=0," ",IF(O749&lt;=$L$6,"VENCIDO","NO VENCIDO"))</f>
        <v/>
      </c>
      <c r="R749" s="257" t="n"/>
      <c r="S749" s="258" t="n"/>
      <c r="T749" s="258" t="n"/>
      <c r="U749" s="1184" t="n"/>
      <c r="V749" s="1184" t="n"/>
      <c r="W749" s="1236">
        <f>+AR749</f>
        <v/>
      </c>
      <c r="X749" s="1237" t="n"/>
      <c r="Y749" s="232" t="n"/>
      <c r="Z749" s="648" t="n"/>
      <c r="AA749" s="648" t="n"/>
      <c r="AB749" s="649">
        <f>+Z749+AA749</f>
        <v/>
      </c>
      <c r="AC749" s="648" t="n"/>
      <c r="AD749" s="648" t="n"/>
      <c r="AE749" s="648" t="n"/>
      <c r="AF749" s="648" t="n"/>
      <c r="AG749" s="648" t="n"/>
      <c r="AH749" s="648" t="n"/>
      <c r="AI749" s="648" t="n"/>
      <c r="AJ749" s="648" t="n"/>
      <c r="AK749" s="648" t="n"/>
      <c r="AL749" s="648" t="n"/>
      <c r="AM749" s="421">
        <f>SUM(AB749:AL754)</f>
        <v/>
      </c>
      <c r="AN749" s="726" t="n"/>
      <c r="AU749" s="1240" t="n"/>
      <c r="AV749" s="1240" t="n"/>
    </row>
    <row r="750" ht="17.1" customHeight="1">
      <c r="A750" s="973" t="n"/>
      <c r="B750" s="971" t="n"/>
      <c r="C750" s="972" t="n"/>
      <c r="D750" s="973"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73"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73"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73"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73"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75" t="n"/>
      <c r="E755" s="975" t="n"/>
      <c r="F755" s="998" t="n"/>
      <c r="G755" s="998" t="n"/>
      <c r="H755" s="975" t="n"/>
      <c r="I755" s="975" t="n"/>
      <c r="J755" s="975" t="n"/>
      <c r="K755" s="1189">
        <f>K749=L755</f>
        <v/>
      </c>
      <c r="L755" s="491">
        <f>SUM(L749:L754)</f>
        <v/>
      </c>
      <c r="M755" s="1190" t="inlineStr">
        <is>
          <t xml:space="preserve">“Verdadero” indica que la cantidad por lote, coincide con el saldo que inicia al mes siguiente. "Falso" no coinicide. </t>
        </is>
      </c>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413">
        <f>AGOSTO!K756</f>
        <v/>
      </c>
      <c r="E756" s="339">
        <f>H352</f>
        <v/>
      </c>
      <c r="F756" s="338" t="n"/>
      <c r="G756" s="338" t="n"/>
      <c r="H756" s="1235">
        <f>+F756+G756</f>
        <v/>
      </c>
      <c r="I756" s="340">
        <f>+AM756</f>
        <v/>
      </c>
      <c r="J756" s="341">
        <f>+H756+I756</f>
        <v/>
      </c>
      <c r="K756" s="583">
        <f>+(D756+E756)-(J756)</f>
        <v/>
      </c>
      <c r="L756" s="253" t="n"/>
      <c r="M756" s="254" t="n"/>
      <c r="N756" s="254" t="n"/>
      <c r="O756" s="1183" t="n"/>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c r="AA756" s="648" t="n"/>
      <c r="AB756" s="649">
        <f>+Z756+AA756</f>
        <v/>
      </c>
      <c r="AC756" s="648" t="n"/>
      <c r="AD756" s="648" t="n"/>
      <c r="AE756" s="648" t="n"/>
      <c r="AF756" s="648" t="n"/>
      <c r="AG756" s="648" t="n"/>
      <c r="AH756" s="648" t="n"/>
      <c r="AI756" s="648" t="n"/>
      <c r="AJ756" s="648" t="n"/>
      <c r="AK756" s="648" t="n"/>
      <c r="AL756" s="648" t="n"/>
      <c r="AM756" s="421">
        <f>SUM(AB756:AL761)</f>
        <v/>
      </c>
      <c r="AN756" s="726" t="n"/>
      <c r="AU756" s="1240" t="n"/>
      <c r="AV756" s="1240" t="n"/>
    </row>
    <row r="757" ht="17.1" customHeight="1">
      <c r="A757" s="973" t="n"/>
      <c r="B757" s="971" t="n"/>
      <c r="C757" s="972" t="n"/>
      <c r="D757" s="973" t="n"/>
      <c r="E757" s="973" t="n"/>
      <c r="F757" s="994" t="n"/>
      <c r="G757" s="994" t="n"/>
      <c r="H757" s="973" t="n"/>
      <c r="I757" s="973" t="n"/>
      <c r="J757" s="973" t="n"/>
      <c r="K757" s="973" t="n"/>
      <c r="L757" s="253" t="n"/>
      <c r="M757" s="254" t="n"/>
      <c r="N757" s="254" t="n"/>
      <c r="O757" s="1183" t="n"/>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73" t="n"/>
      <c r="E758" s="973" t="n"/>
      <c r="F758" s="994" t="n"/>
      <c r="G758" s="994" t="n"/>
      <c r="H758" s="973" t="n"/>
      <c r="I758" s="973" t="n"/>
      <c r="J758" s="973" t="n"/>
      <c r="K758" s="973" t="n"/>
      <c r="L758" s="253" t="n"/>
      <c r="M758" s="254" t="n"/>
      <c r="N758" s="254" t="n"/>
      <c r="O758" s="1183" t="n"/>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73" t="n"/>
      <c r="E759" s="973" t="n"/>
      <c r="F759" s="994" t="n"/>
      <c r="G759" s="994" t="n"/>
      <c r="H759" s="973" t="n"/>
      <c r="I759" s="973" t="n"/>
      <c r="J759" s="973" t="n"/>
      <c r="K759" s="973" t="n"/>
      <c r="L759" s="253" t="n"/>
      <c r="M759" s="254" t="n"/>
      <c r="N759" s="254" t="n"/>
      <c r="O759" s="1183" t="n"/>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73" t="n"/>
      <c r="E760" s="973" t="n"/>
      <c r="F760" s="994" t="n"/>
      <c r="G760" s="994" t="n"/>
      <c r="H760" s="973" t="n"/>
      <c r="I760" s="973" t="n"/>
      <c r="J760" s="973" t="n"/>
      <c r="K760" s="973" t="n"/>
      <c r="L760" s="253" t="n"/>
      <c r="M760" s="254" t="n"/>
      <c r="N760" s="254" t="n"/>
      <c r="O760" s="1183" t="n"/>
      <c r="P760" s="256">
        <f>IF(O760=0," ",IFERROR(IF(DATEDIF(TODAY(),O760,"M")&lt;=5,"ROJO",IF(DATEDIF(TODAY(),O760,"M")&gt;=12,"VERDE",IF(AND(DATEDIF(TODAY(),O760,"M")&gt;=6,DATEDIF(TODAY(),O760,"M")&lt;=11),"AMARILLO"))),Q760))</f>
        <v/>
      </c>
      <c r="Q760" s="256">
        <f>IF(O760=0," ",IF(O760&lt;=$L$6,"VENCIDO","NO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73"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75"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413">
        <f>AGOSTO!K763</f>
        <v/>
      </c>
      <c r="E763" s="339">
        <f>H359</f>
        <v/>
      </c>
      <c r="F763" s="338" t="n"/>
      <c r="G763" s="338" t="n"/>
      <c r="H763" s="1235">
        <f>+F763+G763</f>
        <v/>
      </c>
      <c r="I763" s="340">
        <f>+AM763</f>
        <v/>
      </c>
      <c r="J763" s="341">
        <f>+H763+I763</f>
        <v/>
      </c>
      <c r="K763" s="583">
        <f>+(D763+E763)-(J763)</f>
        <v/>
      </c>
      <c r="L763" s="253" t="n"/>
      <c r="M763" s="254" t="n"/>
      <c r="N763" s="254" t="n"/>
      <c r="O763" s="1183" t="n"/>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c r="AA763" s="648" t="n"/>
      <c r="AB763" s="649">
        <f>+Z763+AA763</f>
        <v/>
      </c>
      <c r="AC763" s="648" t="n"/>
      <c r="AD763" s="648" t="n"/>
      <c r="AE763" s="648" t="n"/>
      <c r="AF763" s="648" t="n"/>
      <c r="AG763" s="648" t="n"/>
      <c r="AH763" s="648" t="n"/>
      <c r="AI763" s="648" t="n"/>
      <c r="AJ763" s="648" t="n"/>
      <c r="AK763" s="648" t="n"/>
      <c r="AL763" s="648" t="n"/>
      <c r="AM763" s="421">
        <f>SUM(AB763:AL768)</f>
        <v/>
      </c>
      <c r="AN763" s="726" t="n"/>
      <c r="AU763" s="1240" t="n"/>
      <c r="AV763" s="1240" t="n"/>
    </row>
    <row r="764" ht="17.1" customHeight="1">
      <c r="A764" s="973" t="n"/>
      <c r="B764" s="971" t="n"/>
      <c r="C764" s="972" t="n"/>
      <c r="D764" s="973" t="n"/>
      <c r="E764" s="973" t="n"/>
      <c r="F764" s="994" t="n"/>
      <c r="G764" s="994" t="n"/>
      <c r="H764" s="973" t="n"/>
      <c r="I764" s="973" t="n"/>
      <c r="J764" s="973" t="n"/>
      <c r="K764" s="973" t="n"/>
      <c r="L764" s="253" t="n"/>
      <c r="M764" s="254" t="n"/>
      <c r="N764" s="254" t="n"/>
      <c r="O764" s="1183" t="n"/>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73" t="n"/>
      <c r="E765" s="973" t="n"/>
      <c r="F765" s="994" t="n"/>
      <c r="G765" s="994" t="n"/>
      <c r="H765" s="973" t="n"/>
      <c r="I765" s="973" t="n"/>
      <c r="J765" s="973" t="n"/>
      <c r="K765" s="973" t="n"/>
      <c r="L765" s="253" t="n"/>
      <c r="M765" s="254" t="n"/>
      <c r="N765" s="254" t="n"/>
      <c r="O765" s="1183" t="n"/>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73" t="n"/>
      <c r="E766" s="973" t="n"/>
      <c r="F766" s="994" t="n"/>
      <c r="G766" s="994" t="n"/>
      <c r="H766" s="973" t="n"/>
      <c r="I766" s="973" t="n"/>
      <c r="J766" s="973" t="n"/>
      <c r="K766" s="973" t="n"/>
      <c r="L766" s="253" t="n"/>
      <c r="M766" s="254" t="n"/>
      <c r="N766" s="254" t="n"/>
      <c r="O766" s="1183" t="n"/>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73" t="n"/>
      <c r="E767" s="973" t="n"/>
      <c r="F767" s="994" t="n"/>
      <c r="G767" s="994" t="n"/>
      <c r="H767" s="973" t="n"/>
      <c r="I767" s="973" t="n"/>
      <c r="J767" s="973" t="n"/>
      <c r="K767" s="973" t="n"/>
      <c r="L767" s="253" t="n"/>
      <c r="M767" s="254" t="n"/>
      <c r="N767" s="254" t="n"/>
      <c r="O767" s="1183" t="n"/>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73"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75" t="n"/>
      <c r="E769" s="975" t="n"/>
      <c r="F769" s="998" t="n"/>
      <c r="G769" s="998" t="n"/>
      <c r="H769" s="975" t="n"/>
      <c r="I769" s="975" t="n"/>
      <c r="J769" s="975" t="n"/>
      <c r="K769" s="1189">
        <f>K763=L769</f>
        <v/>
      </c>
      <c r="L769" s="491">
        <f>SUM(L763:L768)</f>
        <v/>
      </c>
      <c r="M769" s="1190" t="inlineStr">
        <is>
          <t xml:space="preserve">“Verdadero” indica que la cantidad por lote, coincide con el saldo que inicia al mes siguiente. "Falso" no coinicide. </t>
        </is>
      </c>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413">
        <f>AGOSTO!K770</f>
        <v/>
      </c>
      <c r="E770" s="339">
        <f>H366</f>
        <v/>
      </c>
      <c r="F770" s="338" t="n"/>
      <c r="G770" s="338" t="n"/>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c r="AA770" s="648" t="n"/>
      <c r="AB770" s="649">
        <f>+Z770+AA770</f>
        <v/>
      </c>
      <c r="AC770" s="648" t="n"/>
      <c r="AD770" s="648" t="n"/>
      <c r="AE770" s="648" t="n"/>
      <c r="AF770" s="648" t="n"/>
      <c r="AG770" s="648" t="n"/>
      <c r="AH770" s="648" t="n"/>
      <c r="AI770" s="648" t="n"/>
      <c r="AJ770" s="648" t="n"/>
      <c r="AK770" s="648" t="n"/>
      <c r="AL770" s="648" t="n"/>
      <c r="AM770" s="421">
        <f>SUM(AB770:AL775)</f>
        <v/>
      </c>
      <c r="AN770" s="726" t="n"/>
      <c r="AU770" s="1240" t="n"/>
      <c r="AV770" s="1240" t="n"/>
    </row>
    <row r="771" ht="17.1" customHeight="1">
      <c r="A771" s="973" t="n"/>
      <c r="B771" s="971" t="n"/>
      <c r="C771" s="972" t="n"/>
      <c r="D771" s="973"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73"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73"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73"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73"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75" t="n"/>
      <c r="E776" s="975" t="n"/>
      <c r="F776" s="998" t="n"/>
      <c r="G776" s="998" t="n"/>
      <c r="H776" s="975" t="n"/>
      <c r="I776" s="975" t="n"/>
      <c r="J776" s="975" t="n"/>
      <c r="K776" s="1189">
        <f>K770=L776</f>
        <v/>
      </c>
      <c r="L776" s="491">
        <f>SUM(L770:L775)</f>
        <v/>
      </c>
      <c r="M776" s="1190" t="inlineStr">
        <is>
          <t xml:space="preserve">“Verdadero” indica que la cantidad por lote, coincide con el saldo que inicia al mes siguiente. "Falso" no coinicide. </t>
        </is>
      </c>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413">
        <f>AGOSTO!K777</f>
        <v/>
      </c>
      <c r="E777" s="339">
        <f>H373</f>
        <v/>
      </c>
      <c r="F777" s="338" t="n"/>
      <c r="G777" s="338" t="n"/>
      <c r="H777" s="576">
        <f>+F777+G777</f>
        <v/>
      </c>
      <c r="I777" s="340">
        <f>+AM777</f>
        <v/>
      </c>
      <c r="J777" s="341">
        <f>+H777+I777</f>
        <v/>
      </c>
      <c r="K777" s="584">
        <f>+(D777+E777)-(J777)</f>
        <v/>
      </c>
      <c r="L777" s="253" t="n"/>
      <c r="M777" s="254" t="n"/>
      <c r="N777" s="254" t="n"/>
      <c r="O777" s="1183" t="n"/>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c r="AA777" s="648" t="n"/>
      <c r="AB777" s="649">
        <f>+Z777+AA777</f>
        <v/>
      </c>
      <c r="AC777" s="648" t="n"/>
      <c r="AD777" s="648" t="n"/>
      <c r="AE777" s="648" t="n"/>
      <c r="AF777" s="648" t="n"/>
      <c r="AG777" s="648" t="n"/>
      <c r="AH777" s="648" t="n"/>
      <c r="AI777" s="648" t="n"/>
      <c r="AJ777" s="648" t="n"/>
      <c r="AK777" s="648" t="n"/>
      <c r="AL777" s="648" t="n"/>
      <c r="AM777" s="382">
        <f>SUM(AB777:AL777)</f>
        <v/>
      </c>
      <c r="AN777" s="726" t="n"/>
      <c r="AU777" s="1240" t="n"/>
      <c r="AV777" s="1240" t="n"/>
    </row>
    <row r="778" ht="30" customHeight="1">
      <c r="A778" s="585">
        <f>A777+1</f>
        <v/>
      </c>
      <c r="B778" s="629" t="inlineStr">
        <is>
          <t>Carnet de vacunación adultos</t>
        </is>
      </c>
      <c r="C778" s="967" t="n"/>
      <c r="D778" s="413">
        <f>AGOSTO!K778</f>
        <v/>
      </c>
      <c r="E778" s="339">
        <f>H374</f>
        <v/>
      </c>
      <c r="F778" s="338" t="n"/>
      <c r="G778" s="338" t="n"/>
      <c r="H778" s="576">
        <f>+F778+G778</f>
        <v/>
      </c>
      <c r="I778" s="340">
        <f>+AM778</f>
        <v/>
      </c>
      <c r="J778" s="341">
        <f>+H778+I778</f>
        <v/>
      </c>
      <c r="K778" s="584">
        <f>+(D778+E778)-(J778)</f>
        <v/>
      </c>
      <c r="L778" s="253" t="n"/>
      <c r="M778" s="254" t="n"/>
      <c r="N778" s="254" t="n"/>
      <c r="O778" s="1183" t="n"/>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c r="AA778" s="648" t="n"/>
      <c r="AB778" s="649">
        <f>+Z778+AA778</f>
        <v/>
      </c>
      <c r="AC778" s="648" t="n"/>
      <c r="AD778" s="648" t="n"/>
      <c r="AE778" s="648" t="n"/>
      <c r="AF778" s="648" t="n"/>
      <c r="AG778" s="648" t="n"/>
      <c r="AH778" s="648" t="n"/>
      <c r="AI778" s="648" t="n"/>
      <c r="AJ778" s="648" t="n"/>
      <c r="AK778" s="648" t="n"/>
      <c r="AL778" s="648" t="n"/>
      <c r="AM778" s="382">
        <f>SUM(AB778:AL778)</f>
        <v/>
      </c>
      <c r="AN778" s="726" t="n"/>
      <c r="AU778" s="1240" t="n"/>
      <c r="AV778" s="1240" t="n"/>
    </row>
    <row r="779" ht="30" customHeight="1">
      <c r="A779" s="585">
        <f>A778+1</f>
        <v/>
      </c>
      <c r="B779" s="629" t="inlineStr">
        <is>
          <t>Carnet/Certificado de vacunación (Covid-19)</t>
        </is>
      </c>
      <c r="C779" s="967" t="n"/>
      <c r="D779" s="413">
        <f>AGOSTO!K779</f>
        <v/>
      </c>
      <c r="E779" s="339">
        <f>H375</f>
        <v/>
      </c>
      <c r="F779" s="338" t="n"/>
      <c r="G779" s="338" t="n"/>
      <c r="H779" s="576">
        <f>+F779+G779</f>
        <v/>
      </c>
      <c r="I779" s="340">
        <f>+AM779</f>
        <v/>
      </c>
      <c r="J779" s="341">
        <f>+H779+I779</f>
        <v/>
      </c>
      <c r="K779" s="584">
        <f>+(D779+E779)-(J779)</f>
        <v/>
      </c>
      <c r="L779" s="253" t="n"/>
      <c r="M779" s="254" t="n"/>
      <c r="N779" s="254" t="n"/>
      <c r="O779" s="1183" t="n"/>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c r="AA779" s="648" t="n"/>
      <c r="AB779" s="649">
        <f>+Z779+AA779</f>
        <v/>
      </c>
      <c r="AC779" s="648" t="n"/>
      <c r="AD779" s="648" t="n"/>
      <c r="AE779" s="648" t="n"/>
      <c r="AF779" s="648" t="n"/>
      <c r="AG779" s="648" t="n"/>
      <c r="AH779" s="648" t="n"/>
      <c r="AI779" s="648" t="n"/>
      <c r="AJ779" s="648" t="n"/>
      <c r="AK779" s="648" t="n"/>
      <c r="AL779" s="648" t="n"/>
      <c r="AM779" s="382">
        <f>SUM(AB779:AL779)</f>
        <v/>
      </c>
      <c r="AN779" s="726" t="n"/>
      <c r="AU779" s="1240" t="n"/>
      <c r="AV779" s="1240" t="n"/>
    </row>
    <row r="780" ht="30" customHeight="1">
      <c r="A780" s="585">
        <f>A779+1</f>
        <v/>
      </c>
      <c r="B780" s="629" t="inlineStr">
        <is>
          <t>Carne/certificado internacional de vacunación</t>
        </is>
      </c>
      <c r="C780" s="967" t="n"/>
      <c r="D780" s="413">
        <f>AGOSTO!K780</f>
        <v/>
      </c>
      <c r="E780" s="339">
        <f>H376</f>
        <v/>
      </c>
      <c r="F780" s="338" t="n"/>
      <c r="G780" s="338" t="n"/>
      <c r="H780" s="576">
        <f>+F780+G780</f>
        <v/>
      </c>
      <c r="I780" s="340">
        <f>+AM780</f>
        <v/>
      </c>
      <c r="J780" s="341">
        <f>+H780+I780</f>
        <v/>
      </c>
      <c r="K780" s="584">
        <f>+(D780+E780)-(J780)</f>
        <v/>
      </c>
      <c r="L780" s="253" t="n"/>
      <c r="M780" s="254" t="n"/>
      <c r="N780" s="254" t="n"/>
      <c r="O780" s="1183" t="n"/>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c r="AA780" s="648" t="n"/>
      <c r="AB780" s="649">
        <f>+Z780+AA780</f>
        <v/>
      </c>
      <c r="AC780" s="648" t="n"/>
      <c r="AD780" s="648" t="n"/>
      <c r="AE780" s="648" t="n"/>
      <c r="AF780" s="648" t="n"/>
      <c r="AG780" s="648" t="n"/>
      <c r="AH780" s="648" t="n"/>
      <c r="AI780" s="648" t="n"/>
      <c r="AJ780" s="648" t="n"/>
      <c r="AK780" s="648" t="n"/>
      <c r="AL780" s="648" t="n"/>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413">
        <f>AGOSTO!K781</f>
        <v/>
      </c>
      <c r="E781" s="339">
        <f>H377</f>
        <v/>
      </c>
      <c r="F781" s="338" t="n"/>
      <c r="G781" s="338" t="n"/>
      <c r="H781" s="576">
        <f>+F781+G781</f>
        <v/>
      </c>
      <c r="I781" s="340">
        <f>+AM781</f>
        <v/>
      </c>
      <c r="J781" s="341">
        <f>+H781+I781</f>
        <v/>
      </c>
      <c r="K781" s="584">
        <f>+(D781+E781)-(J781)</f>
        <v/>
      </c>
      <c r="L781" s="253" t="n"/>
      <c r="M781" s="254" t="n"/>
      <c r="N781" s="254" t="n"/>
      <c r="O781" s="1183" t="n"/>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c r="AA781" s="648" t="n"/>
      <c r="AB781" s="649">
        <f>+Z781+AA781</f>
        <v/>
      </c>
      <c r="AC781" s="648" t="n"/>
      <c r="AD781" s="648" t="n"/>
      <c r="AE781" s="648" t="n"/>
      <c r="AF781" s="648" t="n"/>
      <c r="AG781" s="648" t="n"/>
      <c r="AH781" s="648" t="n"/>
      <c r="AI781" s="648" t="n"/>
      <c r="AJ781" s="648" t="n"/>
      <c r="AK781" s="648" t="n"/>
      <c r="AL781" s="648" t="n"/>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413">
        <f>AGOSTO!K782</f>
        <v/>
      </c>
      <c r="E782" s="339">
        <f>H378</f>
        <v/>
      </c>
      <c r="F782" s="338" t="n"/>
      <c r="G782" s="338" t="n"/>
      <c r="H782" s="576">
        <f>+F782+G782</f>
        <v/>
      </c>
      <c r="I782" s="340">
        <f>+AM782</f>
        <v/>
      </c>
      <c r="J782" s="341">
        <f>+H782+I782</f>
        <v/>
      </c>
      <c r="K782" s="584">
        <f>+(D782+E782)-(J782)</f>
        <v/>
      </c>
      <c r="L782" s="253" t="n"/>
      <c r="M782" s="254" t="n"/>
      <c r="N782" s="254" t="n"/>
      <c r="O782" s="1183" t="n"/>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c r="AA782" s="648" t="n"/>
      <c r="AB782" s="649">
        <f>+Z782+AA782</f>
        <v/>
      </c>
      <c r="AC782" s="648" t="n"/>
      <c r="AD782" s="648" t="n"/>
      <c r="AE782" s="648" t="n"/>
      <c r="AF782" s="648" t="n"/>
      <c r="AG782" s="648" t="n"/>
      <c r="AH782" s="648" t="n"/>
      <c r="AI782" s="648" t="n"/>
      <c r="AJ782" s="648" t="n"/>
      <c r="AK782" s="648" t="n"/>
      <c r="AL782" s="648" t="n"/>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413">
        <f>AGOSTO!K783</f>
        <v/>
      </c>
      <c r="E783" s="339">
        <f>H379</f>
        <v/>
      </c>
      <c r="F783" s="338" t="n"/>
      <c r="G783" s="338" t="n"/>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c r="AA783" s="648" t="n"/>
      <c r="AB783" s="649">
        <f>+Z783+AA783</f>
        <v/>
      </c>
      <c r="AC783" s="648" t="n"/>
      <c r="AD783" s="648" t="n"/>
      <c r="AE783" s="648" t="n"/>
      <c r="AF783" s="648" t="n"/>
      <c r="AG783" s="648" t="n"/>
      <c r="AH783" s="648" t="n"/>
      <c r="AI783" s="648" t="n"/>
      <c r="AJ783" s="648" t="n"/>
      <c r="AK783" s="648" t="n"/>
      <c r="AL783" s="648" t="n"/>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569" t="inlineStr">
        <is>
          <t>ÍTEM</t>
        </is>
      </c>
      <c r="B785" s="569" t="inlineStr">
        <is>
          <t>VACUNA COVID-19</t>
        </is>
      </c>
      <c r="C785" s="965" t="n"/>
      <c r="D785" s="1231" t="inlineStr">
        <is>
          <t>SALDO MES ANTERIOR</t>
        </is>
      </c>
      <c r="E785" s="961" t="inlineStr">
        <is>
          <t>BIOLÓGICO RECIBIDO DEL CENTRO DE ACOPIO DEPARTAMENTAL / DISTRITAL</t>
        </is>
      </c>
      <c r="F785" s="1231" t="inlineStr">
        <is>
          <t>DOSIS APLICADAS</t>
        </is>
      </c>
      <c r="G785" s="967" t="n"/>
      <c r="H785" s="1232" t="inlineStr">
        <is>
          <t>TOTAL DOSIS APLICADAS</t>
        </is>
      </c>
      <c r="I785" s="961" t="inlineStr">
        <is>
          <t>DOSIS PERDIDAS</t>
        </is>
      </c>
      <c r="J785" s="1231" t="inlineStr">
        <is>
          <t>TOTAL DOSIS ÚTILIZADAS EN EL MES</t>
        </is>
      </c>
      <c r="K785" s="623" t="inlineStr">
        <is>
          <t>SALDO QUE INICIA EL MES SIGUIENTE (SOLO MUNICIPIOS)</t>
        </is>
      </c>
      <c r="L785" s="623" t="inlineStr">
        <is>
          <t>DOSIS POR LOTES</t>
        </is>
      </c>
      <c r="M785" s="623" t="inlineStr">
        <is>
          <t xml:space="preserve">No. LOTE </t>
        </is>
      </c>
      <c r="N785" s="623" t="inlineStr">
        <is>
          <t>LABORATORIO</t>
        </is>
      </c>
      <c r="O785" s="623" t="inlineStr">
        <is>
          <t>FECHA DE VENCIMIENTO</t>
        </is>
      </c>
      <c r="P785" s="623" t="inlineStr">
        <is>
          <t>SEMAFORIZACION VIDA  ÚTIL DEL BIOLÓGICO</t>
        </is>
      </c>
      <c r="Q785" s="623" t="inlineStr">
        <is>
          <t>CONDICIÓN FINAL DEL BIOLÓGICO, DILUYENTE Y CARNET</t>
        </is>
      </c>
      <c r="R785" s="613" t="inlineStr">
        <is>
          <t>DOSIS EN CUARENTENA</t>
        </is>
      </c>
      <c r="S785" s="613" t="inlineStr">
        <is>
          <t>LABORATORIO</t>
        </is>
      </c>
      <c r="T785" s="613" t="inlineStr">
        <is>
          <t>No. LOTE</t>
        </is>
      </c>
      <c r="U785" s="613" t="inlineStr">
        <is>
          <t>FECHA DE VENCIMEINTO</t>
        </is>
      </c>
      <c r="V785" s="613" t="inlineStr">
        <is>
          <t>FECHA DE INICIO CUARENTENA</t>
        </is>
      </c>
      <c r="W785" s="613" t="inlineStr">
        <is>
          <t>OBSERVACIONES</t>
        </is>
      </c>
      <c r="X785" s="351" t="n"/>
      <c r="Y785" s="232" t="n"/>
      <c r="Z785" s="1221" t="inlineStr">
        <is>
          <t>MOTIVOS DE NO USO DE VACUNAS CONTRA LA COVID-19
RESOLUCIÓN 0118 DEL 27 DE ENERO DE 2026
DISPONIBLE EN EL SIGUIENTE LINK: https://www.minsalud.gov.co/Normatividad_Nuevo/Resolucion%20No%20118%20de%202026.pdf</t>
        </is>
      </c>
      <c r="AA785" s="968" t="n"/>
      <c r="AB785" s="968" t="n"/>
      <c r="AC785" s="968" t="n"/>
      <c r="AD785" s="968" t="n"/>
      <c r="AE785" s="968" t="n"/>
      <c r="AF785" s="968" t="n"/>
      <c r="AG785" s="968" t="n"/>
      <c r="AH785" s="968" t="n"/>
      <c r="AI785" s="968" t="n"/>
      <c r="AJ785" s="968" t="n"/>
      <c r="AK785" s="968" t="n"/>
      <c r="AL785" s="967" t="n"/>
      <c r="AM785" s="532" t="inlineStr">
        <is>
          <t xml:space="preserve">TOTAL DOSIS PERDIDAS        </t>
        </is>
      </c>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inlineStr">
        <is>
          <t>POLÍTICA DE FRASCOS ABIERTO</t>
        </is>
      </c>
      <c r="AA787" s="967" t="n"/>
      <c r="AB787" s="1222" t="inlineStr">
        <is>
          <t>INTERRUPCIÓN DE LA CADENA DE FRÍO</t>
        </is>
      </c>
      <c r="AC787" s="537" t="inlineStr">
        <is>
          <t>CONTAMINACIÓN DEL BIOLÓGICO</t>
        </is>
      </c>
      <c r="AD787" s="1222" t="inlineStr">
        <is>
          <t>ERROR EN LA MANIPULACIÓN</t>
        </is>
      </c>
      <c r="AE787" s="537" t="inlineStr">
        <is>
          <t>ERROR EN LA RECONSTITUCIÓN/DILUCIÓN</t>
        </is>
      </c>
      <c r="AF787" s="1222" t="inlineStr">
        <is>
          <t>ERROR EN LA DOSIFICACIÓN</t>
        </is>
      </c>
      <c r="AG787" s="537" t="inlineStr">
        <is>
          <t>VACUNA QUE EXCEDE EL TIEMPO DE ALMACENAMIENTO EN REFRIGERACIÓN</t>
        </is>
      </c>
      <c r="AH787" s="1222" t="inlineStr">
        <is>
          <t>VENCIMIENTO DEL BIOLÓGICO</t>
        </is>
      </c>
      <c r="AI787" s="537" t="inlineStr">
        <is>
          <t>FRASCO VIAL ROTO</t>
        </is>
      </c>
      <c r="AJ787" s="1222" t="inlineStr">
        <is>
          <t>FALLAS DE FABRICACIÓN/CALIDAD</t>
        </is>
      </c>
      <c r="AK787" s="537" t="inlineStr">
        <is>
          <t>SINIESTRO / ACCIDENTE</t>
        </is>
      </c>
      <c r="AL787" s="1222" t="inlineStr">
        <is>
          <t>ROBO/HURTO BIOLÓGICO</t>
        </is>
      </c>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inlineStr">
        <is>
          <t>INSTITUCIONAL</t>
        </is>
      </c>
      <c r="AA788" s="497" t="inlineStr">
        <is>
          <t>EXTRAMURAL</t>
        </is>
      </c>
      <c r="AB788" s="975" t="n"/>
      <c r="AC788" s="975" t="n"/>
      <c r="AD788" s="975" t="n"/>
      <c r="AE788" s="975" t="n"/>
      <c r="AF788" s="975" t="n"/>
      <c r="AG788" s="975" t="n"/>
      <c r="AH788" s="975" t="n"/>
      <c r="AI788" s="975" t="n"/>
      <c r="AJ788" s="975" t="n"/>
      <c r="AK788" s="975" t="n"/>
      <c r="AL788" s="975" t="n"/>
      <c r="AM788" s="975" t="n"/>
      <c r="AN788" s="368" t="n"/>
      <c r="AO788" s="368" t="n"/>
      <c r="AP788" s="416" t="n"/>
      <c r="AQ788" s="546" t="inlineStr">
        <is>
          <t>PORCENTAJE DE PERDIDA DEL MES
%</t>
        </is>
      </c>
      <c r="AR788" s="546" t="inlineStr">
        <is>
          <t>FACTOR DE PERDIDA DEL MES</t>
        </is>
      </c>
      <c r="AS788" s="420" t="inlineStr">
        <is>
          <t>% DE PERDIDA DEL MSPS</t>
        </is>
      </c>
      <c r="AT788" s="420" t="inlineStr">
        <is>
          <t>DOSIS POR VIAL</t>
        </is>
      </c>
      <c r="AV788" s="1240" t="n"/>
      <c r="AW788" s="1240" t="n"/>
    </row>
    <row r="789" ht="19.5" customHeight="1">
      <c r="A789" s="585" t="n">
        <v>1</v>
      </c>
      <c r="B789" s="1249" t="inlineStr">
        <is>
          <t>MODERNA ADULTO</t>
        </is>
      </c>
      <c r="C789" s="965" t="n"/>
      <c r="D789" s="496">
        <f>AGOSTO!K789</f>
        <v/>
      </c>
      <c r="E789" s="339">
        <f>H385</f>
        <v/>
      </c>
      <c r="F789" s="731" t="n"/>
      <c r="G789" s="731" t="n"/>
      <c r="H789" s="1235">
        <f>SUM(F789,G789)</f>
        <v/>
      </c>
      <c r="I789" s="340">
        <f>+AM789</f>
        <v/>
      </c>
      <c r="J789" s="341">
        <f>+H789+I789</f>
        <v/>
      </c>
      <c r="K789" s="583">
        <f>+(D789+E789)-(J789)</f>
        <v/>
      </c>
      <c r="L789" s="486" t="n"/>
      <c r="M789" s="487" t="n"/>
      <c r="N789" s="487" t="n"/>
      <c r="O789" s="1223" t="n"/>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c r="AA789" s="648" t="n"/>
      <c r="AB789" s="648" t="n"/>
      <c r="AC789" s="648" t="n"/>
      <c r="AD789" s="648" t="n"/>
      <c r="AE789" s="648" t="n"/>
      <c r="AF789" s="648" t="n"/>
      <c r="AG789" s="648" t="n"/>
      <c r="AH789" s="648" t="n"/>
      <c r="AI789" s="648" t="n"/>
      <c r="AJ789" s="648" t="n"/>
      <c r="AK789" s="648" t="n"/>
      <c r="AL789" s="648" t="n"/>
      <c r="AM789" s="573">
        <f>SUM(Z789:AL792)</f>
        <v/>
      </c>
      <c r="AN789" s="693" t="n"/>
      <c r="AO789" s="485" t="n"/>
      <c r="AP789" s="416" t="n"/>
      <c r="AQ789" s="1238">
        <f>IFERROR(I789/J789*100,"0")</f>
        <v/>
      </c>
      <c r="AR789" s="1238">
        <f>IFERROR(1/(1-(AQ789/100)),"0")</f>
        <v/>
      </c>
      <c r="AS789" s="1238" t="n">
        <v>0</v>
      </c>
      <c r="AT789" s="345" t="n">
        <v>5</v>
      </c>
      <c r="AU789" s="1240" t="n"/>
      <c r="AV789" s="1240" t="n"/>
    </row>
    <row r="790" ht="19.5" customHeight="1">
      <c r="A790" s="973" t="n"/>
      <c r="B790" s="971" t="n"/>
      <c r="C790" s="972" t="n"/>
      <c r="D790" s="973"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73"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73"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75" t="n"/>
      <c r="E793" s="975" t="n"/>
      <c r="F793" s="998" t="n"/>
      <c r="G793" s="998" t="n"/>
      <c r="H793" s="975" t="n"/>
      <c r="I793" s="975" t="n"/>
      <c r="J793" s="975" t="n"/>
      <c r="K793" s="1189">
        <f>K789=L793</f>
        <v/>
      </c>
      <c r="L793" s="491">
        <f>SUM(L789:L792)</f>
        <v/>
      </c>
      <c r="M793" s="1190" t="inlineStr">
        <is>
          <t xml:space="preserve">“Verdadero” indica que la cantidad por lote, coincide con el saldo que inicia al mes siguiente. "Falso" no coinicide. </t>
        </is>
      </c>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496">
        <f>AGOSTO!K794</f>
        <v/>
      </c>
      <c r="E794" s="339">
        <f>H390</f>
        <v/>
      </c>
      <c r="F794" s="731" t="n"/>
      <c r="G794" s="731" t="n"/>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c r="AA794" s="648" t="n"/>
      <c r="AB794" s="648" t="n"/>
      <c r="AC794" s="648" t="n"/>
      <c r="AD794" s="648" t="n"/>
      <c r="AE794" s="648" t="n"/>
      <c r="AF794" s="648" t="n"/>
      <c r="AG794" s="648" t="n"/>
      <c r="AH794" s="648" t="n"/>
      <c r="AI794" s="648" t="n"/>
      <c r="AJ794" s="648" t="n"/>
      <c r="AK794" s="648" t="n"/>
      <c r="AL794" s="648" t="n"/>
      <c r="AM794" s="573">
        <f>SUM(Z794:AL797)</f>
        <v/>
      </c>
      <c r="AN794" s="693" t="n"/>
      <c r="AO794" s="485" t="n"/>
      <c r="AP794" s="416" t="n"/>
      <c r="AQ794" s="1238">
        <f>IFERROR(I794/J794*100,"0")</f>
        <v/>
      </c>
      <c r="AR794" s="1238">
        <f>IFERROR(1/(1-(AQ794/100)),"0")</f>
        <v/>
      </c>
      <c r="AS794" s="1238" t="n">
        <v>0</v>
      </c>
      <c r="AT794" s="345" t="n">
        <v>10</v>
      </c>
      <c r="AU794" s="1240" t="n"/>
      <c r="AV794" s="1240" t="n"/>
    </row>
    <row r="795" ht="19.5" customHeight="1">
      <c r="A795" s="973" t="n"/>
      <c r="B795" s="971" t="n"/>
      <c r="C795" s="972" t="n"/>
      <c r="D795" s="973"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73"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73"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75" t="n"/>
      <c r="E798" s="975" t="n"/>
      <c r="F798" s="998" t="n"/>
      <c r="G798" s="998" t="n"/>
      <c r="H798" s="975" t="n"/>
      <c r="I798" s="975" t="n"/>
      <c r="J798" s="975" t="n"/>
      <c r="K798" s="1189">
        <f>K794=L798</f>
        <v/>
      </c>
      <c r="L798" s="491">
        <f>SUM(L794:L797)</f>
        <v/>
      </c>
      <c r="M798" s="1190" t="inlineStr">
        <is>
          <t xml:space="preserve">“Verdadero” indica que la cantidad por lote, coincide con el saldo que inicia al mes siguiente. "Falso" no coinicide. </t>
        </is>
      </c>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496">
        <f>AGOSTO!K799</f>
        <v/>
      </c>
      <c r="E799" s="339">
        <f>H395</f>
        <v/>
      </c>
      <c r="F799" s="731" t="n"/>
      <c r="G799" s="731" t="n"/>
      <c r="H799" s="1235">
        <f>SUM(F799,G799)</f>
        <v/>
      </c>
      <c r="I799" s="340">
        <f>+AM799</f>
        <v/>
      </c>
      <c r="J799" s="341">
        <f>+H799+I799</f>
        <v/>
      </c>
      <c r="K799" s="583">
        <f>+(D799+E799)-(J799)</f>
        <v/>
      </c>
      <c r="L799" s="486" t="n"/>
      <c r="M799" s="487" t="n"/>
      <c r="N799" s="487" t="n"/>
      <c r="O799" s="1223" t="n"/>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c r="AA799" s="648" t="n"/>
      <c r="AB799" s="648" t="n"/>
      <c r="AC799" s="648" t="n"/>
      <c r="AD799" s="648" t="n"/>
      <c r="AE799" s="648" t="n"/>
      <c r="AF799" s="648" t="n"/>
      <c r="AG799" s="648" t="n"/>
      <c r="AH799" s="648" t="n"/>
      <c r="AI799" s="648" t="n"/>
      <c r="AJ799" s="648" t="n"/>
      <c r="AK799" s="648" t="n"/>
      <c r="AL799" s="648" t="n"/>
      <c r="AM799" s="573">
        <f>SUM(Z799:AL802)</f>
        <v/>
      </c>
      <c r="AN799" s="693" t="n"/>
      <c r="AO799" s="485" t="n"/>
      <c r="AP799" s="416" t="n"/>
      <c r="AQ799" s="1238">
        <f>IFERROR(I799/J799*100,"0")</f>
        <v/>
      </c>
      <c r="AR799" s="1238">
        <f>IFERROR(1/(1-(AQ799/100)),"0")</f>
        <v/>
      </c>
      <c r="AS799" s="1238" t="n">
        <v>0</v>
      </c>
      <c r="AT799" s="345" t="n">
        <v>6</v>
      </c>
      <c r="AU799" s="1240" t="n"/>
      <c r="AV799" s="1240" t="n"/>
    </row>
    <row r="800" ht="19.5" customHeight="1">
      <c r="A800" s="973" t="n"/>
      <c r="B800" s="971" t="n"/>
      <c r="C800" s="972" t="n"/>
      <c r="D800" s="973"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73"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73"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75" t="n"/>
      <c r="E803" s="975" t="n"/>
      <c r="F803" s="998" t="n"/>
      <c r="G803" s="998" t="n"/>
      <c r="H803" s="975" t="n"/>
      <c r="I803" s="975" t="n"/>
      <c r="J803" s="975" t="n"/>
      <c r="K803" s="1189">
        <f>K799=L803</f>
        <v/>
      </c>
      <c r="L803" s="491">
        <f>SUM(L799:L802)</f>
        <v/>
      </c>
      <c r="M803" s="1190" t="inlineStr">
        <is>
          <t xml:space="preserve">“Verdadero” indica que la cantidad por lote, coincide con el saldo que inicia al mes siguiente. "Falso" no coinicide. </t>
        </is>
      </c>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496">
        <f>AGOSTO!K804</f>
        <v/>
      </c>
      <c r="E804" s="339">
        <f>H400</f>
        <v/>
      </c>
      <c r="F804" s="731" t="n"/>
      <c r="G804" s="731" t="n"/>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c r="AA804" s="648" t="n"/>
      <c r="AB804" s="648" t="n"/>
      <c r="AC804" s="648" t="n"/>
      <c r="AD804" s="648" t="n"/>
      <c r="AE804" s="648" t="n"/>
      <c r="AF804" s="648" t="n"/>
      <c r="AG804" s="648" t="n"/>
      <c r="AH804" s="648" t="n"/>
      <c r="AI804" s="648" t="n"/>
      <c r="AJ804" s="648" t="n"/>
      <c r="AK804" s="648" t="n"/>
      <c r="AL804" s="648" t="n"/>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73"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73"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73"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75" t="n"/>
      <c r="E808" s="975" t="n"/>
      <c r="F808" s="998" t="n"/>
      <c r="G808" s="998" t="n"/>
      <c r="H808" s="975" t="n"/>
      <c r="I808" s="975" t="n"/>
      <c r="J808" s="975" t="n"/>
      <c r="K808" s="1189">
        <f>K804=L808</f>
        <v/>
      </c>
      <c r="L808" s="491">
        <f>SUM(L804:L807)</f>
        <v/>
      </c>
      <c r="M808" s="1190" t="inlineStr">
        <is>
          <t xml:space="preserve">“Verdadero” indica que la cantidad por lote, coincide con el saldo que inicia al mes siguiente. "Falso" no coinicide. </t>
        </is>
      </c>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496">
        <f>AGOSTO!K809</f>
        <v/>
      </c>
      <c r="E809" s="339">
        <f>H405</f>
        <v/>
      </c>
      <c r="F809" s="731" t="n"/>
      <c r="G809" s="731" t="n"/>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c r="AA809" s="648" t="n"/>
      <c r="AB809" s="648" t="n"/>
      <c r="AC809" s="648" t="n"/>
      <c r="AD809" s="648" t="n"/>
      <c r="AE809" s="648" t="n"/>
      <c r="AF809" s="648" t="n"/>
      <c r="AG809" s="648" t="n"/>
      <c r="AH809" s="648" t="n"/>
      <c r="AI809" s="648" t="n"/>
      <c r="AJ809" s="648" t="n"/>
      <c r="AK809" s="648" t="n"/>
      <c r="AL809" s="648" t="n"/>
      <c r="AM809" s="573">
        <f>SUM(Z809:AL812)</f>
        <v/>
      </c>
      <c r="AN809" s="693" t="n"/>
      <c r="AO809" s="485" t="n"/>
      <c r="AP809" s="416" t="n"/>
      <c r="AQ809" s="1238">
        <f>IFERROR(I809/J809*100,"0")</f>
        <v/>
      </c>
      <c r="AR809" s="1238">
        <f>IFERROR(1/(1-(AQ809/100)),"0")</f>
        <v/>
      </c>
      <c r="AS809" s="1238" t="n">
        <v>0</v>
      </c>
      <c r="AT809" s="345" t="n"/>
      <c r="AU809" s="1240" t="n"/>
      <c r="AV809" s="1240" t="n"/>
    </row>
    <row r="810" ht="19.5" customHeight="1">
      <c r="A810" s="973" t="n"/>
      <c r="B810" s="971" t="n"/>
      <c r="C810" s="972" t="n"/>
      <c r="D810" s="973"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73"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73"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75" t="n"/>
      <c r="E813" s="975" t="n"/>
      <c r="F813" s="998" t="n"/>
      <c r="G813" s="998" t="n"/>
      <c r="H813" s="975" t="n"/>
      <c r="I813" s="975" t="n"/>
      <c r="J813" s="975" t="n"/>
      <c r="K813" s="1189">
        <f>K809=L813</f>
        <v/>
      </c>
      <c r="L813" s="491">
        <f>SUM(L809:L812)</f>
        <v/>
      </c>
      <c r="M813" s="1190" t="inlineStr">
        <is>
          <t xml:space="preserve">“Verdadero” indica que la cantidad por lote, coincide con el saldo que inicia al mes siguiente. "Falso" no coinicide. </t>
        </is>
      </c>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569" t="inlineStr">
        <is>
          <t>ÍTEM</t>
        </is>
      </c>
      <c r="B817" s="569" t="inlineStr">
        <is>
          <t>INSUMOS</t>
        </is>
      </c>
      <c r="C817" s="965" t="n"/>
      <c r="D817" s="552" t="inlineStr">
        <is>
          <t>SALDO MES ANTERIOR</t>
        </is>
      </c>
      <c r="E817" s="961" t="inlineStr">
        <is>
          <t xml:space="preserve">BIOLÓGICO RECIBIDO POR MSPS O ET </t>
        </is>
      </c>
      <c r="F817" s="545" t="inlineStr">
        <is>
          <t>DOSIS APLICADAS</t>
        </is>
      </c>
      <c r="G817" s="967" t="n"/>
      <c r="H817" s="1232" t="inlineStr">
        <is>
          <t>TOTAL DE DOSIS APLICADAS</t>
        </is>
      </c>
      <c r="I817" s="961" t="inlineStr">
        <is>
          <t>DOSIS PERDIDAS</t>
        </is>
      </c>
      <c r="J817" s="1231" t="inlineStr">
        <is>
          <t>TOTAL DE DOSIS UTILIZADAS EN EL MES</t>
        </is>
      </c>
      <c r="K817" s="961" t="inlineStr">
        <is>
          <t>DOSIS TRASLADADAS A OTROS DEPARTAMENTOS, DISTRITOS O RETORNO AL MSPS</t>
        </is>
      </c>
      <c r="L817" s="1253" t="inlineStr">
        <is>
          <t xml:space="preserve">TOTAL SALDO QUE INICIA EL MES </t>
        </is>
      </c>
      <c r="M817" s="1232" t="inlineStr">
        <is>
          <t xml:space="preserve">SALDO CON QUE EL CA DEPARTAMENTAL INICIA </t>
        </is>
      </c>
      <c r="N817" s="1231" t="inlineStr">
        <is>
          <t xml:space="preserve">SALDO CON QUE LOS MUNICIPIOS O IPS INICIAN </t>
        </is>
      </c>
      <c r="O817" s="1232" t="inlineStr">
        <is>
          <t>MESES DISPONIBLES SEGÚN DOSIS UTILIZADAS EN EL MES</t>
        </is>
      </c>
      <c r="P817" s="544" t="inlineStr">
        <is>
          <t>DOSIS EN CUARENTENA</t>
        </is>
      </c>
      <c r="Q817" s="544" t="inlineStr">
        <is>
          <t>LABORATORIO</t>
        </is>
      </c>
      <c r="R817" s="544" t="inlineStr">
        <is>
          <t>No. LOTE</t>
        </is>
      </c>
      <c r="S817" s="544" t="inlineStr">
        <is>
          <t>FECHA DE VENCIMEINTO</t>
        </is>
      </c>
      <c r="T817" s="544" t="inlineStr">
        <is>
          <t>CONDICIÓN FINAL DEL BIOLÓGICO O INSUMO</t>
        </is>
      </c>
      <c r="U817" s="561" t="n"/>
      <c r="V817" s="1254" t="n"/>
      <c r="X817" s="366" t="n"/>
      <c r="Y817" s="232" t="n"/>
      <c r="Z817" s="400" t="inlineStr">
        <is>
          <t>CAUSAS PERDIDA DE BIOLÓGICOS (Remítase a la primera hoja donde se especifica la clasificación de las perdidas)</t>
        </is>
      </c>
      <c r="AA817" s="400" t="n"/>
      <c r="AB817" s="400" t="n"/>
      <c r="AC817" s="400" t="n"/>
      <c r="AD817" s="400" t="n"/>
      <c r="AE817" s="400" t="n"/>
      <c r="AF817" s="400" t="n"/>
      <c r="AG817" s="400" t="n"/>
      <c r="AH817" s="400" t="n"/>
      <c r="AI817" s="400" t="n"/>
      <c r="AJ817" s="400" t="n"/>
      <c r="AK817" s="400" t="n"/>
      <c r="AL817" s="400" t="n"/>
      <c r="AM817" s="1181" t="inlineStr">
        <is>
          <t xml:space="preserve">TOTAL DOSIS PERDIDAS        </t>
        </is>
      </c>
      <c r="AN817" s="367" t="n"/>
      <c r="AO817" s="368" t="n"/>
    </row>
    <row r="818" ht="21.75" customHeight="1">
      <c r="A818" s="973" t="n"/>
      <c r="B818" s="971" t="n"/>
      <c r="C818" s="972" t="n"/>
      <c r="D818" s="973" t="n"/>
      <c r="E818" s="973" t="n"/>
      <c r="F818" s="552" t="inlineStr">
        <is>
          <t>DOSIS APLICADAS
COLOMBIANOS</t>
        </is>
      </c>
      <c r="G818" s="552" t="inlineStr">
        <is>
          <t>DOSIS APLICADAS EXTRANJEROS</t>
        </is>
      </c>
      <c r="H818" s="973" t="n"/>
      <c r="I818" s="973" t="n"/>
      <c r="J818" s="973" t="n"/>
      <c r="K818" s="973" t="n"/>
      <c r="L818" s="973" t="n"/>
      <c r="M818" s="973" t="n"/>
      <c r="N818" s="973" t="n"/>
      <c r="O818" s="973" t="n"/>
      <c r="P818" s="973" t="n"/>
      <c r="Q818" s="973" t="n"/>
      <c r="R818" s="973" t="n"/>
      <c r="S818" s="973" t="n"/>
      <c r="T818" s="973" t="n"/>
      <c r="X818" s="366" t="n"/>
      <c r="Y818" s="232" t="n"/>
      <c r="Z818" s="533" t="n">
        <v>1</v>
      </c>
      <c r="AA818" s="968" t="n"/>
      <c r="AB818" s="967" t="n"/>
      <c r="AC818" s="330" t="n">
        <v>2</v>
      </c>
      <c r="AD818" s="566" t="n">
        <v>3</v>
      </c>
      <c r="AE818" s="533" t="n">
        <v>4</v>
      </c>
      <c r="AF818" s="566" t="n">
        <v>5</v>
      </c>
      <c r="AG818" s="533" t="n">
        <v>6</v>
      </c>
      <c r="AH818" s="566" t="n">
        <v>7</v>
      </c>
      <c r="AI818" s="533" t="n">
        <v>8</v>
      </c>
      <c r="AJ818" s="533" t="n">
        <v>9</v>
      </c>
      <c r="AK818" s="533" t="n">
        <v>10</v>
      </c>
      <c r="AL818" s="566" t="n">
        <v>11</v>
      </c>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X819" s="366" t="n"/>
      <c r="Y819" s="232" t="n"/>
      <c r="Z819" s="533" t="inlineStr">
        <is>
          <t>POLÍTICA DE FRASCOS ABIERTO</t>
        </is>
      </c>
      <c r="AA819" s="968" t="n"/>
      <c r="AB819" s="967" t="n"/>
      <c r="AC819" s="330" t="inlineStr">
        <is>
          <t>INTERRUPCIÓN DE CADENA DE FRÍO</t>
        </is>
      </c>
      <c r="AD819" s="566" t="inlineStr">
        <is>
          <t>CONTAMINACION DEL BIOLÓGICO/DISPOSITIVO MÉDICO</t>
        </is>
      </c>
      <c r="AE819" s="533" t="inlineStr">
        <is>
          <t>VIAL ROTO</t>
        </is>
      </c>
      <c r="AF819" s="566" t="inlineStr">
        <is>
          <t>ERRORES EN LA MANIPULACIÓN</t>
        </is>
      </c>
      <c r="AG819" s="533" t="inlineStr">
        <is>
          <t>VENCIMIENTO DEL BIOLÓGICO O JERINGA</t>
        </is>
      </c>
      <c r="AH819" s="566" t="inlineStr">
        <is>
          <t>FARMACOVIGILANCIA / TECNOVIGILANCIA</t>
        </is>
      </c>
      <c r="AI819" s="533" t="inlineStr">
        <is>
          <t>VOMITO FRANCO</t>
        </is>
      </c>
      <c r="AJ819" s="533" t="inlineStr">
        <is>
          <t>APLICACIÓN FUERA DE LA EDAD</t>
        </is>
      </c>
      <c r="AK819" s="533" t="inlineStr">
        <is>
          <t>POR DECISIÓN FINAL DEL PACIENTE DE NO VACUNACIÓN</t>
        </is>
      </c>
      <c r="AL819" s="566" t="inlineStr">
        <is>
          <t>SINIESTRO O ROBO</t>
        </is>
      </c>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X820" s="366" t="n"/>
      <c r="Y820" s="232" t="n"/>
      <c r="Z820" s="533" t="inlineStr">
        <is>
          <t>INSTITUCIONAL</t>
        </is>
      </c>
      <c r="AA820" s="533" t="inlineStr">
        <is>
          <t>EXTRAMURAL</t>
        </is>
      </c>
      <c r="AB820" s="533" t="inlineStr">
        <is>
          <t>TOTAL</t>
        </is>
      </c>
      <c r="AC820" s="975" t="n"/>
      <c r="AD820" s="975" t="n"/>
      <c r="AE820" s="975" t="n"/>
      <c r="AF820" s="975" t="n"/>
      <c r="AG820" s="975" t="n"/>
      <c r="AH820" s="975" t="n"/>
      <c r="AI820" s="975" t="n"/>
      <c r="AJ820" s="975" t="n"/>
      <c r="AK820" s="975" t="n"/>
      <c r="AL820" s="975" t="n"/>
      <c r="AM820" s="975" t="n"/>
      <c r="AN820" s="333" t="n"/>
      <c r="AO820" s="368" t="n"/>
      <c r="AQ820" s="370" t="inlineStr">
        <is>
          <t>PORCENTAJE DE PERDIDA DEL MES
%</t>
        </is>
      </c>
      <c r="AR820" s="370" t="inlineStr">
        <is>
          <t>FACTOR DE PERDIDA DEL MES</t>
        </is>
      </c>
      <c r="AS820" s="371" t="inlineStr">
        <is>
          <t>% DE PERDIDA DEL MSPS</t>
        </is>
      </c>
      <c r="AT820" s="371" t="inlineStr">
        <is>
          <t>DOSIS POR VIAL</t>
        </is>
      </c>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v>65</v>
      </c>
      <c r="AT821" s="345" t="n">
        <v>10</v>
      </c>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v>0</v>
      </c>
      <c r="AT823" s="345" t="n">
        <v>0</v>
      </c>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v>15</v>
      </c>
      <c r="AT824" s="345" t="n">
        <v>5</v>
      </c>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v>0</v>
      </c>
      <c r="AT825" s="345" t="n">
        <v>0</v>
      </c>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v>0</v>
      </c>
      <c r="AT826" s="345" t="n">
        <v>0</v>
      </c>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v>0</v>
      </c>
      <c r="AT827" s="345" t="n">
        <v>0</v>
      </c>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v>0</v>
      </c>
      <c r="AT829" s="345" t="n">
        <v>1</v>
      </c>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v>0</v>
      </c>
      <c r="AT830" s="345" t="n">
        <v>1</v>
      </c>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v>0</v>
      </c>
      <c r="AT831" s="345" t="n">
        <v>1</v>
      </c>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v>0</v>
      </c>
      <c r="AT832" s="345" t="n">
        <v>1</v>
      </c>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v>0</v>
      </c>
      <c r="AT833" s="345" t="n">
        <v>1</v>
      </c>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v>0</v>
      </c>
      <c r="AT835" s="345" t="n">
        <v>1</v>
      </c>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v>0</v>
      </c>
      <c r="AT836" s="345" t="n">
        <v>1</v>
      </c>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v>0</v>
      </c>
      <c r="AT837" s="345" t="n">
        <v>1</v>
      </c>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v>25</v>
      </c>
      <c r="AT838" s="345" t="n">
        <v>5</v>
      </c>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v>0</v>
      </c>
      <c r="AT839" s="345" t="n">
        <v>1</v>
      </c>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v>70</v>
      </c>
      <c r="AT841" s="345" t="n">
        <v>10</v>
      </c>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v>0</v>
      </c>
      <c r="AT842" s="345" t="n">
        <v>1</v>
      </c>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v>0</v>
      </c>
      <c r="AT843" s="345" t="n">
        <v>1</v>
      </c>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v>0</v>
      </c>
      <c r="AT844" s="345" t="n">
        <v>1</v>
      </c>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v>10</v>
      </c>
      <c r="AT845" s="345" t="n">
        <v>10</v>
      </c>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v>10</v>
      </c>
      <c r="AT847" s="345" t="n">
        <v>20</v>
      </c>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v>10</v>
      </c>
      <c r="AT848" s="345" t="n">
        <v>10</v>
      </c>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v>0</v>
      </c>
      <c r="AT849" s="345" t="n">
        <v>1</v>
      </c>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v>0</v>
      </c>
      <c r="AT850" s="345" t="n">
        <v>1</v>
      </c>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v>0</v>
      </c>
      <c r="AT851" s="345" t="n">
        <v>1</v>
      </c>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v>0</v>
      </c>
      <c r="AT853" s="345" t="n">
        <v>1</v>
      </c>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v>0</v>
      </c>
      <c r="AT854" s="345" t="n">
        <v>1</v>
      </c>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v>0</v>
      </c>
      <c r="AT855" s="345" t="n">
        <v>1</v>
      </c>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v>0</v>
      </c>
      <c r="AT856" s="345" t="n">
        <v>1</v>
      </c>
    </row>
    <row r="857" ht="28.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7"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inlineStr">
        <is>
          <t>SALDO MES ANTERIOR</t>
        </is>
      </c>
      <c r="E889" s="961" t="inlineStr">
        <is>
          <t xml:space="preserve">BIOLÓGICO RECIBIDO POR MSPS O ET </t>
        </is>
      </c>
      <c r="F889" s="545" t="inlineStr">
        <is>
          <t>DOSIS APLICADAS</t>
        </is>
      </c>
      <c r="G889" s="967" t="n"/>
      <c r="H889" s="1232" t="inlineStr">
        <is>
          <t>TOTAL DE DOSIS APLICADAS</t>
        </is>
      </c>
      <c r="I889" s="961" t="inlineStr">
        <is>
          <t>DOSIS PERDIDAS</t>
        </is>
      </c>
      <c r="J889" s="1231" t="inlineStr">
        <is>
          <t>TOTAL DE DOSIS UTILIZADAS EN EL MES</t>
        </is>
      </c>
      <c r="K889" s="961" t="inlineStr">
        <is>
          <t>DOSIS TRASLADADAS A OTROS DEPARTAMENTOS, DISTRITOS O RETORNO AL MSPS</t>
        </is>
      </c>
      <c r="L889" s="1253" t="inlineStr">
        <is>
          <t xml:space="preserve">TOTAL SALDO QUE INICIA EL MES </t>
        </is>
      </c>
      <c r="M889" s="1232" t="inlineStr">
        <is>
          <t xml:space="preserve">SALDO CON QUE EL CA DEPARTAMENTAL INICIA </t>
        </is>
      </c>
      <c r="N889" s="1231" t="inlineStr">
        <is>
          <t xml:space="preserve">SALDO CON QUE LOS MUNICIPIOS O IPS INICIAN </t>
        </is>
      </c>
      <c r="O889" s="1232" t="inlineStr">
        <is>
          <t>MESES DISPONIBLES SEGÚN DOSIS UTILIZADAS EN EL MES</t>
        </is>
      </c>
      <c r="P889" s="544" t="inlineStr">
        <is>
          <t>DOSIS EN CUARENTENA</t>
        </is>
      </c>
      <c r="Q889" s="544" t="inlineStr">
        <is>
          <t>LABORATORIO</t>
        </is>
      </c>
      <c r="R889" s="544" t="inlineStr">
        <is>
          <t>No. LOTE</t>
        </is>
      </c>
      <c r="S889" s="544" t="inlineStr">
        <is>
          <t>FECHA DE VENCIMEINTO</t>
        </is>
      </c>
      <c r="T889" s="544" t="inlineStr">
        <is>
          <t>CONDICIÓN FINAL DEL BIOLÓGICO O INSUMO</t>
        </is>
      </c>
      <c r="U889" s="561" t="n"/>
      <c r="V889" s="1254" t="n"/>
      <c r="Y889" s="232" t="n"/>
      <c r="Z889" s="1221" t="inlineStr">
        <is>
          <t>MOTIVOS DE NO USO DE VACUNAS CONTRA LA COVID-19
RESOLUCIÓN 0118 DEL 27 DE ENERO DE 2026
DISPONIBLE EN EL SIGUIENTE LINK: https://www.minsalud.gov.co/Normatividad_Nuevo/Resolucion%20No%20118%20de%202026.pdf</t>
        </is>
      </c>
      <c r="AA889" s="968" t="n"/>
      <c r="AB889" s="968" t="n"/>
      <c r="AC889" s="968" t="n"/>
      <c r="AD889" s="968" t="n"/>
      <c r="AE889" s="968" t="n"/>
      <c r="AF889" s="968" t="n"/>
      <c r="AG889" s="968" t="n"/>
      <c r="AH889" s="968" t="n"/>
      <c r="AI889" s="968" t="n"/>
      <c r="AJ889" s="968" t="n"/>
      <c r="AK889" s="968" t="n"/>
      <c r="AL889" s="967" t="n"/>
      <c r="AM889" s="532" t="inlineStr">
        <is>
          <t xml:space="preserve">TOTAL DOSIS PERDIDAS        </t>
        </is>
      </c>
      <c r="AP889" s="416" t="n"/>
      <c r="AQ889" s="416" t="n"/>
      <c r="AR889" s="416" t="n"/>
      <c r="AS889" s="416" t="n"/>
      <c r="AT889" s="416" t="n"/>
      <c r="AU889" s="1240" t="n"/>
      <c r="AV889" s="1240" t="n"/>
    </row>
    <row r="890" ht="22.5" customHeight="1">
      <c r="A890" s="971" t="n"/>
      <c r="C890" s="972" t="n"/>
      <c r="D890" s="973" t="n"/>
      <c r="E890" s="973" t="n"/>
      <c r="F890" s="552" t="inlineStr">
        <is>
          <t>DOSIS APLICADAS
COLOMBIANOS</t>
        </is>
      </c>
      <c r="G890" s="552" t="inlineStr">
        <is>
          <t>DOSIS APLICADAS EXTRANJEROS</t>
        </is>
      </c>
      <c r="H890" s="973" t="n"/>
      <c r="I890" s="973" t="n"/>
      <c r="J890" s="973" t="n"/>
      <c r="K890" s="973" t="n"/>
      <c r="L890" s="973" t="n"/>
      <c r="M890" s="973" t="n"/>
      <c r="N890" s="973" t="n"/>
      <c r="O890" s="973" t="n"/>
      <c r="P890" s="973" t="n"/>
      <c r="Q890" s="973" t="n"/>
      <c r="R890" s="973" t="n"/>
      <c r="S890" s="973" t="n"/>
      <c r="T890" s="973" t="n"/>
      <c r="Y890" s="232" t="n"/>
      <c r="Z890" s="533" t="n">
        <v>1</v>
      </c>
      <c r="AA890" s="967" t="n"/>
      <c r="AB890" s="533" t="n">
        <v>2</v>
      </c>
      <c r="AC890" s="533" t="n">
        <v>3</v>
      </c>
      <c r="AD890" s="533" t="n">
        <v>4</v>
      </c>
      <c r="AE890" s="533" t="n">
        <v>5</v>
      </c>
      <c r="AF890" s="533" t="n">
        <v>6</v>
      </c>
      <c r="AG890" s="533" t="n">
        <v>7</v>
      </c>
      <c r="AH890" s="533" t="n">
        <v>8</v>
      </c>
      <c r="AI890" s="533" t="n">
        <v>9</v>
      </c>
      <c r="AJ890" s="533" t="n">
        <v>10</v>
      </c>
      <c r="AK890" s="533" t="n">
        <v>11</v>
      </c>
      <c r="AL890" s="533" t="n">
        <v>12</v>
      </c>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inlineStr">
        <is>
          <t>POLÍTICA DE FRASCOS ABIERTO</t>
        </is>
      </c>
      <c r="AA891" s="967" t="n"/>
      <c r="AB891" s="1222" t="inlineStr">
        <is>
          <t>INTERRUPCIÓN DE LA CADENA DE FRÍO</t>
        </is>
      </c>
      <c r="AC891" s="537" t="inlineStr">
        <is>
          <t>CONTAMINACIÓN DEL BIOLÓGICO</t>
        </is>
      </c>
      <c r="AD891" s="1222" t="inlineStr">
        <is>
          <t>ERROR EN LA MANIPULACIÓN</t>
        </is>
      </c>
      <c r="AE891" s="537" t="inlineStr">
        <is>
          <t>ERROR EN LA RECONSTITUCIÓN/DILUCIÓN</t>
        </is>
      </c>
      <c r="AF891" s="1222" t="inlineStr">
        <is>
          <t>ERROR EN LA DOSIFICACIÓN</t>
        </is>
      </c>
      <c r="AG891" s="537" t="inlineStr">
        <is>
          <t>VACUNA QUE EXCEDE EL TIEMPO DE ALMACENAMIENTO EN REFRIGERACIÓN</t>
        </is>
      </c>
      <c r="AH891" s="1222" t="inlineStr">
        <is>
          <t>VENCIMIENTO DEL BIOLÓGICO</t>
        </is>
      </c>
      <c r="AI891" s="537" t="inlineStr">
        <is>
          <t>FRASCO VIAL ROTO</t>
        </is>
      </c>
      <c r="AJ891" s="1222" t="inlineStr">
        <is>
          <t>FALLAS DE FABRICACIÓN/CALIDAD</t>
        </is>
      </c>
      <c r="AK891" s="537" t="inlineStr">
        <is>
          <t>SINIESTRO / ACCIDENTE</t>
        </is>
      </c>
      <c r="AL891" s="1222" t="inlineStr">
        <is>
          <t>ROBO/HURTO BIOLÓGICO</t>
        </is>
      </c>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inlineStr">
        <is>
          <t>INSTITUCIONAL</t>
        </is>
      </c>
      <c r="AA892" s="497" t="inlineStr">
        <is>
          <t>EXTRAMURAL</t>
        </is>
      </c>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inlineStr">
        <is>
          <t>Observación</t>
        </is>
      </c>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knJmhR+Kb/oJv5Wc1QgWgw==" formatRows="1" sort="1" spinCount="100000" hashValue="o7d8hS26sGLlUEWQmpTfK+CVePc8ZwO5nxJepuwI12hk7YVPnZLwL4yqlBeF4Ss8rmfWffk9v74rQ+9PLIhxCQ=="/>
  <mergeCells count="3720">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AC25:AC29"/>
    <mergeCell ref="I133:I138"/>
    <mergeCell ref="B181:C186"/>
    <mergeCell ref="AI352:AI357"/>
    <mergeCell ref="D413:D416"/>
    <mergeCell ref="AL787:AL788"/>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AH11:AH12"/>
    <mergeCell ref="E31:E36"/>
    <mergeCell ref="I435:I440"/>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Z11:AB11"/>
    <mergeCell ref="AG211:AG215"/>
    <mergeCell ref="W742:W748"/>
    <mergeCell ref="AN163:AN167"/>
    <mergeCell ref="D236:D241"/>
    <mergeCell ref="J465:J470"/>
    <mergeCell ref="AV465:AV469"/>
    <mergeCell ref="B507:C512"/>
    <mergeCell ref="Z223:Z227"/>
    <mergeCell ref="D359:D365"/>
    <mergeCell ref="A525:A530"/>
    <mergeCell ref="B778:C778"/>
    <mergeCell ref="I609:I614"/>
    <mergeCell ref="AF230:AF234"/>
    <mergeCell ref="K115:K119"/>
    <mergeCell ref="AF537:AF541"/>
    <mergeCell ref="AC79:AC83"/>
    <mergeCell ref="U9:U12"/>
    <mergeCell ref="AC73:AC77"/>
    <mergeCell ref="J272:J277"/>
    <mergeCell ref="K543:K547"/>
    <mergeCell ref="F652:F657"/>
    <mergeCell ref="K579:K583"/>
    <mergeCell ref="B37:C42"/>
    <mergeCell ref="AA615:AA619"/>
    <mergeCell ref="AK664:AK668"/>
    <mergeCell ref="AH296:AH300"/>
    <mergeCell ref="AH303:AH308"/>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E61:AE65"/>
    <mergeCell ref="AJ441:AJ445"/>
    <mergeCell ref="AF714:AF719"/>
    <mergeCell ref="B121:C126"/>
    <mergeCell ref="E272:E277"/>
    <mergeCell ref="AH676:AH680"/>
    <mergeCell ref="AD543:AD547"/>
    <mergeCell ref="G459:G464"/>
    <mergeCell ref="E735:E741"/>
    <mergeCell ref="D634:D639"/>
    <mergeCell ref="AE519:AE523"/>
    <mergeCell ref="H441:H446"/>
    <mergeCell ref="J199:J204"/>
    <mergeCell ref="B579:C584"/>
    <mergeCell ref="AG11:AG12"/>
    <mergeCell ref="AE891:AE892"/>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I193:I198"/>
    <mergeCell ref="AG296:AG300"/>
    <mergeCell ref="AG303:AG308"/>
    <mergeCell ref="AD804:AD807"/>
    <mergeCell ref="AI489:AI493"/>
    <mergeCell ref="K513:K517"/>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H85:H90"/>
    <mergeCell ref="AC187:AC191"/>
    <mergeCell ref="I175:I180"/>
    <mergeCell ref="AM809:AM812"/>
    <mergeCell ref="AI405:AI408"/>
    <mergeCell ref="AR441:AR445"/>
    <mergeCell ref="AB555:AB559"/>
    <mergeCell ref="H303:H309"/>
    <mergeCell ref="AB549:AB553"/>
    <mergeCell ref="AM97:AM101"/>
    <mergeCell ref="AE721:AE726"/>
    <mergeCell ref="AD749:AD754"/>
    <mergeCell ref="AL423:AL427"/>
    <mergeCell ref="AE591:AE595"/>
    <mergeCell ref="AV447:AV451"/>
    <mergeCell ref="D103:D108"/>
    <mergeCell ref="H507:H512"/>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AA55:AA59"/>
    <mergeCell ref="AT525:AT529"/>
    <mergeCell ref="B782:C782"/>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J284:J289"/>
    <mergeCell ref="K585:K5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K103:AK107"/>
    <mergeCell ref="AA37:AA41"/>
    <mergeCell ref="AL139:AL143"/>
    <mergeCell ref="J749:J755"/>
    <mergeCell ref="AA73:AA77"/>
    <mergeCell ref="AH338:AH343"/>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AI25:AI29"/>
    <mergeCell ref="K211:K215"/>
    <mergeCell ref="B290:C295"/>
    <mergeCell ref="AI181:AI185"/>
    <mergeCell ref="B826:C826"/>
    <mergeCell ref="AW609:AW613"/>
    <mergeCell ref="I278:I283"/>
    <mergeCell ref="AQ441:AQ445"/>
    <mergeCell ref="F531:F536"/>
    <mergeCell ref="AF756:AF761"/>
    <mergeCell ref="B785:C788"/>
    <mergeCell ref="K763:K768"/>
    <mergeCell ref="A187:A192"/>
    <mergeCell ref="AN290:AN294"/>
    <mergeCell ref="AT477:AT481"/>
    <mergeCell ref="AD591:AD595"/>
    <mergeCell ref="AC794:AC797"/>
    <mergeCell ref="B828:C828"/>
    <mergeCell ref="B853:C853"/>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E352:AE357"/>
    <mergeCell ref="E169:E174"/>
    <mergeCell ref="K331:K336"/>
    <mergeCell ref="D501:D506"/>
    <mergeCell ref="I573:I578"/>
    <mergeCell ref="AM603:AM607"/>
    <mergeCell ref="AL664:AL668"/>
    <mergeCell ref="AB390:AB393"/>
    <mergeCell ref="AH787:AH78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Z139:Z143"/>
    <mergeCell ref="G345:G351"/>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565:C565"/>
    <mergeCell ref="Z799:Z802"/>
    <mergeCell ref="B894:C894"/>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AR447:AR451"/>
    <mergeCell ref="D507:D512"/>
    <mergeCell ref="H205:H210"/>
    <mergeCell ref="AK609:AK613"/>
    <mergeCell ref="A682:A687"/>
    <mergeCell ref="R889:R892"/>
    <mergeCell ref="F413:G413"/>
    <mergeCell ref="AA714:AA719"/>
    <mergeCell ref="K278:K282"/>
    <mergeCell ref="H634:H639"/>
    <mergeCell ref="I735:I741"/>
    <mergeCell ref="AF694:AF698"/>
    <mergeCell ref="H31:H36"/>
    <mergeCell ref="AL272:AL27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AN345:AN350"/>
    <mergeCell ref="Z381:AL381"/>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AC248:AC252"/>
    <mergeCell ref="AA175:AA179"/>
    <mergeCell ref="J447:J452"/>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T561:AT565"/>
    <mergeCell ref="AD700:AD704"/>
    <mergeCell ref="AD891:AD892"/>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A109:A114"/>
    <mergeCell ref="H382:H38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Z609:Z613"/>
    <mergeCell ref="B862:C862"/>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W429:AW433"/>
    <mergeCell ref="AL435:AL439"/>
    <mergeCell ref="AG543:AG547"/>
    <mergeCell ref="AG537:AG541"/>
    <mergeCell ref="AA646:AA650"/>
    <mergeCell ref="J459:J464"/>
    <mergeCell ref="A567:A572"/>
    <mergeCell ref="N817:N820"/>
    <mergeCell ref="A561:A566"/>
    <mergeCell ref="K157:K161"/>
    <mergeCell ref="I91:I96"/>
    <mergeCell ref="Z549:Z553"/>
    <mergeCell ref="AF728:AF733"/>
    <mergeCell ref="AK67:AK71"/>
    <mergeCell ref="AN395:AN398"/>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I417:I422"/>
    <mergeCell ref="B781:C781"/>
    <mergeCell ref="I531:I536"/>
    <mergeCell ref="D317:D323"/>
    <mergeCell ref="D187:D192"/>
    <mergeCell ref="AF794:AF797"/>
    <mergeCell ref="D912:G912"/>
    <mergeCell ref="F103:F108"/>
    <mergeCell ref="B571:C571"/>
    <mergeCell ref="AI199:AI203"/>
    <mergeCell ref="J230:J235"/>
    <mergeCell ref="AE395:AE398"/>
    <mergeCell ref="AH561:AH565"/>
    <mergeCell ref="K501:K505"/>
    <mergeCell ref="Z417:Z421"/>
    <mergeCell ref="B871:C871"/>
    <mergeCell ref="Z199:Z203"/>
    <mergeCell ref="J652:J657"/>
    <mergeCell ref="AL85:AL89"/>
    <mergeCell ref="J400:J404"/>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AK133:AK137"/>
    <mergeCell ref="V817:V820"/>
    <mergeCell ref="I799:I803"/>
    <mergeCell ref="B804:C808"/>
    <mergeCell ref="A199:A204"/>
    <mergeCell ref="AV429:AV433"/>
    <mergeCell ref="Z652:Z656"/>
    <mergeCell ref="Z646:Z650"/>
    <mergeCell ref="B145:C150"/>
    <mergeCell ref="AW555:AW559"/>
    <mergeCell ref="AF211:AF215"/>
    <mergeCell ref="AR423:AR427"/>
    <mergeCell ref="Z43:Z47"/>
    <mergeCell ref="A331:A337"/>
    <mergeCell ref="H91:H96"/>
    <mergeCell ref="G513:G518"/>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AK459:AK463"/>
    <mergeCell ref="I519:I524"/>
    <mergeCell ref="AD621:AD625"/>
    <mergeCell ref="B163:C168"/>
    <mergeCell ref="B794:C798"/>
    <mergeCell ref="K242:K246"/>
    <mergeCell ref="Z61:Z65"/>
    <mergeCell ref="K236:K240"/>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D615:D620"/>
    <mergeCell ref="B413:C416"/>
    <mergeCell ref="B395:C399"/>
    <mergeCell ref="Z889:AL889"/>
    <mergeCell ref="B779:C779"/>
    <mergeCell ref="AL181:AL185"/>
    <mergeCell ref="D272:D277"/>
    <mergeCell ref="B543:C548"/>
    <mergeCell ref="AM447:AM451"/>
    <mergeCell ref="Z818:AB818"/>
    <mergeCell ref="AA483:AA487"/>
    <mergeCell ref="AF609:AF613"/>
    <mergeCell ref="K799:K802"/>
    <mergeCell ref="AA694:AA698"/>
    <mergeCell ref="AJ133:AJ137"/>
    <mergeCell ref="AH646:AH650"/>
    <mergeCell ref="H567:H572"/>
    <mergeCell ref="U817:U820"/>
    <mergeCell ref="H561:H566"/>
    <mergeCell ref="B839:C839"/>
    <mergeCell ref="AM573:AM577"/>
    <mergeCell ref="AB471:AB475"/>
    <mergeCell ref="A573:A578"/>
    <mergeCell ref="AB507:AB511"/>
    <mergeCell ref="E429:E434"/>
    <mergeCell ref="J317:J323"/>
    <mergeCell ref="AL163:AL167"/>
    <mergeCell ref="Q381:Q384"/>
    <mergeCell ref="H465:H470"/>
    <mergeCell ref="E97:E102"/>
    <mergeCell ref="AI345:AI350"/>
    <mergeCell ref="B707:C713"/>
    <mergeCell ref="AT465:AT469"/>
    <mergeCell ref="AL199:AL203"/>
    <mergeCell ref="AK531:AK535"/>
    <mergeCell ref="B378:C378"/>
    <mergeCell ref="AD579:AD583"/>
    <mergeCell ref="AK525:AK529"/>
    <mergeCell ref="B115:C120"/>
    <mergeCell ref="AE809:AE812"/>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Z441:Z445"/>
    <mergeCell ref="H489:H494"/>
    <mergeCell ref="AH61:AH65"/>
    <mergeCell ref="AM284:AM288"/>
    <mergeCell ref="A284:A289"/>
    <mergeCell ref="AF331:AF336"/>
    <mergeCell ref="U413:U416"/>
    <mergeCell ref="AJ459:AJ463"/>
    <mergeCell ref="E151:E156"/>
    <mergeCell ref="H193:H198"/>
    <mergeCell ref="AF296:AF300"/>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AK157:AK161"/>
    <mergeCell ref="G385:G389"/>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C67:AC71"/>
    <mergeCell ref="AL278:AL282"/>
    <mergeCell ref="D682:D687"/>
    <mergeCell ref="AH441:AH445"/>
    <mergeCell ref="U889:U892"/>
    <mergeCell ref="AD317:AD322"/>
    <mergeCell ref="AC97:AC101"/>
    <mergeCell ref="AE290:AE294"/>
    <mergeCell ref="K567:K571"/>
    <mergeCell ref="K561:K565"/>
    <mergeCell ref="E459:E464"/>
    <mergeCell ref="AL115:AL119"/>
    <mergeCell ref="J181:J186"/>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E317:E323"/>
    <mergeCell ref="D97:D102"/>
    <mergeCell ref="G465:G470"/>
    <mergeCell ref="AB447:AB451"/>
    <mergeCell ref="AJ531:AJ535"/>
    <mergeCell ref="K714:K719"/>
    <mergeCell ref="K139:K143"/>
    <mergeCell ref="AF248:AF252"/>
    <mergeCell ref="AL477:AL481"/>
    <mergeCell ref="AM567:AM571"/>
    <mergeCell ref="AT435:AT439"/>
    <mergeCell ref="AC537:AC541"/>
    <mergeCell ref="AN331:AN336"/>
    <mergeCell ref="AW585:AW589"/>
    <mergeCell ref="H217:H222"/>
    <mergeCell ref="A707:A713"/>
    <mergeCell ref="J817:J820"/>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AK395:AK398"/>
    <mergeCell ref="B832:C832"/>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Z127:Z131"/>
    <mergeCell ref="AM763:AM768"/>
    <mergeCell ref="H175:H180"/>
    <mergeCell ref="B845:C845"/>
    <mergeCell ref="AJ447:AJ451"/>
    <mergeCell ref="AL205:AL209"/>
    <mergeCell ref="AE682:AE686"/>
    <mergeCell ref="AH405:AH408"/>
    <mergeCell ref="AC609:AC613"/>
    <mergeCell ref="AR531:AR535"/>
    <mergeCell ref="AR525:AR529"/>
    <mergeCell ref="F525:F530"/>
    <mergeCell ref="W423:W428"/>
    <mergeCell ref="AG19:AG23"/>
    <mergeCell ref="Z181:Z185"/>
    <mergeCell ref="AD272:AD276"/>
    <mergeCell ref="AK537:AK541"/>
    <mergeCell ref="AG133:AG137"/>
    <mergeCell ref="AA447:AA451"/>
    <mergeCell ref="R817:R820"/>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K591:K595"/>
    <mergeCell ref="AF891:AF892"/>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AJ97:AJ101"/>
    <mergeCell ref="I465:I470"/>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M477:AM481"/>
    <mergeCell ref="P9:P12"/>
    <mergeCell ref="A477:A482"/>
    <mergeCell ref="K670:K674"/>
    <mergeCell ref="D809:D813"/>
    <mergeCell ref="AM652:AM656"/>
    <mergeCell ref="AL67:AL71"/>
    <mergeCell ref="A79:A84"/>
    <mergeCell ref="E483:E488"/>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AH447:AH451"/>
    <mergeCell ref="B477:C482"/>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L97:AL101"/>
    <mergeCell ref="A317:A323"/>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W465:AW469"/>
    <mergeCell ref="AL345:AL350"/>
    <mergeCell ref="AG579:AG583"/>
    <mergeCell ref="AD405:AD408"/>
    <mergeCell ref="F91:F96"/>
    <mergeCell ref="AN254:AN258"/>
    <mergeCell ref="B375:C375"/>
    <mergeCell ref="AG423:AG427"/>
    <mergeCell ref="K483:K487"/>
    <mergeCell ref="A290:A295"/>
    <mergeCell ref="AI385:AI388"/>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AN157:AN161"/>
    <mergeCell ref="AA272:AA276"/>
    <mergeCell ref="J385:J389"/>
    <mergeCell ref="D555:D560"/>
    <mergeCell ref="AV417:AV421"/>
    <mergeCell ref="AA735:AA740"/>
    <mergeCell ref="AI688:AI692"/>
    <mergeCell ref="AB248:AB252"/>
    <mergeCell ref="Z31:Z35"/>
    <mergeCell ref="H79:H84"/>
    <mergeCell ref="K400:K403"/>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J109:J114"/>
    <mergeCell ref="AH290:AH29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D181:AD185"/>
    <mergeCell ref="AC366:AC371"/>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AB133:AB137"/>
    <mergeCell ref="M817:M820"/>
    <mergeCell ref="AL799:AL802"/>
    <mergeCell ref="J585:J590"/>
    <mergeCell ref="W646:W651"/>
    <mergeCell ref="J382:J384"/>
    <mergeCell ref="F31:F36"/>
    <mergeCell ref="AH310:AH315"/>
    <mergeCell ref="AB477:AB481"/>
    <mergeCell ref="AG236:AG240"/>
    <mergeCell ref="J789:J793"/>
    <mergeCell ref="AI423:AI427"/>
    <mergeCell ref="AD331:AD336"/>
    <mergeCell ref="AN400:AN403"/>
    <mergeCell ref="J193:J198"/>
    <mergeCell ref="S413:S416"/>
    <mergeCell ref="Z352:Z357"/>
    <mergeCell ref="I390:I394"/>
    <mergeCell ref="AI640:AI644"/>
    <mergeCell ref="B531:C536"/>
    <mergeCell ref="AG664:AG668"/>
    <mergeCell ref="AV483:AV487"/>
    <mergeCell ref="AG707:AG712"/>
    <mergeCell ref="T381:T384"/>
    <mergeCell ref="AD507:AD511"/>
    <mergeCell ref="AH205:AH209"/>
    <mergeCell ref="AM714:AM719"/>
    <mergeCell ref="A714:A720"/>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V435:AV439"/>
    <mergeCell ref="AJ477:AJ481"/>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M400:AM403"/>
    <mergeCell ref="A400:A404"/>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D13:D18"/>
    <mergeCell ref="AM115:AM119"/>
    <mergeCell ref="J175:J180"/>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K794:K797"/>
    <mergeCell ref="P413:P416"/>
    <mergeCell ref="T817:T820"/>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AB310:AB315"/>
    <mergeCell ref="J331:J337"/>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AN49:AN53"/>
    <mergeCell ref="I248:I253"/>
    <mergeCell ref="F809:F813"/>
    <mergeCell ref="B835:C835"/>
    <mergeCell ref="B829:C829"/>
    <mergeCell ref="E85:E90"/>
    <mergeCell ref="AA199:AA203"/>
    <mergeCell ref="AN260:AN264"/>
    <mergeCell ref="AK345:AK350"/>
    <mergeCell ref="AV615:AV619"/>
    <mergeCell ref="J615:J620"/>
    <mergeCell ref="F211:F216"/>
    <mergeCell ref="I676:I681"/>
    <mergeCell ref="AG513:AG517"/>
    <mergeCell ref="AH91:AH95"/>
    <mergeCell ref="AM749:AM754"/>
    <mergeCell ref="AK223:AK227"/>
    <mergeCell ref="AA395:AA398"/>
    <mergeCell ref="AS447:AS451"/>
    <mergeCell ref="A621:A626"/>
    <mergeCell ref="AH385:AH388"/>
    <mergeCell ref="F763:F769"/>
    <mergeCell ref="Z254:Z258"/>
    <mergeCell ref="S889:S892"/>
    <mergeCell ref="AA103:AA107"/>
    <mergeCell ref="Z248:Z252"/>
    <mergeCell ref="AB317:AB322"/>
    <mergeCell ref="AM742:AM747"/>
    <mergeCell ref="B830:C830"/>
    <mergeCell ref="D19:D24"/>
    <mergeCell ref="AB441:AB445"/>
    <mergeCell ref="E109:E114"/>
    <mergeCell ref="AC290:AC294"/>
    <mergeCell ref="J43:J48"/>
    <mergeCell ref="Z465:Z469"/>
    <mergeCell ref="AB223:AB227"/>
    <mergeCell ref="J489:J494"/>
    <mergeCell ref="E145:E150"/>
    <mergeCell ref="W413:W416"/>
    <mergeCell ref="K640:K644"/>
    <mergeCell ref="E139:E144"/>
    <mergeCell ref="O785:O788"/>
    <mergeCell ref="J700:J705"/>
    <mergeCell ref="AM615:AM619"/>
    <mergeCell ref="AJ157:AJ161"/>
    <mergeCell ref="AJ151:AJ155"/>
    <mergeCell ref="AM193:AM197"/>
    <mergeCell ref="AA217:AA221"/>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Z151:Z155"/>
    <mergeCell ref="K366:K371"/>
    <mergeCell ref="AA543:AA547"/>
    <mergeCell ref="AR435:AR439"/>
    <mergeCell ref="B193:C198"/>
    <mergeCell ref="AK236:AK240"/>
    <mergeCell ref="AF477:AF481"/>
    <mergeCell ref="A809:A813"/>
    <mergeCell ref="H817:H820"/>
    <mergeCell ref="AR555:AR559"/>
    <mergeCell ref="E585:E590"/>
    <mergeCell ref="AE67:AE71"/>
    <mergeCell ref="AB242:AB246"/>
    <mergeCell ref="AQ789:AQ792"/>
    <mergeCell ref="AJ597:AJ601"/>
    <mergeCell ref="E789:E793"/>
    <mergeCell ref="AD429:AD433"/>
    <mergeCell ref="I109:I114"/>
    <mergeCell ref="W573:W578"/>
    <mergeCell ref="G352:G358"/>
    <mergeCell ref="AI400:AI403"/>
    <mergeCell ref="E193:E198"/>
    <mergeCell ref="N413:N416"/>
    <mergeCell ref="B570:C570"/>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E400:E404"/>
    <mergeCell ref="D585:D590"/>
    <mergeCell ref="AD67:AD71"/>
    <mergeCell ref="AL640:AL644"/>
    <mergeCell ref="G818:G820"/>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M9:AM12"/>
    <mergeCell ref="AD97:AD101"/>
    <mergeCell ref="AI223:AI227"/>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AJ260:AJ264"/>
    <mergeCell ref="B390:C394"/>
    <mergeCell ref="E676:E681"/>
    <mergeCell ref="J804:J808"/>
    <mergeCell ref="AV471:AV475"/>
    <mergeCell ref="J471:J476"/>
    <mergeCell ref="AD91:AD95"/>
    <mergeCell ref="G13:G18"/>
    <mergeCell ref="AK37:AK41"/>
    <mergeCell ref="I324:I330"/>
    <mergeCell ref="AD385:AD388"/>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G151:G156"/>
    <mergeCell ref="AE230:AE234"/>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AN151:AN155"/>
    <mergeCell ref="E489:E494"/>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AM230:AM234"/>
    <mergeCell ref="E61:E66"/>
    <mergeCell ref="H429:H4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D109:D114"/>
    <mergeCell ref="S381:S38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B841:C841"/>
    <mergeCell ref="AK91:AK95"/>
    <mergeCell ref="H573:H578"/>
    <mergeCell ref="B373:C373"/>
    <mergeCell ref="K804:K807"/>
    <mergeCell ref="AM278:AM282"/>
    <mergeCell ref="A278:A283"/>
    <mergeCell ref="G49:G54"/>
    <mergeCell ref="AK385:AK388"/>
    <mergeCell ref="AC254:AC258"/>
    <mergeCell ref="AJ453:AJ457"/>
    <mergeCell ref="K471:K475"/>
    <mergeCell ref="AE317:AE322"/>
    <mergeCell ref="AL809:AL812"/>
    <mergeCell ref="AW603:AW607"/>
    <mergeCell ref="AC465:AC469"/>
    <mergeCell ref="G303:G309"/>
    <mergeCell ref="Z97:Z101"/>
    <mergeCell ref="AE223:AE227"/>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AD242:AD246"/>
    <mergeCell ref="AD217:AD221"/>
    <mergeCell ref="AL519:AL523"/>
    <mergeCell ref="AG585:AG589"/>
    <mergeCell ref="B846:C846"/>
    <mergeCell ref="AH682:AH686"/>
    <mergeCell ref="A609:A614"/>
    <mergeCell ref="AL891:AL892"/>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F223:F228"/>
    <mergeCell ref="K324:K329"/>
    <mergeCell ref="AE345:AE350"/>
    <mergeCell ref="AK567:AK571"/>
    <mergeCell ref="I591:I596"/>
    <mergeCell ref="Z19:Z23"/>
    <mergeCell ref="A640:A645"/>
    <mergeCell ref="AE670:AE674"/>
    <mergeCell ref="AT794:AT797"/>
    <mergeCell ref="AL405:AL408"/>
    <mergeCell ref="H794:H798"/>
    <mergeCell ref="B849:C849"/>
    <mergeCell ref="AB627:AB631"/>
    <mergeCell ref="G395:G399"/>
    <mergeCell ref="AJ799:AJ802"/>
    <mergeCell ref="AL230:AL234"/>
    <mergeCell ref="AM79:AM83"/>
    <mergeCell ref="AV561:AV565"/>
    <mergeCell ref="H585:H590"/>
    <mergeCell ref="G890:G892"/>
    <mergeCell ref="AI73:AI77"/>
    <mergeCell ref="AE242:AE246"/>
    <mergeCell ref="Z477:Z481"/>
    <mergeCell ref="AE236:AE240"/>
    <mergeCell ref="A633:C633"/>
    <mergeCell ref="H789:H793"/>
    <mergeCell ref="K217:K221"/>
    <mergeCell ref="B303:C309"/>
    <mergeCell ref="D25:D30"/>
    <mergeCell ref="AI187:AI191"/>
    <mergeCell ref="B296:C301"/>
    <mergeCell ref="AG429:AG433"/>
    <mergeCell ref="AB331:AB336"/>
    <mergeCell ref="AB85:AB89"/>
    <mergeCell ref="I284:I289"/>
    <mergeCell ref="J133:J138"/>
    <mergeCell ref="J352:J358"/>
    <mergeCell ref="AG770:AG775"/>
    <mergeCell ref="I785:I788"/>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AA133:AA137"/>
    <mergeCell ref="H413:H416"/>
    <mergeCell ref="B860:C860"/>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K175:AK179"/>
    <mergeCell ref="A248:A253"/>
    <mergeCell ref="AQ501:AQ505"/>
    <mergeCell ref="W489:W494"/>
    <mergeCell ref="AL157:AL161"/>
    <mergeCell ref="AC345:AC350"/>
    <mergeCell ref="AF260:AF264"/>
    <mergeCell ref="H700:H705"/>
    <mergeCell ref="F181:F186"/>
    <mergeCell ref="AA459:AA463"/>
    <mergeCell ref="H115:H120"/>
    <mergeCell ref="AC217:AC221"/>
    <mergeCell ref="B317:C323"/>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AS794:AS797"/>
    <mergeCell ref="Z205:Z209"/>
    <mergeCell ref="G794:G798"/>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AT459:AT463"/>
    <mergeCell ref="F519:F524"/>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AS809:AS812"/>
    <mergeCell ref="AJ465:AJ469"/>
    <mergeCell ref="AL223:AL227"/>
    <mergeCell ref="G809:G813"/>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AE266:AE270"/>
    <mergeCell ref="L785:L788"/>
    <mergeCell ref="AB345:AB350"/>
    <mergeCell ref="AE260:AE264"/>
    <mergeCell ref="AM770:AM775"/>
    <mergeCell ref="E181:E186"/>
    <mergeCell ref="B858:C85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G405:G409"/>
    <mergeCell ref="AK603:AK607"/>
    <mergeCell ref="B817:C820"/>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Z310:Z315"/>
    <mergeCell ref="H331:H337"/>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AK324:AK329"/>
    <mergeCell ref="AF11:AF12"/>
    <mergeCell ref="D513:D518"/>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AL13:AL17"/>
    <mergeCell ref="AM49:AM53"/>
    <mergeCell ref="H248:H253"/>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AK676:AK680"/>
    <mergeCell ref="W555:W560"/>
    <mergeCell ref="AK670:AK674"/>
    <mergeCell ref="B260:C265"/>
    <mergeCell ref="B827:C827"/>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M55:AM59"/>
    <mergeCell ref="AB205:AB20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AK13:AK17"/>
    <mergeCell ref="AL49:AL53"/>
    <mergeCell ref="G248:G253"/>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AG809:AG812"/>
    <mergeCell ref="AR603:AR607"/>
    <mergeCell ref="B895:C895"/>
    <mergeCell ref="AB721:AB726"/>
    <mergeCell ref="AM501:AM505"/>
    <mergeCell ref="G272:G277"/>
    <mergeCell ref="AL400:AL403"/>
    <mergeCell ref="B471:C476"/>
    <mergeCell ref="AK615:AK619"/>
    <mergeCell ref="AH157:AH161"/>
    <mergeCell ref="I459:I464"/>
    <mergeCell ref="D115:D120"/>
    <mergeCell ref="AG519:AG523"/>
    <mergeCell ref="A405:A409"/>
    <mergeCell ref="AC682:AC686"/>
    <mergeCell ref="AJ390:AJ393"/>
    <mergeCell ref="AI11:AI12"/>
    <mergeCell ref="J435:J440"/>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G109:G114"/>
    <mergeCell ref="F324:F330"/>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AH223:AH227"/>
    <mergeCell ref="J303:J309"/>
    <mergeCell ref="AC640:AC644"/>
    <mergeCell ref="I525:I530"/>
    <mergeCell ref="AG591:AG595"/>
    <mergeCell ref="J507:J512"/>
    <mergeCell ref="G489:G494"/>
    <mergeCell ref="B109:C114"/>
    <mergeCell ref="AG217:AG221"/>
    <mergeCell ref="D905:G905"/>
    <mergeCell ref="AD417:AD421"/>
    <mergeCell ref="AA49:AA53"/>
    <mergeCell ref="W567:W572"/>
    <mergeCell ref="AL501:AL505"/>
    <mergeCell ref="B564:C564"/>
    <mergeCell ref="AK400:AK403"/>
    <mergeCell ref="AI383:AI384"/>
    <mergeCell ref="AA266:AA270"/>
    <mergeCell ref="AA260:AA264"/>
    <mergeCell ref="H459:H464"/>
    <mergeCell ref="AN109:AN113"/>
    <mergeCell ref="A181:A186"/>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AG603:AG607"/>
    <mergeCell ref="W721:W727"/>
    <mergeCell ref="F817:G817"/>
    <mergeCell ref="AD145:AD149"/>
    <mergeCell ref="G67:G72"/>
    <mergeCell ref="J395:J399"/>
    <mergeCell ref="J429:J434"/>
    <mergeCell ref="G61:G66"/>
    <mergeCell ref="E756:E762"/>
    <mergeCell ref="AM799:AM802"/>
    <mergeCell ref="A799:A803"/>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K405:K408"/>
    <mergeCell ref="F597:F602"/>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B67:C72"/>
    <mergeCell ref="AG324:AG329"/>
    <mergeCell ref="J573:J578"/>
    <mergeCell ref="W640:W645"/>
    <mergeCell ref="E9:G9"/>
    <mergeCell ref="AJ55:AJ59"/>
    <mergeCell ref="I49:I54"/>
    <mergeCell ref="AM385:AM388"/>
    <mergeCell ref="AE254:AE258"/>
    <mergeCell ref="AN61:AN65"/>
    <mergeCell ref="AB97:AB101"/>
    <mergeCell ref="I303:I309"/>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AH199:AH203"/>
    <mergeCell ref="I181:I186"/>
    <mergeCell ref="H381:J381"/>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G352:AG357"/>
    <mergeCell ref="AL471:AL475"/>
    <mergeCell ref="AJ787:AJ788"/>
    <mergeCell ref="AL145:AL149"/>
    <mergeCell ref="A359:A365"/>
    <mergeCell ref="AE483:AE487"/>
    <mergeCell ref="AB115:AB119"/>
    <mergeCell ref="J163:J168"/>
    <mergeCell ref="J794:J798"/>
    <mergeCell ref="AK507:AK511"/>
    <mergeCell ref="AG676:AG680"/>
    <mergeCell ref="B537:C542"/>
    <mergeCell ref="AG670:AG674"/>
    <mergeCell ref="AN405:AN408"/>
    <mergeCell ref="AW441:AW445"/>
    <mergeCell ref="D735:D741"/>
    <mergeCell ref="F67:F72"/>
    <mergeCell ref="I395:I399"/>
    <mergeCell ref="AN230:AN234"/>
    <mergeCell ref="AD519:AD523"/>
    <mergeCell ref="G435:G440"/>
    <mergeCell ref="AA501:AA505"/>
    <mergeCell ref="AK79:AK83"/>
    <mergeCell ref="AK73:AK77"/>
    <mergeCell ref="AG242:AG246"/>
    <mergeCell ref="AQ573:AQ577"/>
    <mergeCell ref="K459:K463"/>
    <mergeCell ref="A266:A271"/>
    <mergeCell ref="F25:F30"/>
    <mergeCell ref="AI429:AI433"/>
    <mergeCell ref="A260:A265"/>
    <mergeCell ref="D603:D608"/>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Z121:Z125"/>
    <mergeCell ref="J242:J247"/>
    <mergeCell ref="B374:C374"/>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AA242:AA246"/>
    <mergeCell ref="H471:H476"/>
    <mergeCell ref="B609:C614"/>
    <mergeCell ref="B847:C847"/>
    <mergeCell ref="E13:E18"/>
    <mergeCell ref="AB385:AB388"/>
    <mergeCell ref="AF352:AF357"/>
    <mergeCell ref="AI787:AI788"/>
    <mergeCell ref="AC809:AC812"/>
    <mergeCell ref="A664:A669"/>
    <mergeCell ref="AK145:AK149"/>
    <mergeCell ref="I728:I734"/>
    <mergeCell ref="K531:K535"/>
    <mergeCell ref="AA115:AA119"/>
    <mergeCell ref="AI501:AI505"/>
    <mergeCell ref="Z447:Z451"/>
    <mergeCell ref="K525:K529"/>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AC405:AC408"/>
    <mergeCell ref="AN199:AN203"/>
    <mergeCell ref="J728:J734"/>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A187:AA191"/>
    <mergeCell ref="AD555:AD559"/>
    <mergeCell ref="AN248:AN252"/>
    <mergeCell ref="AN352:AN357"/>
    <mergeCell ref="AD400:AD403"/>
    <mergeCell ref="AJ579:AJ583"/>
    <mergeCell ref="AK770:AK775"/>
    <mergeCell ref="AV603:AV607"/>
    <mergeCell ref="AS804:AS807"/>
    <mergeCell ref="AB465:AB469"/>
    <mergeCell ref="AD223:AD227"/>
    <mergeCell ref="F303:F309"/>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AG400:AG403"/>
    <mergeCell ref="L413:L416"/>
    <mergeCell ref="AF615:AF619"/>
    <mergeCell ref="AC157:AC161"/>
    <mergeCell ref="AV627:AV631"/>
    <mergeCell ref="J627:J632"/>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AD278:AD282"/>
    <mergeCell ref="B844:C844"/>
    <mergeCell ref="Z145:Z149"/>
    <mergeCell ref="AM756:AM761"/>
    <mergeCell ref="B838:C838"/>
    <mergeCell ref="AK230:AK234"/>
    <mergeCell ref="F429:F434"/>
    <mergeCell ref="D338:D344"/>
    <mergeCell ref="I290:I295"/>
    <mergeCell ref="AJ163:AJ167"/>
    <mergeCell ref="AK441:AK445"/>
    <mergeCell ref="AH73:AH77"/>
    <mergeCell ref="Q413:Q416"/>
    <mergeCell ref="F890:F892"/>
    <mergeCell ref="AC175:AC179"/>
    <mergeCell ref="D157:D162"/>
    <mergeCell ref="AH400:AH403"/>
    <mergeCell ref="A603:A608"/>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G115:G120"/>
    <mergeCell ref="AB217:AB221"/>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C352:AC357"/>
    <mergeCell ref="AH471:AH475"/>
    <mergeCell ref="AA193:AA197"/>
    <mergeCell ref="AF787:AF788"/>
    <mergeCell ref="AJ664:AJ668"/>
    <mergeCell ref="I756:I762"/>
    <mergeCell ref="K597:K601"/>
    <mergeCell ref="H236:H241"/>
    <mergeCell ref="F163:F168"/>
    <mergeCell ref="AI567:AI571"/>
    <mergeCell ref="F794:F798"/>
    <mergeCell ref="AR794:AR797"/>
    <mergeCell ref="AJ405:AJ408"/>
    <mergeCell ref="AS441:AS445"/>
    <mergeCell ref="AQ525:AQ529"/>
    <mergeCell ref="E525:E530"/>
    <mergeCell ref="AM248:AM252"/>
    <mergeCell ref="AL735:AL740"/>
    <mergeCell ref="E395:E399"/>
    <mergeCell ref="AJ230:AJ234"/>
    <mergeCell ref="AT567:AT571"/>
    <mergeCell ref="B874:C874"/>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B700:C705"/>
    <mergeCell ref="AL296:AL300"/>
    <mergeCell ref="D127:D132"/>
    <mergeCell ref="AL303:AL308"/>
    <mergeCell ref="G495:G500"/>
    <mergeCell ref="AN359:AN364"/>
    <mergeCell ref="I688:I693"/>
    <mergeCell ref="Z786:AA786"/>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7:F713"/>
    <mergeCell ref="F700:F705"/>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B352:AB357"/>
    <mergeCell ref="F573:F578"/>
    <mergeCell ref="AE787:AE78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K303:AK308"/>
    <mergeCell ref="AM338:AM343"/>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I169:I174"/>
    <mergeCell ref="AH284:AH288"/>
    <mergeCell ref="AI133:AI137"/>
    <mergeCell ref="Z414:AB414"/>
    <mergeCell ref="H9:J9"/>
    <mergeCell ref="W597:W602"/>
    <mergeCell ref="AD819:AD820"/>
    <mergeCell ref="AN25:AN29"/>
    <mergeCell ref="B338:C344"/>
    <mergeCell ref="AA296:AA300"/>
    <mergeCell ref="AA303:AA308"/>
    <mergeCell ref="D579:D584"/>
    <mergeCell ref="AQ809:AQ812"/>
    <mergeCell ref="AM405:AM408"/>
    <mergeCell ref="AV441:AV445"/>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AC266:AC270"/>
    <mergeCell ref="AB417:AB421"/>
    <mergeCell ref="H714:H720"/>
    <mergeCell ref="J785:J788"/>
    <mergeCell ref="G382:G384"/>
    <mergeCell ref="AJ352:AJ357"/>
    <mergeCell ref="Z400:Z403"/>
    <mergeCell ref="E413:E416"/>
    <mergeCell ref="AJ127:AJ131"/>
    <mergeCell ref="AG390:AG393"/>
    <mergeCell ref="I495:I500"/>
    <mergeCell ref="E664:E669"/>
    <mergeCell ref="D597:D602"/>
    <mergeCell ref="AH483:AH487"/>
    <mergeCell ref="AL415:AL416"/>
    <mergeCell ref="AD359:AD364"/>
    <mergeCell ref="AI609:AI613"/>
    <mergeCell ref="B79:C84"/>
    <mergeCell ref="I67:I72"/>
    <mergeCell ref="G804:G808"/>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391" operator="containsText" dxfId="325" text="VERDE">
      <formula>NOT(ISERROR(SEARCH("VERDE",D229)))</formula>
    </cfRule>
    <cfRule type="containsText" priority="392" operator="containsText" dxfId="324" text="AMARILLO">
      <formula>NOT(ISERROR(SEARCH("AMARILLO",D229)))</formula>
    </cfRule>
    <cfRule type="containsText" priority="393" operator="containsText" dxfId="323" text="ROJO">
      <formula>NOT(ISERROR(SEARCH("ROJO",D229)))</formula>
    </cfRule>
  </conditionalFormatting>
  <conditionalFormatting sqref="D821:D856">
    <cfRule type="cellIs" priority="389" operator="lessThan" dxfId="0" stopIfTrue="1">
      <formula>0</formula>
    </cfRule>
  </conditionalFormatting>
  <conditionalFormatting sqref="D858:D869">
    <cfRule type="cellIs" priority="388" operator="lessThan" dxfId="0" stopIfTrue="1">
      <formula>0</formula>
    </cfRule>
  </conditionalFormatting>
  <conditionalFormatting sqref="D871:D888">
    <cfRule type="cellIs" priority="387" operator="lessThan" dxfId="0" stopIfTrue="1">
      <formula>0</formula>
    </cfRule>
  </conditionalFormatting>
  <conditionalFormatting sqref="D893:D894">
    <cfRule type="cellIs" priority="390" operator="lessThan" dxfId="0" stopIfTrue="1">
      <formula>0</formula>
    </cfRule>
  </conditionalFormatting>
  <conditionalFormatting sqref="D566">
    <cfRule type="cellIs" priority="386" operator="lessThan" dxfId="384" stopIfTrue="1">
      <formula>0</formula>
    </cfRule>
  </conditionalFormatting>
  <conditionalFormatting sqref="D572">
    <cfRule type="cellIs" priority="385" operator="lessThan" dxfId="384" stopIfTrue="1">
      <formula>0</formula>
    </cfRule>
  </conditionalFormatting>
  <conditionalFormatting sqref="D895:D897">
    <cfRule type="cellIs" priority="384" operator="lessThan" dxfId="0" stopIfTrue="1">
      <formula>0</formula>
    </cfRule>
  </conditionalFormatting>
  <conditionalFormatting sqref="E229 P410">
    <cfRule type="containsText" priority="376" operator="containsText" dxfId="325" text="VERDE">
      <formula>NOT(ISERROR(SEARCH("VERDE",E229)))</formula>
    </cfRule>
    <cfRule type="containsText" priority="377" operator="containsText" dxfId="324" text="AMARILLO">
      <formula>NOT(ISERROR(SEARCH("AMARILLO",E229)))</formula>
    </cfRule>
    <cfRule type="containsText" priority="378" operator="containsText" dxfId="323" text="ROJO">
      <formula>NOT(ISERROR(SEARCH("ROJO",E229)))</formula>
    </cfRule>
  </conditionalFormatting>
  <conditionalFormatting sqref="E821:I856">
    <cfRule type="cellIs" priority="253" operator="lessThan" dxfId="0" stopIfTrue="1">
      <formula>0</formula>
    </cfRule>
  </conditionalFormatting>
  <conditionalFormatting sqref="E858:I869">
    <cfRule type="cellIs" priority="252" operator="lessThan" dxfId="0" stopIfTrue="1">
      <formula>0</formula>
    </cfRule>
  </conditionalFormatting>
  <conditionalFormatting sqref="E871:I888">
    <cfRule type="cellIs" priority="251" operator="lessThan" dxfId="0" stopIfTrue="1">
      <formula>0</formula>
    </cfRule>
  </conditionalFormatting>
  <conditionalFormatting sqref="E893:I893 E894:G894 H894:I897">
    <cfRule type="cellIs" priority="369" operator="lessThan" dxfId="0" stopIfTrue="1">
      <formula>0</formula>
    </cfRule>
  </conditionalFormatting>
  <conditionalFormatting sqref="K13:K17">
    <cfRule type="cellIs" priority="379" operator="lessThan" dxfId="0" stopIfTrue="1">
      <formula>0</formula>
    </cfRule>
  </conditionalFormatting>
  <conditionalFormatting sqref="K303:K308 K777:K783">
    <cfRule type="cellIs" priority="365" operator="lessThan" dxfId="0" stopIfTrue="1">
      <formula>0</formula>
    </cfRule>
  </conditionalFormatting>
  <conditionalFormatting sqref="K309">
    <cfRule type="containsText" priority="375" operator="containsText" dxfId="8" text="Falso">
      <formula>NOT(ISERROR(SEARCH("Falso",K309)))</formula>
    </cfRule>
  </conditionalFormatting>
  <conditionalFormatting sqref="K373:K380">
    <cfRule type="cellIs" priority="372" operator="lessThan" dxfId="0" stopIfTrue="1">
      <formula>0</formula>
    </cfRule>
  </conditionalFormatting>
  <conditionalFormatting sqref="K385:K388">
    <cfRule type="cellIs" priority="380" operator="lessThan" dxfId="0" stopIfTrue="1">
      <formula>0</formula>
    </cfRule>
  </conditionalFormatting>
  <conditionalFormatting sqref="K389">
    <cfRule type="containsText" priority="381" operator="containsText" dxfId="8" text="Falso">
      <formula>NOT(ISERROR(SEARCH("Falso",K389)))</formula>
    </cfRule>
  </conditionalFormatting>
  <conditionalFormatting sqref="K394">
    <cfRule type="containsText" priority="371" operator="containsText" dxfId="8" text="Falso">
      <formula>NOT(ISERROR(SEARCH("Falso",K394)))</formula>
    </cfRule>
  </conditionalFormatting>
  <conditionalFormatting sqref="K399 K404 K409">
    <cfRule type="containsText" priority="370" operator="containsText" dxfId="8" text="Falso">
      <formula>NOT(ISERROR(SEARCH("Falso",K399)))</formula>
    </cfRule>
  </conditionalFormatting>
  <conditionalFormatting sqref="K714:K719 K721:K726">
    <cfRule type="cellIs" priority="273" operator="lessThan" dxfId="0" stopIfTrue="1">
      <formula>0</formula>
    </cfRule>
  </conditionalFormatting>
  <conditionalFormatting sqref="K634:K638">
    <cfRule type="cellIs" priority="279" operator="lessThan" dxfId="0" stopIfTrue="1">
      <formula>0</formula>
    </cfRule>
  </conditionalFormatting>
  <conditionalFormatting sqref="K749:K754 K756:K761">
    <cfRule type="cellIs" priority="271" operator="lessThan" dxfId="0" stopIfTrue="1">
      <formula>0</formula>
    </cfRule>
  </conditionalFormatting>
  <conditionalFormatting sqref="K763:K768">
    <cfRule type="cellIs" priority="270" operator="lessThan" dxfId="0" stopIfTrue="1">
      <formula>0</formula>
    </cfRule>
  </conditionalFormatting>
  <conditionalFormatting sqref="K770:K775">
    <cfRule type="cellIs" priority="269" operator="lessThan" dxfId="0" stopIfTrue="1">
      <formula>0</formula>
    </cfRule>
  </conditionalFormatting>
  <conditionalFormatting sqref="K707:K712">
    <cfRule type="cellIs" priority="278" operator="lessThan" dxfId="0" stopIfTrue="1">
      <formula>0</formula>
    </cfRule>
  </conditionalFormatting>
  <conditionalFormatting sqref="K728:K733 K735:K740 K742:K747">
    <cfRule type="cellIs" priority="272" operator="lessThan" dxfId="0" stopIfTrue="1">
      <formula>0</formula>
    </cfRule>
  </conditionalFormatting>
  <conditionalFormatting sqref="K821:K856 M821:O856">
    <cfRule type="cellIs" priority="250" operator="lessThan" dxfId="0" stopIfTrue="1">
      <formula>0</formula>
    </cfRule>
  </conditionalFormatting>
  <conditionalFormatting sqref="K858:K869 M858:N869">
    <cfRule type="cellIs" priority="249" operator="lessThan" dxfId="0" stopIfTrue="1">
      <formula>0</formula>
    </cfRule>
  </conditionalFormatting>
  <conditionalFormatting sqref="K871:K888 M871:N887 M888:O888">
    <cfRule type="cellIs" priority="248" operator="lessThan" dxfId="0" stopIfTrue="1">
      <formula>0</formula>
    </cfRule>
  </conditionalFormatting>
  <conditionalFormatting sqref="K893:K894 M893:N894">
    <cfRule type="cellIs" priority="247" operator="lessThan" dxfId="0" stopIfTrue="1">
      <formula>0</formula>
    </cfRule>
  </conditionalFormatting>
  <conditionalFormatting sqref="P13:P17 P303:P308">
    <cfRule type="containsText" priority="361" operator="containsText" dxfId="131" text="VENCIDO">
      <formula>NOT(ISERROR(SEARCH("VENCIDO",P13)))</formula>
    </cfRule>
    <cfRule type="containsText" priority="362" operator="containsText" dxfId="130" text="VERDE">
      <formula>NOT(ISERROR(SEARCH("VERDE",P13)))</formula>
    </cfRule>
    <cfRule type="containsText" priority="363" operator="containsText" dxfId="129" stopIfTrue="1" text="AMARILLO">
      <formula>NOT(ISERROR(SEARCH("AMARILLO",P13)))</formula>
    </cfRule>
    <cfRule type="containsText" priority="364" operator="containsText" dxfId="128" text="ROJO">
      <formula>NOT(ISERROR(SEARCH("ROJO",P13)))</formula>
    </cfRule>
  </conditionalFormatting>
  <conditionalFormatting sqref="P373:P379">
    <cfRule type="containsText" priority="357" operator="containsText" dxfId="131" text="VENCIDO">
      <formula>NOT(ISERROR(SEARCH("VENCIDO",P373)))</formula>
    </cfRule>
    <cfRule type="containsText" priority="358" operator="containsText" dxfId="130" text="VERDE">
      <formula>NOT(ISERROR(SEARCH("VERDE",P373)))</formula>
    </cfRule>
    <cfRule type="containsText" priority="359" operator="containsText" dxfId="129" stopIfTrue="1" text="AMARILLO">
      <formula>NOT(ISERROR(SEARCH("AMARILLO",P373)))</formula>
    </cfRule>
    <cfRule type="containsText" priority="360" operator="containsText" dxfId="128" text="ROJO">
      <formula>NOT(ISERROR(SEARCH("ROJO",P373)))</formula>
    </cfRule>
  </conditionalFormatting>
  <conditionalFormatting sqref="P385:P388">
    <cfRule type="containsText" priority="353" operator="containsText" dxfId="131" text="VENCIDO">
      <formula>NOT(ISERROR(SEARCH("VENCIDO",P385)))</formula>
    </cfRule>
    <cfRule type="containsText" priority="354" operator="containsText" dxfId="130" text="VERDE">
      <formula>NOT(ISERROR(SEARCH("VERDE",P385)))</formula>
    </cfRule>
    <cfRule type="containsText" priority="355" operator="containsText" dxfId="129" stopIfTrue="1" text="AMARILLO">
      <formula>NOT(ISERROR(SEARCH("AMARILLO",P385)))</formula>
    </cfRule>
    <cfRule type="containsText" priority="356" operator="containsText" dxfId="128" text="ROJO">
      <formula>NOT(ISERROR(SEARCH("ROJO",P385)))</formula>
    </cfRule>
  </conditionalFormatting>
  <conditionalFormatting sqref="P417:P421">
    <cfRule type="containsText" priority="346" operator="containsText" dxfId="131" text="VENCIDO">
      <formula>NOT(ISERROR(SEARCH("VENCIDO",P417)))</formula>
    </cfRule>
    <cfRule type="containsText" priority="347" operator="containsText" dxfId="130" text="VERDE">
      <formula>NOT(ISERROR(SEARCH("VERDE",P417)))</formula>
    </cfRule>
    <cfRule type="containsText" priority="348" operator="containsText" dxfId="129" stopIfTrue="1" text="AMARILLO">
      <formula>NOT(ISERROR(SEARCH("AMARILLO",P417)))</formula>
    </cfRule>
    <cfRule type="containsText" priority="349" operator="containsText" dxfId="128" text="ROJO">
      <formula>NOT(ISERROR(SEARCH("ROJO",P417)))</formula>
    </cfRule>
  </conditionalFormatting>
  <conditionalFormatting sqref="P561:P565">
    <cfRule type="containsText" priority="342" operator="containsText" dxfId="131" text="VENCIDO">
      <formula>NOT(ISERROR(SEARCH("VENCIDO",P561)))</formula>
    </cfRule>
    <cfRule type="containsText" priority="343" operator="containsText" dxfId="130" text="VERDE">
      <formula>NOT(ISERROR(SEARCH("VERDE",P561)))</formula>
    </cfRule>
    <cfRule type="containsText" priority="344" operator="containsText" dxfId="129" stopIfTrue="1" text="AMARILLO">
      <formula>NOT(ISERROR(SEARCH("AMARILLO",P561)))</formula>
    </cfRule>
    <cfRule type="containsText" priority="345" operator="containsText" dxfId="128" text="ROJO">
      <formula>NOT(ISERROR(SEARCH("ROJO",P561)))</formula>
    </cfRule>
  </conditionalFormatting>
  <conditionalFormatting sqref="P707:P712">
    <cfRule type="containsText" priority="274" operator="containsText" dxfId="131" text="VENCIDO">
      <formula>NOT(ISERROR(SEARCH("VENCIDO",P707)))</formula>
    </cfRule>
    <cfRule type="containsText" priority="275" operator="containsText" dxfId="130" text="VERDE">
      <formula>NOT(ISERROR(SEARCH("VERDE",P707)))</formula>
    </cfRule>
    <cfRule type="containsText" priority="276" operator="containsText" dxfId="129" stopIfTrue="1" text="AMARILLO">
      <formula>NOT(ISERROR(SEARCH("AMARILLO",P707)))</formula>
    </cfRule>
    <cfRule type="containsText" priority="277" operator="containsText" dxfId="128" text="ROJO">
      <formula>NOT(ISERROR(SEARCH("ROJO",P707)))</formula>
    </cfRule>
  </conditionalFormatting>
  <conditionalFormatting sqref="P777:P783">
    <cfRule type="containsText" priority="265" operator="containsText" dxfId="131" text="VENCIDO">
      <formula>NOT(ISERROR(SEARCH("VENCIDO",P777)))</formula>
    </cfRule>
    <cfRule type="containsText" priority="266" operator="containsText" dxfId="130" text="VERDE">
      <formula>NOT(ISERROR(SEARCH("VERDE",P777)))</formula>
    </cfRule>
    <cfRule type="containsText" priority="267" operator="containsText" dxfId="129" stopIfTrue="1" text="AMARILLO">
      <formula>NOT(ISERROR(SEARCH("AMARILLO",P777)))</formula>
    </cfRule>
    <cfRule type="containsText" priority="268" operator="containsText" dxfId="128" text="ROJO">
      <formula>NOT(ISERROR(SEARCH("ROJO",P777)))</formula>
    </cfRule>
  </conditionalFormatting>
  <conditionalFormatting sqref="Q833:Q848">
    <cfRule type="containsText" priority="259" operator="containsText" dxfId="325" text="VERDE">
      <formula>NOT(ISERROR(SEARCH("VERDE",Q833)))</formula>
    </cfRule>
    <cfRule type="containsText" priority="260" operator="containsText" dxfId="324" text="AMARILLO">
      <formula>NOT(ISERROR(SEARCH("AMARILLO",Q833)))</formula>
    </cfRule>
    <cfRule type="containsText" priority="261" operator="containsText" dxfId="323" text="ROJO">
      <formula>NOT(ISERROR(SEARCH("ROJO",Q833)))</formula>
    </cfRule>
  </conditionalFormatting>
  <conditionalFormatting sqref="Q821:R832">
    <cfRule type="containsText" priority="350" operator="containsText" dxfId="325" text="VERDE">
      <formula>NOT(ISERROR(SEARCH("VERDE",Q821)))</formula>
    </cfRule>
    <cfRule type="containsText" priority="351" operator="containsText" dxfId="324" text="AMARILLO">
      <formula>NOT(ISERROR(SEARCH("AMARILLO",Q821)))</formula>
    </cfRule>
    <cfRule type="containsText" priority="352" operator="containsText" dxfId="323" text="ROJO">
      <formula>NOT(ISERROR(SEARCH("ROJO",Q821)))</formula>
    </cfRule>
  </conditionalFormatting>
  <conditionalFormatting sqref="AO821:AO827 AO838:AO860 AO868:AO871 AO873 AO875:AO887">
    <cfRule type="expression" priority="366" dxfId="314">
      <formula>$AO821&lt;&gt;#REF!</formula>
    </cfRule>
  </conditionalFormatting>
  <conditionalFormatting sqref="AO828:AO835">
    <cfRule type="expression" priority="382" dxfId="314">
      <formula>$AO828&lt;&gt;#REF!</formula>
    </cfRule>
  </conditionalFormatting>
  <conditionalFormatting sqref="AO836:AO837">
    <cfRule type="expression" priority="264" dxfId="314">
      <formula>$AO836&lt;&gt;#REF!</formula>
    </cfRule>
  </conditionalFormatting>
  <conditionalFormatting sqref="AO861">
    <cfRule type="expression" priority="258" dxfId="314">
      <formula>$AO861&lt;&gt;#REF!</formula>
    </cfRule>
  </conditionalFormatting>
  <conditionalFormatting sqref="AO862:AO866">
    <cfRule type="expression" priority="257" dxfId="314">
      <formula>$AO862&lt;&gt;#REF!</formula>
    </cfRule>
  </conditionalFormatting>
  <conditionalFormatting sqref="AO867">
    <cfRule type="expression" priority="256" dxfId="314">
      <formula>$AO867&lt;&gt;#REF!</formula>
    </cfRule>
  </conditionalFormatting>
  <conditionalFormatting sqref="AO872">
    <cfRule type="expression" priority="255" dxfId="314">
      <formula>$AO872&lt;&gt;#REF!</formula>
    </cfRule>
  </conditionalFormatting>
  <conditionalFormatting sqref="AO874">
    <cfRule type="expression" priority="254" dxfId="314">
      <formula>$AO874&lt;&gt;#REF!</formula>
    </cfRule>
  </conditionalFormatting>
  <conditionalFormatting sqref="AO888">
    <cfRule type="expression" priority="383" dxfId="314">
      <formula>$AO888&lt;&gt;$L888</formula>
    </cfRule>
  </conditionalFormatting>
  <conditionalFormatting sqref="AS417">
    <cfRule type="cellIs" priority="368" operator="greaterThan" dxfId="8">
      <formula>1</formula>
    </cfRule>
  </conditionalFormatting>
  <conditionalFormatting sqref="AS423">
    <cfRule type="cellIs" priority="341" operator="greaterThan" dxfId="8">
      <formula>1</formula>
    </cfRule>
  </conditionalFormatting>
  <conditionalFormatting sqref="AS429">
    <cfRule type="cellIs" priority="339" operator="greaterThan" dxfId="8">
      <formula>1</formula>
    </cfRule>
  </conditionalFormatting>
  <conditionalFormatting sqref="AS435">
    <cfRule type="cellIs" priority="337" operator="greaterThan" dxfId="8">
      <formula>1</formula>
    </cfRule>
  </conditionalFormatting>
  <conditionalFormatting sqref="AS441">
    <cfRule type="cellIs" priority="335" operator="greaterThan" dxfId="8">
      <formula>1</formula>
    </cfRule>
  </conditionalFormatting>
  <conditionalFormatting sqref="AS447">
    <cfRule type="cellIs" priority="333" operator="greaterThan" dxfId="8">
      <formula>1</formula>
    </cfRule>
  </conditionalFormatting>
  <conditionalFormatting sqref="AS453">
    <cfRule type="cellIs" priority="331" operator="greaterThan" dxfId="8">
      <formula>1</formula>
    </cfRule>
  </conditionalFormatting>
  <conditionalFormatting sqref="AS459">
    <cfRule type="cellIs" priority="329" operator="greaterThan" dxfId="8">
      <formula>1</formula>
    </cfRule>
  </conditionalFormatting>
  <conditionalFormatting sqref="AS465">
    <cfRule type="cellIs" priority="327" operator="greaterThan" dxfId="8">
      <formula>1</formula>
    </cfRule>
  </conditionalFormatting>
  <conditionalFormatting sqref="AS471">
    <cfRule type="cellIs" priority="325" operator="greaterThan" dxfId="8">
      <formula>1</formula>
    </cfRule>
  </conditionalFormatting>
  <conditionalFormatting sqref="AS477">
    <cfRule type="cellIs" priority="323" operator="greaterThan" dxfId="8">
      <formula>1</formula>
    </cfRule>
  </conditionalFormatting>
  <conditionalFormatting sqref="AS483">
    <cfRule type="cellIs" priority="321" operator="greaterThan" dxfId="8">
      <formula>1</formula>
    </cfRule>
  </conditionalFormatting>
  <conditionalFormatting sqref="AS489">
    <cfRule type="cellIs" priority="319" operator="greaterThan" dxfId="8">
      <formula>1</formula>
    </cfRule>
  </conditionalFormatting>
  <conditionalFormatting sqref="AS495">
    <cfRule type="cellIs" priority="317" operator="greaterThan" dxfId="8">
      <formula>1</formula>
    </cfRule>
  </conditionalFormatting>
  <conditionalFormatting sqref="AS501">
    <cfRule type="cellIs" priority="315" operator="greaterThan" dxfId="8">
      <formula>1</formula>
    </cfRule>
  </conditionalFormatting>
  <conditionalFormatting sqref="AS507">
    <cfRule type="cellIs" priority="313" operator="greaterThan" dxfId="8">
      <formula>1</formula>
    </cfRule>
  </conditionalFormatting>
  <conditionalFormatting sqref="AS513">
    <cfRule type="cellIs" priority="311" operator="greaterThan" dxfId="8">
      <formula>1</formula>
    </cfRule>
  </conditionalFormatting>
  <conditionalFormatting sqref="AS519">
    <cfRule type="cellIs" priority="309" operator="greaterThan" dxfId="8">
      <formula>1</formula>
    </cfRule>
  </conditionalFormatting>
  <conditionalFormatting sqref="AS525">
    <cfRule type="cellIs" priority="307" operator="greaterThan" dxfId="8">
      <formula>1</formula>
    </cfRule>
  </conditionalFormatting>
  <conditionalFormatting sqref="AS531">
    <cfRule type="cellIs" priority="305" operator="greaterThan" dxfId="8">
      <formula>1</formula>
    </cfRule>
  </conditionalFormatting>
  <conditionalFormatting sqref="AS537">
    <cfRule type="cellIs" priority="303" operator="greaterThan" dxfId="8">
      <formula>1</formula>
    </cfRule>
  </conditionalFormatting>
  <conditionalFormatting sqref="AS543">
    <cfRule type="cellIs" priority="301" operator="greaterThan" dxfId="8">
      <formula>1</formula>
    </cfRule>
  </conditionalFormatting>
  <conditionalFormatting sqref="AS549">
    <cfRule type="cellIs" priority="299" operator="greaterThan" dxfId="8">
      <formula>1</formula>
    </cfRule>
  </conditionalFormatting>
  <conditionalFormatting sqref="AS555">
    <cfRule type="cellIs" priority="297" operator="greaterThan" dxfId="8">
      <formula>1</formula>
    </cfRule>
  </conditionalFormatting>
  <conditionalFormatting sqref="AS561">
    <cfRule type="cellIs" priority="295" operator="greaterThan" dxfId="8">
      <formula>1</formula>
    </cfRule>
  </conditionalFormatting>
  <conditionalFormatting sqref="AS567">
    <cfRule type="cellIs" priority="293" operator="greaterThan" dxfId="8">
      <formula>1</formula>
    </cfRule>
  </conditionalFormatting>
  <conditionalFormatting sqref="AS573">
    <cfRule type="cellIs" priority="288" operator="greaterThan" dxfId="8">
      <formula>1</formula>
    </cfRule>
  </conditionalFormatting>
  <conditionalFormatting sqref="AS579">
    <cfRule type="cellIs" priority="290" operator="greaterThan" dxfId="8">
      <formula>1</formula>
    </cfRule>
  </conditionalFormatting>
  <conditionalFormatting sqref="AS585">
    <cfRule type="cellIs" priority="287" operator="greaterThan" dxfId="8">
      <formula>1</formula>
    </cfRule>
  </conditionalFormatting>
  <conditionalFormatting sqref="AS591">
    <cfRule type="cellIs" priority="285" operator="greaterThan" dxfId="8">
      <formula>1</formula>
    </cfRule>
  </conditionalFormatting>
  <conditionalFormatting sqref="AS597 AS603">
    <cfRule type="cellIs" priority="283" operator="greaterThan" dxfId="8">
      <formula>1</formula>
    </cfRule>
  </conditionalFormatting>
  <conditionalFormatting sqref="AS609 AS615 AS621 AS627">
    <cfRule type="cellIs" priority="281" operator="greaterThan" dxfId="8">
      <formula>1</formula>
    </cfRule>
  </conditionalFormatting>
  <conditionalFormatting sqref="AS780:AS787">
    <cfRule type="cellIs" priority="374" operator="greaterThan" dxfId="8">
      <formula>1</formula>
    </cfRule>
  </conditionalFormatting>
  <conditionalFormatting sqref="AS821:AS856">
    <cfRule type="cellIs" priority="263" operator="greaterThan" dxfId="8">
      <formula>1</formula>
    </cfRule>
  </conditionalFormatting>
  <conditionalFormatting sqref="AT417">
    <cfRule type="cellIs" priority="367" operator="greaterThan" dxfId="121">
      <formula>1</formula>
    </cfRule>
  </conditionalFormatting>
  <conditionalFormatting sqref="AT423">
    <cfRule type="cellIs" priority="340" operator="greaterThan" dxfId="121">
      <formula>1</formula>
    </cfRule>
  </conditionalFormatting>
  <conditionalFormatting sqref="AT429">
    <cfRule type="cellIs" priority="338" operator="greaterThan" dxfId="121">
      <formula>1</formula>
    </cfRule>
  </conditionalFormatting>
  <conditionalFormatting sqref="AT435">
    <cfRule type="cellIs" priority="336" operator="greaterThan" dxfId="121">
      <formula>1</formula>
    </cfRule>
  </conditionalFormatting>
  <conditionalFormatting sqref="AT441">
    <cfRule type="cellIs" priority="334" operator="greaterThan" dxfId="121">
      <formula>1</formula>
    </cfRule>
  </conditionalFormatting>
  <conditionalFormatting sqref="AT447">
    <cfRule type="cellIs" priority="332" operator="greaterThan" dxfId="121">
      <formula>1</formula>
    </cfRule>
  </conditionalFormatting>
  <conditionalFormatting sqref="AT453">
    <cfRule type="cellIs" priority="330" operator="greaterThan" dxfId="121">
      <formula>1</formula>
    </cfRule>
  </conditionalFormatting>
  <conditionalFormatting sqref="AT459">
    <cfRule type="cellIs" priority="328" operator="greaterThan" dxfId="121">
      <formula>1</formula>
    </cfRule>
  </conditionalFormatting>
  <conditionalFormatting sqref="AT465">
    <cfRule type="cellIs" priority="326" operator="greaterThan" dxfId="121">
      <formula>1</formula>
    </cfRule>
  </conditionalFormatting>
  <conditionalFormatting sqref="AT471">
    <cfRule type="cellIs" priority="324" operator="greaterThan" dxfId="121">
      <formula>1</formula>
    </cfRule>
  </conditionalFormatting>
  <conditionalFormatting sqref="AT477">
    <cfRule type="cellIs" priority="322" operator="greaterThan" dxfId="121">
      <formula>1</formula>
    </cfRule>
  </conditionalFormatting>
  <conditionalFormatting sqref="AT483">
    <cfRule type="cellIs" priority="320" operator="greaterThan" dxfId="121">
      <formula>1</formula>
    </cfRule>
  </conditionalFormatting>
  <conditionalFormatting sqref="AT489">
    <cfRule type="cellIs" priority="318" operator="greaterThan" dxfId="121">
      <formula>1</formula>
    </cfRule>
  </conditionalFormatting>
  <conditionalFormatting sqref="AT495">
    <cfRule type="cellIs" priority="316" operator="greaterThan" dxfId="121">
      <formula>1</formula>
    </cfRule>
  </conditionalFormatting>
  <conditionalFormatting sqref="AT501">
    <cfRule type="cellIs" priority="314" operator="greaterThan" dxfId="121">
      <formula>1</formula>
    </cfRule>
  </conditionalFormatting>
  <conditionalFormatting sqref="AT507">
    <cfRule type="cellIs" priority="312" operator="greaterThan" dxfId="121">
      <formula>1</formula>
    </cfRule>
  </conditionalFormatting>
  <conditionalFormatting sqref="AT513">
    <cfRule type="cellIs" priority="310" operator="greaterThan" dxfId="121">
      <formula>1</formula>
    </cfRule>
  </conditionalFormatting>
  <conditionalFormatting sqref="AT519">
    <cfRule type="cellIs" priority="308" operator="greaterThan" dxfId="121">
      <formula>1</formula>
    </cfRule>
  </conditionalFormatting>
  <conditionalFormatting sqref="AT525">
    <cfRule type="cellIs" priority="306" operator="greaterThan" dxfId="121">
      <formula>1</formula>
    </cfRule>
  </conditionalFormatting>
  <conditionalFormatting sqref="AT531">
    <cfRule type="cellIs" priority="304" operator="greaterThan" dxfId="121">
      <formula>1</formula>
    </cfRule>
  </conditionalFormatting>
  <conditionalFormatting sqref="AT537">
    <cfRule type="cellIs" priority="302" operator="greaterThan" dxfId="121">
      <formula>1</formula>
    </cfRule>
  </conditionalFormatting>
  <conditionalFormatting sqref="AT543">
    <cfRule type="cellIs" priority="300" operator="greaterThan" dxfId="121">
      <formula>1</formula>
    </cfRule>
  </conditionalFormatting>
  <conditionalFormatting sqref="AT549">
    <cfRule type="cellIs" priority="298" operator="greaterThan" dxfId="121">
      <formula>1</formula>
    </cfRule>
  </conditionalFormatting>
  <conditionalFormatting sqref="AT555">
    <cfRule type="cellIs" priority="296" operator="greaterThan" dxfId="121">
      <formula>1</formula>
    </cfRule>
  </conditionalFormatting>
  <conditionalFormatting sqref="AT561">
    <cfRule type="cellIs" priority="294" operator="greaterThan" dxfId="121">
      <formula>1</formula>
    </cfRule>
  </conditionalFormatting>
  <conditionalFormatting sqref="AT567">
    <cfRule type="cellIs" priority="292" operator="greaterThan" dxfId="121">
      <formula>1</formula>
    </cfRule>
  </conditionalFormatting>
  <conditionalFormatting sqref="AT573">
    <cfRule type="cellIs" priority="291" operator="greaterThan" dxfId="121">
      <formula>1</formula>
    </cfRule>
  </conditionalFormatting>
  <conditionalFormatting sqref="AT579">
    <cfRule type="cellIs" priority="289" operator="greaterThan" dxfId="121">
      <formula>1</formula>
    </cfRule>
  </conditionalFormatting>
  <conditionalFormatting sqref="AT585">
    <cfRule type="cellIs" priority="286" operator="greaterThan" dxfId="121">
      <formula>1</formula>
    </cfRule>
  </conditionalFormatting>
  <conditionalFormatting sqref="AT591">
    <cfRule type="cellIs" priority="284" operator="greaterThan" dxfId="121">
      <formula>1</formula>
    </cfRule>
  </conditionalFormatting>
  <conditionalFormatting sqref="AT597 AT603">
    <cfRule type="cellIs" priority="282" operator="greaterThan" dxfId="121">
      <formula>1</formula>
    </cfRule>
  </conditionalFormatting>
  <conditionalFormatting sqref="AT609 AT615 AT621 AT627">
    <cfRule type="cellIs" priority="280" operator="greaterThan" dxfId="121">
      <formula>1</formula>
    </cfRule>
  </conditionalFormatting>
  <conditionalFormatting sqref="AT780:AT787">
    <cfRule type="cellIs" priority="373" operator="greaterThan" dxfId="121">
      <formula>1</formula>
    </cfRule>
  </conditionalFormatting>
  <conditionalFormatting sqref="AT821:AT856">
    <cfRule type="cellIs" priority="262" operator="greaterThan" dxfId="121">
      <formula>1</formula>
    </cfRule>
  </conditionalFormatting>
  <conditionalFormatting sqref="K561:K565">
    <cfRule type="cellIs" priority="246" operator="lessThan" dxfId="0" stopIfTrue="1">
      <formula>0</formula>
    </cfRule>
  </conditionalFormatting>
  <conditionalFormatting sqref="K417:K421">
    <cfRule type="cellIs" priority="245" operator="lessThan" dxfId="0" stopIfTrue="1">
      <formula>0</formula>
    </cfRule>
  </conditionalFormatting>
  <conditionalFormatting sqref="K405:K408">
    <cfRule type="cellIs" priority="244" operator="lessThan" dxfId="0" stopIfTrue="1">
      <formula>0</formula>
    </cfRule>
  </conditionalFormatting>
  <conditionalFormatting sqref="K395:K398">
    <cfRule type="cellIs" priority="243" operator="lessThan" dxfId="0" stopIfTrue="1">
      <formula>0</formula>
    </cfRule>
  </conditionalFormatting>
  <conditionalFormatting sqref="K400:K403">
    <cfRule type="cellIs" priority="242" operator="lessThan" dxfId="0" stopIfTrue="1">
      <formula>0</formula>
    </cfRule>
  </conditionalFormatting>
  <conditionalFormatting sqref="K390:K393">
    <cfRule type="cellIs" priority="241" operator="lessThan" dxfId="0" stopIfTrue="1">
      <formula>0</formula>
    </cfRule>
  </conditionalFormatting>
  <conditionalFormatting sqref="P390:P393">
    <cfRule type="containsText" priority="237" operator="containsText" dxfId="131" text="VENCIDO">
      <formula>NOT(ISERROR(SEARCH("VENCIDO",P390)))</formula>
    </cfRule>
    <cfRule type="containsText" priority="238" operator="containsText" dxfId="130" text="VERDE">
      <formula>NOT(ISERROR(SEARCH("VERDE",P390)))</formula>
    </cfRule>
    <cfRule type="containsText" priority="239" operator="containsText" dxfId="129" stopIfTrue="1" text="AMARILLO">
      <formula>NOT(ISERROR(SEARCH("AMARILLO",P390)))</formula>
    </cfRule>
    <cfRule type="containsText" priority="240" operator="containsText" dxfId="128" text="ROJO">
      <formula>NOT(ISERROR(SEARCH("ROJO",P390)))</formula>
    </cfRule>
  </conditionalFormatting>
  <conditionalFormatting sqref="P395:P398">
    <cfRule type="containsText" priority="233" operator="containsText" dxfId="131" text="VENCIDO">
      <formula>NOT(ISERROR(SEARCH("VENCIDO",P395)))</formula>
    </cfRule>
    <cfRule type="containsText" priority="234" operator="containsText" dxfId="130" text="VERDE">
      <formula>NOT(ISERROR(SEARCH("VERDE",P395)))</formula>
    </cfRule>
    <cfRule type="containsText" priority="235" operator="containsText" dxfId="129" stopIfTrue="1" text="AMARILLO">
      <formula>NOT(ISERROR(SEARCH("AMARILLO",P395)))</formula>
    </cfRule>
    <cfRule type="containsText" priority="236" operator="containsText" dxfId="128" text="ROJO">
      <formula>NOT(ISERROR(SEARCH("ROJO",P395)))</formula>
    </cfRule>
  </conditionalFormatting>
  <conditionalFormatting sqref="P400:P403">
    <cfRule type="containsText" priority="229" operator="containsText" dxfId="131" text="VENCIDO">
      <formula>NOT(ISERROR(SEARCH("VENCIDO",P400)))</formula>
    </cfRule>
    <cfRule type="containsText" priority="230" operator="containsText" dxfId="130" text="VERDE">
      <formula>NOT(ISERROR(SEARCH("VERDE",P400)))</formula>
    </cfRule>
    <cfRule type="containsText" priority="231" operator="containsText" dxfId="129" stopIfTrue="1" text="AMARILLO">
      <formula>NOT(ISERROR(SEARCH("AMARILLO",P400)))</formula>
    </cfRule>
    <cfRule type="containsText" priority="232" operator="containsText" dxfId="128" text="ROJO">
      <formula>NOT(ISERROR(SEARCH("ROJO",P400)))</formula>
    </cfRule>
  </conditionalFormatting>
  <conditionalFormatting sqref="P405:P408">
    <cfRule type="containsText" priority="225" operator="containsText" dxfId="131" text="VENCIDO">
      <formula>NOT(ISERROR(SEARCH("VENCIDO",P405)))</formula>
    </cfRule>
    <cfRule type="containsText" priority="226" operator="containsText" dxfId="130" text="VERDE">
      <formula>NOT(ISERROR(SEARCH("VERDE",P405)))</formula>
    </cfRule>
    <cfRule type="containsText" priority="227" operator="containsText" dxfId="129" stopIfTrue="1" text="AMARILLO">
      <formula>NOT(ISERROR(SEARCH("AMARILLO",P405)))</formula>
    </cfRule>
    <cfRule type="containsText" priority="228" operator="containsText" dxfId="128" text="ROJO">
      <formula>NOT(ISERROR(SEARCH("ROJO",P405)))</formula>
    </cfRule>
  </conditionalFormatting>
  <conditionalFormatting sqref="K640:K644 K646:K650 K652:K656 K658:K662 K664:K668 K670:K674 K676:K680 K682:K686 K688:K692 K694:K698 K700:K704">
    <cfRule type="cellIs" priority="181"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24"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20" operator="containsText" dxfId="131" text="VENCIDO">
      <formula>NOT(ISERROR(SEARCH("VENCIDO",P19)))</formula>
    </cfRule>
    <cfRule type="containsText" priority="221" operator="containsText" dxfId="130" text="VERDE">
      <formula>NOT(ISERROR(SEARCH("VERDE",P19)))</formula>
    </cfRule>
    <cfRule type="containsText" priority="222" operator="containsText" dxfId="129" stopIfTrue="1" text="AMARILLO">
      <formula>NOT(ISERROR(SEARCH("AMARILLO",P19)))</formula>
    </cfRule>
    <cfRule type="containsText" priority="223" operator="containsText" dxfId="128" text="ROJO">
      <formula>NOT(ISERROR(SEARCH("ROJO",P19)))</formula>
    </cfRule>
  </conditionalFormatting>
  <conditionalFormatting sqref="K230:K234 K236:K240 K242:K246 K248:K252 K254:K258 K260:K264 K266:K270 K272:K276 K278:K282 K284:K288 K290:K294 K296:K300">
    <cfRule type="cellIs" priority="219" operator="lessThan" dxfId="0" stopIfTrue="1">
      <formula>0</formula>
    </cfRule>
  </conditionalFormatting>
  <conditionalFormatting sqref="P230:P234 P236:P240 P242:P246 P248:P252 P254:P258 P260:P264 P266:P270 P272:P276 P278:P282 P284:P288 P290:P294 P296:P300">
    <cfRule type="containsText" priority="215" operator="containsText" dxfId="131" text="VENCIDO">
      <formula>NOT(ISERROR(SEARCH("VENCIDO",P230)))</formula>
    </cfRule>
    <cfRule type="containsText" priority="216" operator="containsText" dxfId="130" text="VERDE">
      <formula>NOT(ISERROR(SEARCH("VERDE",P230)))</formula>
    </cfRule>
    <cfRule type="containsText" priority="217" operator="containsText" dxfId="129" stopIfTrue="1" text="AMARILLO">
      <formula>NOT(ISERROR(SEARCH("AMARILLO",P230)))</formula>
    </cfRule>
    <cfRule type="containsText" priority="218" operator="containsText" dxfId="128" text="ROJO">
      <formula>NOT(ISERROR(SEARCH("ROJO",P230)))</formula>
    </cfRule>
  </conditionalFormatting>
  <conditionalFormatting sqref="K316 K323 K330 K337 K344 K351 K358 K365 K372">
    <cfRule type="containsText" priority="214" operator="containsText" dxfId="8" text="Falso">
      <formula>NOT(ISERROR(SEARCH("Falso",K316)))</formula>
    </cfRule>
  </conditionalFormatting>
  <conditionalFormatting sqref="P310:P315 P317:P322 P324:P329 P331:P336 P338:P343 P345:P350 P352:P357 P359:P364 P366:P371">
    <cfRule type="containsText" priority="210" operator="containsText" dxfId="131" text="VENCIDO">
      <formula>NOT(ISERROR(SEARCH("VENCIDO",P310)))</formula>
    </cfRule>
    <cfRule type="containsText" priority="211" operator="containsText" dxfId="130" text="VERDE">
      <formula>NOT(ISERROR(SEARCH("VERDE",P310)))</formula>
    </cfRule>
    <cfRule type="containsText" priority="212" operator="containsText" dxfId="129" stopIfTrue="1" text="AMARILLO">
      <formula>NOT(ISERROR(SEARCH("AMARILLO",P310)))</formula>
    </cfRule>
    <cfRule type="containsText" priority="213" operator="containsText" dxfId="128" text="ROJO">
      <formula>NOT(ISERROR(SEARCH("ROJO",P310)))</formula>
    </cfRule>
  </conditionalFormatting>
  <conditionalFormatting sqref="K310:K315">
    <cfRule type="cellIs" priority="209" operator="lessThan" dxfId="0" stopIfTrue="1">
      <formula>0</formula>
    </cfRule>
  </conditionalFormatting>
  <conditionalFormatting sqref="K317:K322">
    <cfRule type="cellIs" priority="208" operator="lessThan" dxfId="0" stopIfTrue="1">
      <formula>0</formula>
    </cfRule>
  </conditionalFormatting>
  <conditionalFormatting sqref="K324:K329">
    <cfRule type="cellIs" priority="207" operator="lessThan" dxfId="0" stopIfTrue="1">
      <formula>0</formula>
    </cfRule>
  </conditionalFormatting>
  <conditionalFormatting sqref="K331:K336">
    <cfRule type="cellIs" priority="206" operator="lessThan" dxfId="0" stopIfTrue="1">
      <formula>0</formula>
    </cfRule>
  </conditionalFormatting>
  <conditionalFormatting sqref="K338:K343">
    <cfRule type="cellIs" priority="205" operator="lessThan" dxfId="0" stopIfTrue="1">
      <formula>0</formula>
    </cfRule>
  </conditionalFormatting>
  <conditionalFormatting sqref="K345:K350">
    <cfRule type="cellIs" priority="204" operator="lessThan" dxfId="0" stopIfTrue="1">
      <formula>0</formula>
    </cfRule>
  </conditionalFormatting>
  <conditionalFormatting sqref="K352:K357">
    <cfRule type="cellIs" priority="203" operator="lessThan" dxfId="0" stopIfTrue="1">
      <formula>0</formula>
    </cfRule>
  </conditionalFormatting>
  <conditionalFormatting sqref="K359:K364">
    <cfRule type="cellIs" priority="202" operator="lessThan" dxfId="0" stopIfTrue="1">
      <formula>0</formula>
    </cfRule>
  </conditionalFormatting>
  <conditionalFormatting sqref="K366:K371">
    <cfRule type="cellIs" priority="201"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197" operator="containsText" dxfId="131" text="VENCIDO">
      <formula>NOT(ISERROR(SEARCH("VENCIDO",P423)))</formula>
    </cfRule>
    <cfRule type="containsText" priority="198" operator="containsText" dxfId="130" text="VERDE">
      <formula>NOT(ISERROR(SEARCH("VERDE",P423)))</formula>
    </cfRule>
    <cfRule type="containsText" priority="199" operator="containsText" dxfId="129" stopIfTrue="1" text="AMARILLO">
      <formula>NOT(ISERROR(SEARCH("AMARILLO",P423)))</formula>
    </cfRule>
    <cfRule type="containsText" priority="200"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196" operator="lessThan" dxfId="0" stopIfTrue="1">
      <formula>0</formula>
    </cfRule>
  </conditionalFormatting>
  <conditionalFormatting sqref="P567:P571">
    <cfRule type="containsText" priority="192" operator="containsText" dxfId="131" text="VENCIDO">
      <formula>NOT(ISERROR(SEARCH("VENCIDO",P567)))</formula>
    </cfRule>
    <cfRule type="containsText" priority="193" operator="containsText" dxfId="130" text="VERDE">
      <formula>NOT(ISERROR(SEARCH("VERDE",P567)))</formula>
    </cfRule>
    <cfRule type="containsText" priority="194" operator="containsText" dxfId="129" stopIfTrue="1" text="AMARILLO">
      <formula>NOT(ISERROR(SEARCH("AMARILLO",P567)))</formula>
    </cfRule>
    <cfRule type="containsText" priority="195" operator="containsText" dxfId="128" text="ROJO">
      <formula>NOT(ISERROR(SEARCH("ROJO",P567)))</formula>
    </cfRule>
  </conditionalFormatting>
  <conditionalFormatting sqref="K567:K571">
    <cfRule type="cellIs" priority="191" operator="lessThan" dxfId="0" stopIfTrue="1">
      <formula>0</formula>
    </cfRule>
  </conditionalFormatting>
  <conditionalFormatting sqref="P573:P577 P579:P583 P585:P589 P591:P595 P597:P601 P603:P607 P609:P613 P615:P619 P621:P625 P627:P631">
    <cfRule type="containsText" priority="187" operator="containsText" dxfId="131" text="VENCIDO">
      <formula>NOT(ISERROR(SEARCH("VENCIDO",P573)))</formula>
    </cfRule>
    <cfRule type="containsText" priority="188" operator="containsText" dxfId="130" text="VERDE">
      <formula>NOT(ISERROR(SEARCH("VERDE",P573)))</formula>
    </cfRule>
    <cfRule type="containsText" priority="189" operator="containsText" dxfId="129" stopIfTrue="1" text="AMARILLO">
      <formula>NOT(ISERROR(SEARCH("AMARILLO",P573)))</formula>
    </cfRule>
    <cfRule type="containsText" priority="190" operator="containsText" dxfId="128" text="ROJO">
      <formula>NOT(ISERROR(SEARCH("ROJO",P573)))</formula>
    </cfRule>
  </conditionalFormatting>
  <conditionalFormatting sqref="K573:K577 K579:K583 K585:K589 K591:K595 K597:K601 K603:K607 K609:K613 K615:K619 K621:K625 K627:K631">
    <cfRule type="cellIs" priority="186" operator="lessThan" dxfId="0" stopIfTrue="1">
      <formula>0</formula>
    </cfRule>
  </conditionalFormatting>
  <conditionalFormatting sqref="P634:P638">
    <cfRule type="containsText" priority="182" operator="containsText" dxfId="131" text="VENCIDO">
      <formula>NOT(ISERROR(SEARCH("VENCIDO",P634)))</formula>
    </cfRule>
    <cfRule type="containsText" priority="183" operator="containsText" dxfId="130" text="VERDE">
      <formula>NOT(ISERROR(SEARCH("VERDE",P634)))</formula>
    </cfRule>
    <cfRule type="containsText" priority="184" operator="containsText" dxfId="129" stopIfTrue="1" text="AMARILLO">
      <formula>NOT(ISERROR(SEARCH("AMARILLO",P634)))</formula>
    </cfRule>
    <cfRule type="containsText" priority="185" operator="containsText" dxfId="128" text="ROJO">
      <formula>NOT(ISERROR(SEARCH("ROJO",P634)))</formula>
    </cfRule>
  </conditionalFormatting>
  <conditionalFormatting sqref="P640:P644 P646:P650 P652:P656 P658:P662 P664:P668 P670:P674 P676:P680 P682:P686 P688:P692 P694:P698 P700:P704">
    <cfRule type="containsText" priority="177" operator="containsText" dxfId="131" text="VENCIDO">
      <formula>NOT(ISERROR(SEARCH("VENCIDO",P640)))</formula>
    </cfRule>
    <cfRule type="containsText" priority="178" operator="containsText" dxfId="130" text="VERDE">
      <formula>NOT(ISERROR(SEARCH("VERDE",P640)))</formula>
    </cfRule>
    <cfRule type="containsText" priority="179" operator="containsText" dxfId="129" stopIfTrue="1" text="AMARILLO">
      <formula>NOT(ISERROR(SEARCH("AMARILLO",P640)))</formula>
    </cfRule>
    <cfRule type="containsText" priority="180" operator="containsText" dxfId="128" text="ROJO">
      <formula>NOT(ISERROR(SEARCH("ROJO",P640)))</formula>
    </cfRule>
  </conditionalFormatting>
  <conditionalFormatting sqref="P714:P719">
    <cfRule type="containsText" priority="173" operator="containsText" dxfId="131" text="VENCIDO">
      <formula>NOT(ISERROR(SEARCH("VENCIDO",P714)))</formula>
    </cfRule>
    <cfRule type="containsText" priority="174" operator="containsText" dxfId="130" text="VERDE">
      <formula>NOT(ISERROR(SEARCH("VERDE",P714)))</formula>
    </cfRule>
    <cfRule type="containsText" priority="175" operator="containsText" dxfId="129" stopIfTrue="1" text="AMARILLO">
      <formula>NOT(ISERROR(SEARCH("AMARILLO",P714)))</formula>
    </cfRule>
    <cfRule type="containsText" priority="176" operator="containsText" dxfId="128" text="ROJO">
      <formula>NOT(ISERROR(SEARCH("ROJO",P714)))</formula>
    </cfRule>
  </conditionalFormatting>
  <conditionalFormatting sqref="P721:P726">
    <cfRule type="containsText" priority="169" operator="containsText" dxfId="131" text="VENCIDO">
      <formula>NOT(ISERROR(SEARCH("VENCIDO",P721)))</formula>
    </cfRule>
    <cfRule type="containsText" priority="170" operator="containsText" dxfId="130" text="VERDE">
      <formula>NOT(ISERROR(SEARCH("VERDE",P721)))</formula>
    </cfRule>
    <cfRule type="containsText" priority="171" operator="containsText" dxfId="129" stopIfTrue="1" text="AMARILLO">
      <formula>NOT(ISERROR(SEARCH("AMARILLO",P721)))</formula>
    </cfRule>
    <cfRule type="containsText" priority="172" operator="containsText" dxfId="128" text="ROJO">
      <formula>NOT(ISERROR(SEARCH("ROJO",P721)))</formula>
    </cfRule>
  </conditionalFormatting>
  <conditionalFormatting sqref="P728:P733">
    <cfRule type="containsText" priority="165" operator="containsText" dxfId="131" text="VENCIDO">
      <formula>NOT(ISERROR(SEARCH("VENCIDO",P728)))</formula>
    </cfRule>
    <cfRule type="containsText" priority="166" operator="containsText" dxfId="130" text="VERDE">
      <formula>NOT(ISERROR(SEARCH("VERDE",P728)))</formula>
    </cfRule>
    <cfRule type="containsText" priority="167" operator="containsText" dxfId="129" stopIfTrue="1" text="AMARILLO">
      <formula>NOT(ISERROR(SEARCH("AMARILLO",P728)))</formula>
    </cfRule>
    <cfRule type="containsText" priority="168" operator="containsText" dxfId="128" text="ROJO">
      <formula>NOT(ISERROR(SEARCH("ROJO",P728)))</formula>
    </cfRule>
  </conditionalFormatting>
  <conditionalFormatting sqref="P735:P740">
    <cfRule type="containsText" priority="161" operator="containsText" dxfId="131" text="VENCIDO">
      <formula>NOT(ISERROR(SEARCH("VENCIDO",P735)))</formula>
    </cfRule>
    <cfRule type="containsText" priority="162" operator="containsText" dxfId="130" text="VERDE">
      <formula>NOT(ISERROR(SEARCH("VERDE",P735)))</formula>
    </cfRule>
    <cfRule type="containsText" priority="163" operator="containsText" dxfId="129" stopIfTrue="1" text="AMARILLO">
      <formula>NOT(ISERROR(SEARCH("AMARILLO",P735)))</formula>
    </cfRule>
    <cfRule type="containsText" priority="164" operator="containsText" dxfId="128" text="ROJO">
      <formula>NOT(ISERROR(SEARCH("ROJO",P735)))</formula>
    </cfRule>
  </conditionalFormatting>
  <conditionalFormatting sqref="P742:P747">
    <cfRule type="containsText" priority="157" operator="containsText" dxfId="131" text="VENCIDO">
      <formula>NOT(ISERROR(SEARCH("VENCIDO",P742)))</formula>
    </cfRule>
    <cfRule type="containsText" priority="158" operator="containsText" dxfId="130" text="VERDE">
      <formula>NOT(ISERROR(SEARCH("VERDE",P742)))</formula>
    </cfRule>
    <cfRule type="containsText" priority="159" operator="containsText" dxfId="129" stopIfTrue="1" text="AMARILLO">
      <formula>NOT(ISERROR(SEARCH("AMARILLO",P742)))</formula>
    </cfRule>
    <cfRule type="containsText" priority="160" operator="containsText" dxfId="128" text="ROJO">
      <formula>NOT(ISERROR(SEARCH("ROJO",P742)))</formula>
    </cfRule>
  </conditionalFormatting>
  <conditionalFormatting sqref="P749:P754">
    <cfRule type="containsText" priority="153" operator="containsText" dxfId="131" text="VENCIDO">
      <formula>NOT(ISERROR(SEARCH("VENCIDO",P749)))</formula>
    </cfRule>
    <cfRule type="containsText" priority="154" operator="containsText" dxfId="130" text="VERDE">
      <formula>NOT(ISERROR(SEARCH("VERDE",P749)))</formula>
    </cfRule>
    <cfRule type="containsText" priority="155" operator="containsText" dxfId="129" stopIfTrue="1" text="AMARILLO">
      <formula>NOT(ISERROR(SEARCH("AMARILLO",P749)))</formula>
    </cfRule>
    <cfRule type="containsText" priority="156" operator="containsText" dxfId="128" text="ROJO">
      <formula>NOT(ISERROR(SEARCH("ROJO",P749)))</formula>
    </cfRule>
  </conditionalFormatting>
  <conditionalFormatting sqref="P756:P761">
    <cfRule type="containsText" priority="149" operator="containsText" dxfId="131" text="VENCIDO">
      <formula>NOT(ISERROR(SEARCH("VENCIDO",P756)))</formula>
    </cfRule>
    <cfRule type="containsText" priority="150" operator="containsText" dxfId="130" text="VERDE">
      <formula>NOT(ISERROR(SEARCH("VERDE",P756)))</formula>
    </cfRule>
    <cfRule type="containsText" priority="151" operator="containsText" dxfId="129" stopIfTrue="1" text="AMARILLO">
      <formula>NOT(ISERROR(SEARCH("AMARILLO",P756)))</formula>
    </cfRule>
    <cfRule type="containsText" priority="152" operator="containsText" dxfId="128" text="ROJO">
      <formula>NOT(ISERROR(SEARCH("ROJO",P756)))</formula>
    </cfRule>
  </conditionalFormatting>
  <conditionalFormatting sqref="P763:P768">
    <cfRule type="containsText" priority="145" operator="containsText" dxfId="131" text="VENCIDO">
      <formula>NOT(ISERROR(SEARCH("VENCIDO",P763)))</formula>
    </cfRule>
    <cfRule type="containsText" priority="146" operator="containsText" dxfId="130" text="VERDE">
      <formula>NOT(ISERROR(SEARCH("VERDE",P763)))</formula>
    </cfRule>
    <cfRule type="containsText" priority="147" operator="containsText" dxfId="129" stopIfTrue="1" text="AMARILLO">
      <formula>NOT(ISERROR(SEARCH("AMARILLO",P763)))</formula>
    </cfRule>
    <cfRule type="containsText" priority="148" operator="containsText" dxfId="128" text="ROJO">
      <formula>NOT(ISERROR(SEARCH("ROJO",P763)))</formula>
    </cfRule>
  </conditionalFormatting>
  <conditionalFormatting sqref="P770:P775">
    <cfRule type="containsText" priority="141" operator="containsText" dxfId="131" text="VENCIDO">
      <formula>NOT(ISERROR(SEARCH("VENCIDO",P770)))</formula>
    </cfRule>
    <cfRule type="containsText" priority="142" operator="containsText" dxfId="130" text="VERDE">
      <formula>NOT(ISERROR(SEARCH("VERDE",P770)))</formula>
    </cfRule>
    <cfRule type="containsText" priority="143" operator="containsText" dxfId="129" stopIfTrue="1" text="AMARILLO">
      <formula>NOT(ISERROR(SEARCH("AMARILLO",P770)))</formula>
    </cfRule>
    <cfRule type="containsText" priority="144" operator="containsText" dxfId="128" text="ROJO">
      <formula>NOT(ISERROR(SEARCH("ROJO",P770)))</formula>
    </cfRule>
  </conditionalFormatting>
  <conditionalFormatting sqref="P789:P792">
    <cfRule type="containsText" priority="137" operator="containsText" dxfId="131" text="VENCIDO">
      <formula>NOT(ISERROR(SEARCH("VENCIDO",P789)))</formula>
    </cfRule>
    <cfRule type="containsText" priority="138" operator="containsText" dxfId="130" text="VERDE">
      <formula>NOT(ISERROR(SEARCH("VERDE",P789)))</formula>
    </cfRule>
    <cfRule type="containsText" priority="139" operator="containsText" dxfId="129" stopIfTrue="1" text="AMARILLO">
      <formula>NOT(ISERROR(SEARCH("AMARILLO",P789)))</formula>
    </cfRule>
    <cfRule type="containsText" priority="140" operator="containsText" dxfId="128" text="ROJO">
      <formula>NOT(ISERROR(SEARCH("ROJO",P789)))</formula>
    </cfRule>
  </conditionalFormatting>
  <conditionalFormatting sqref="P794:P797">
    <cfRule type="containsText" priority="133" operator="containsText" dxfId="131" text="VENCIDO">
      <formula>NOT(ISERROR(SEARCH("VENCIDO",P794)))</formula>
    </cfRule>
    <cfRule type="containsText" priority="134" operator="containsText" dxfId="130" text="VERDE">
      <formula>NOT(ISERROR(SEARCH("VERDE",P794)))</formula>
    </cfRule>
    <cfRule type="containsText" priority="135" operator="containsText" dxfId="129" stopIfTrue="1" text="AMARILLO">
      <formula>NOT(ISERROR(SEARCH("AMARILLO",P794)))</formula>
    </cfRule>
    <cfRule type="containsText" priority="136" operator="containsText" dxfId="128" text="ROJO">
      <formula>NOT(ISERROR(SEARCH("ROJO",P794)))</formula>
    </cfRule>
  </conditionalFormatting>
  <conditionalFormatting sqref="P799:P802 P804:P807 P809:P812">
    <cfRule type="containsText" priority="129" operator="containsText" dxfId="131" text="VENCIDO">
      <formula>NOT(ISERROR(SEARCH("VENCIDO",P799)))</formula>
    </cfRule>
    <cfRule type="containsText" priority="130" operator="containsText" dxfId="130" text="VERDE">
      <formula>NOT(ISERROR(SEARCH("VERDE",P799)))</formula>
    </cfRule>
    <cfRule type="containsText" priority="131" operator="containsText" dxfId="129" stopIfTrue="1" text="AMARILLO">
      <formula>NOT(ISERROR(SEARCH("AMARILLO",P799)))</formula>
    </cfRule>
    <cfRule type="containsText" priority="132" operator="containsText" dxfId="128" text="ROJO">
      <formula>NOT(ISERROR(SEARCH("ROJO",P799)))</formula>
    </cfRule>
  </conditionalFormatting>
  <conditionalFormatting sqref="K789:K792">
    <cfRule type="cellIs" priority="128" operator="lessThan" dxfId="0" stopIfTrue="1">
      <formula>0</formula>
    </cfRule>
  </conditionalFormatting>
  <conditionalFormatting sqref="K794:K797">
    <cfRule type="cellIs" priority="127" operator="lessThan" dxfId="0" stopIfTrue="1">
      <formula>0</formula>
    </cfRule>
  </conditionalFormatting>
  <conditionalFormatting sqref="K799:K802">
    <cfRule type="cellIs" priority="126" operator="lessThan" dxfId="0" stopIfTrue="1">
      <formula>0</formula>
    </cfRule>
  </conditionalFormatting>
  <conditionalFormatting sqref="K804:K807">
    <cfRule type="cellIs" priority="125" operator="lessThan" dxfId="0" stopIfTrue="1">
      <formula>0</formula>
    </cfRule>
  </conditionalFormatting>
  <conditionalFormatting sqref="K809:K812">
    <cfRule type="cellIs" priority="124" operator="lessThan" dxfId="0" stopIfTrue="1">
      <formula>0</formula>
    </cfRule>
  </conditionalFormatting>
  <conditionalFormatting sqref="AT789">
    <cfRule type="cellIs" priority="123" operator="greaterThan" dxfId="121">
      <formula>1</formula>
    </cfRule>
  </conditionalFormatting>
  <conditionalFormatting sqref="AT794 AT799 AT804 AT809">
    <cfRule type="cellIs" priority="122" operator="greaterThan" dxfId="121">
      <formula>1</formula>
    </cfRule>
  </conditionalFormatting>
  <conditionalFormatting sqref="E895:G897">
    <cfRule type="cellIs" priority="121" operator="lessThan" dxfId="0" stopIfTrue="1">
      <formula>0</formula>
    </cfRule>
  </conditionalFormatting>
  <conditionalFormatting sqref="K895:K897 M895:N897">
    <cfRule type="cellIs" priority="120" operator="lessThan" dxfId="0" stopIfTrue="1">
      <formula>0</formula>
    </cfRule>
  </conditionalFormatting>
  <conditionalFormatting sqref="K301">
    <cfRule type="containsText" priority="119" operator="containsText" dxfId="8" text="Falso">
      <formula>NOT(ISERROR(SEARCH("Falso",K301)))</formula>
    </cfRule>
  </conditionalFormatting>
  <conditionalFormatting sqref="K295">
    <cfRule type="containsText" priority="118" operator="containsText" dxfId="8" text="Falso">
      <formula>NOT(ISERROR(SEARCH("Falso",K295)))</formula>
    </cfRule>
  </conditionalFormatting>
  <conditionalFormatting sqref="K289">
    <cfRule type="containsText" priority="117" operator="containsText" dxfId="8" text="Falso">
      <formula>NOT(ISERROR(SEARCH("Falso",K289)))</formula>
    </cfRule>
  </conditionalFormatting>
  <conditionalFormatting sqref="K283">
    <cfRule type="containsText" priority="116" operator="containsText" dxfId="8" text="Falso">
      <formula>NOT(ISERROR(SEARCH("Falso",K283)))</formula>
    </cfRule>
  </conditionalFormatting>
  <conditionalFormatting sqref="K277">
    <cfRule type="containsText" priority="115" operator="containsText" dxfId="8" text="Falso">
      <formula>NOT(ISERROR(SEARCH("Falso",K277)))</formula>
    </cfRule>
  </conditionalFormatting>
  <conditionalFormatting sqref="K271">
    <cfRule type="containsText" priority="114" operator="containsText" dxfId="8" text="Falso">
      <formula>NOT(ISERROR(SEARCH("Falso",K271)))</formula>
    </cfRule>
  </conditionalFormatting>
  <conditionalFormatting sqref="K265">
    <cfRule type="containsText" priority="113" operator="containsText" dxfId="8" text="Falso">
      <formula>NOT(ISERROR(SEARCH("Falso",K265)))</formula>
    </cfRule>
  </conditionalFormatting>
  <conditionalFormatting sqref="K259">
    <cfRule type="containsText" priority="112" operator="containsText" dxfId="8" text="Falso">
      <formula>NOT(ISERROR(SEARCH("Falso",K259)))</formula>
    </cfRule>
  </conditionalFormatting>
  <conditionalFormatting sqref="K253">
    <cfRule type="containsText" priority="111" operator="containsText" dxfId="8" text="Falso">
      <formula>NOT(ISERROR(SEARCH("Falso",K253)))</formula>
    </cfRule>
  </conditionalFormatting>
  <conditionalFormatting sqref="K247">
    <cfRule type="containsText" priority="110" operator="containsText" dxfId="8" text="Falso">
      <formula>NOT(ISERROR(SEARCH("Falso",K247)))</formula>
    </cfRule>
  </conditionalFormatting>
  <conditionalFormatting sqref="K235">
    <cfRule type="containsText" priority="109" operator="containsText" dxfId="8" text="Falso">
      <formula>NOT(ISERROR(SEARCH("Falso",K235)))</formula>
    </cfRule>
  </conditionalFormatting>
  <conditionalFormatting sqref="K241">
    <cfRule type="containsText" priority="108" operator="containsText" dxfId="8" text="Falso">
      <formula>NOT(ISERROR(SEARCH("Falso",K241)))</formula>
    </cfRule>
  </conditionalFormatting>
  <conditionalFormatting sqref="K228">
    <cfRule type="containsText" priority="107" operator="containsText" dxfId="8" text="Falso">
      <formula>NOT(ISERROR(SEARCH("Falso",K228)))</formula>
    </cfRule>
  </conditionalFormatting>
  <conditionalFormatting sqref="K222">
    <cfRule type="containsText" priority="106" operator="containsText" dxfId="8" text="Falso">
      <formula>NOT(ISERROR(SEARCH("Falso",K222)))</formula>
    </cfRule>
  </conditionalFormatting>
  <conditionalFormatting sqref="K216">
    <cfRule type="containsText" priority="105" operator="containsText" dxfId="8" text="Falso">
      <formula>NOT(ISERROR(SEARCH("Falso",K216)))</formula>
    </cfRule>
  </conditionalFormatting>
  <conditionalFormatting sqref="K210">
    <cfRule type="containsText" priority="104" operator="containsText" dxfId="8" text="Falso">
      <formula>NOT(ISERROR(SEARCH("Falso",K210)))</formula>
    </cfRule>
  </conditionalFormatting>
  <conditionalFormatting sqref="K204">
    <cfRule type="containsText" priority="103" operator="containsText" dxfId="8" text="Falso">
      <formula>NOT(ISERROR(SEARCH("Falso",K204)))</formula>
    </cfRule>
  </conditionalFormatting>
  <conditionalFormatting sqref="K198">
    <cfRule type="containsText" priority="102" operator="containsText" dxfId="8" text="Falso">
      <formula>NOT(ISERROR(SEARCH("Falso",K198)))</formula>
    </cfRule>
  </conditionalFormatting>
  <conditionalFormatting sqref="K192">
    <cfRule type="containsText" priority="101" operator="containsText" dxfId="8" text="Falso">
      <formula>NOT(ISERROR(SEARCH("Falso",K192)))</formula>
    </cfRule>
  </conditionalFormatting>
  <conditionalFormatting sqref="K186">
    <cfRule type="containsText" priority="100" operator="containsText" dxfId="8" text="Falso">
      <formula>NOT(ISERROR(SEARCH("Falso",K186)))</formula>
    </cfRule>
  </conditionalFormatting>
  <conditionalFormatting sqref="K180">
    <cfRule type="containsText" priority="99" operator="containsText" dxfId="8" text="Falso">
      <formula>NOT(ISERROR(SEARCH("Falso",K180)))</formula>
    </cfRule>
  </conditionalFormatting>
  <conditionalFormatting sqref="K174">
    <cfRule type="containsText" priority="98" operator="containsText" dxfId="8" text="Falso">
      <formula>NOT(ISERROR(SEARCH("Falso",K174)))</formula>
    </cfRule>
  </conditionalFormatting>
  <conditionalFormatting sqref="K168">
    <cfRule type="containsText" priority="97" operator="containsText" dxfId="8" text="Falso">
      <formula>NOT(ISERROR(SEARCH("Falso",K168)))</formula>
    </cfRule>
  </conditionalFormatting>
  <conditionalFormatting sqref="K162">
    <cfRule type="containsText" priority="96" operator="containsText" dxfId="8" text="Falso">
      <formula>NOT(ISERROR(SEARCH("Falso",K162)))</formula>
    </cfRule>
  </conditionalFormatting>
  <conditionalFormatting sqref="K156">
    <cfRule type="containsText" priority="95" operator="containsText" dxfId="8" text="Falso">
      <formula>NOT(ISERROR(SEARCH("Falso",K156)))</formula>
    </cfRule>
  </conditionalFormatting>
  <conditionalFormatting sqref="K150">
    <cfRule type="containsText" priority="94" operator="containsText" dxfId="8" text="Falso">
      <formula>NOT(ISERROR(SEARCH("Falso",K150)))</formula>
    </cfRule>
  </conditionalFormatting>
  <conditionalFormatting sqref="K144">
    <cfRule type="containsText" priority="93" operator="containsText" dxfId="8" text="Falso">
      <formula>NOT(ISERROR(SEARCH("Falso",K144)))</formula>
    </cfRule>
  </conditionalFormatting>
  <conditionalFormatting sqref="K138">
    <cfRule type="containsText" priority="92" operator="containsText" dxfId="8" text="Falso">
      <formula>NOT(ISERROR(SEARCH("Falso",K138)))</formula>
    </cfRule>
  </conditionalFormatting>
  <conditionalFormatting sqref="K132">
    <cfRule type="containsText" priority="91" operator="containsText" dxfId="8" text="Falso">
      <formula>NOT(ISERROR(SEARCH("Falso",K132)))</formula>
    </cfRule>
  </conditionalFormatting>
  <conditionalFormatting sqref="K126">
    <cfRule type="containsText" priority="90" operator="containsText" dxfId="8" text="Falso">
      <formula>NOT(ISERROR(SEARCH("Falso",K126)))</formula>
    </cfRule>
  </conditionalFormatting>
  <conditionalFormatting sqref="K120">
    <cfRule type="containsText" priority="89" operator="containsText" dxfId="8" text="Falso">
      <formula>NOT(ISERROR(SEARCH("Falso",K120)))</formula>
    </cfRule>
  </conditionalFormatting>
  <conditionalFormatting sqref="K114">
    <cfRule type="containsText" priority="88" operator="containsText" dxfId="8" text="Falso">
      <formula>NOT(ISERROR(SEARCH("Falso",K114)))</formula>
    </cfRule>
  </conditionalFormatting>
  <conditionalFormatting sqref="K108">
    <cfRule type="containsText" priority="87" operator="containsText" dxfId="8" text="Falso">
      <formula>NOT(ISERROR(SEARCH("Falso",K108)))</formula>
    </cfRule>
  </conditionalFormatting>
  <conditionalFormatting sqref="K102">
    <cfRule type="containsText" priority="86" operator="containsText" dxfId="8" text="Falso">
      <formula>NOT(ISERROR(SEARCH("Falso",K102)))</formula>
    </cfRule>
  </conditionalFormatting>
  <conditionalFormatting sqref="K96">
    <cfRule type="containsText" priority="85" operator="containsText" dxfId="8" text="Falso">
      <formula>NOT(ISERROR(SEARCH("Falso",K96)))</formula>
    </cfRule>
  </conditionalFormatting>
  <conditionalFormatting sqref="K90">
    <cfRule type="containsText" priority="84" operator="containsText" dxfId="8" text="Falso">
      <formula>NOT(ISERROR(SEARCH("Falso",K90)))</formula>
    </cfRule>
  </conditionalFormatting>
  <conditionalFormatting sqref="K84">
    <cfRule type="containsText" priority="83" operator="containsText" dxfId="8" text="Falso">
      <formula>NOT(ISERROR(SEARCH("Falso",K84)))</formula>
    </cfRule>
  </conditionalFormatting>
  <conditionalFormatting sqref="K78">
    <cfRule type="containsText" priority="82" operator="containsText" dxfId="8" text="Falso">
      <formula>NOT(ISERROR(SEARCH("Falso",K78)))</formula>
    </cfRule>
  </conditionalFormatting>
  <conditionalFormatting sqref="K72">
    <cfRule type="containsText" priority="81" operator="containsText" dxfId="8" text="Falso">
      <formula>NOT(ISERROR(SEARCH("Falso",K72)))</formula>
    </cfRule>
  </conditionalFormatting>
  <conditionalFormatting sqref="K66">
    <cfRule type="containsText" priority="80" operator="containsText" dxfId="8" text="Falso">
      <formula>NOT(ISERROR(SEARCH("Falso",K66)))</formula>
    </cfRule>
  </conditionalFormatting>
  <conditionalFormatting sqref="K60">
    <cfRule type="containsText" priority="79" operator="containsText" dxfId="8" text="Falso">
      <formula>NOT(ISERROR(SEARCH("Falso",K60)))</formula>
    </cfRule>
  </conditionalFormatting>
  <conditionalFormatting sqref="K54">
    <cfRule type="containsText" priority="78" operator="containsText" dxfId="8" text="Falso">
      <formula>NOT(ISERROR(SEARCH("Falso",K54)))</formula>
    </cfRule>
  </conditionalFormatting>
  <conditionalFormatting sqref="K48">
    <cfRule type="containsText" priority="77" operator="containsText" dxfId="8" text="Falso">
      <formula>NOT(ISERROR(SEARCH("Falso",K48)))</formula>
    </cfRule>
  </conditionalFormatting>
  <conditionalFormatting sqref="K42">
    <cfRule type="containsText" priority="76" operator="containsText" dxfId="8" text="Falso">
      <formula>NOT(ISERROR(SEARCH("Falso",K42)))</formula>
    </cfRule>
  </conditionalFormatting>
  <conditionalFormatting sqref="K36">
    <cfRule type="containsText" priority="75" operator="containsText" dxfId="8" text="Falso">
      <formula>NOT(ISERROR(SEARCH("Falso",K36)))</formula>
    </cfRule>
  </conditionalFormatting>
  <conditionalFormatting sqref="K30">
    <cfRule type="containsText" priority="74" operator="containsText" dxfId="8" text="Falso">
      <formula>NOT(ISERROR(SEARCH("Falso",K30)))</formula>
    </cfRule>
  </conditionalFormatting>
  <conditionalFormatting sqref="K24">
    <cfRule type="containsText" priority="73" operator="containsText" dxfId="8" text="Falso">
      <formula>NOT(ISERROR(SEARCH("Falso",K24)))</formula>
    </cfRule>
  </conditionalFormatting>
  <conditionalFormatting sqref="K18">
    <cfRule type="containsText" priority="72" operator="containsText" dxfId="8" text="Falso">
      <formula>NOT(ISERROR(SEARCH("Falso",K18)))</formula>
    </cfRule>
  </conditionalFormatting>
  <conditionalFormatting sqref="K422">
    <cfRule type="containsText" priority="71" operator="containsText" dxfId="8" text="Falso">
      <formula>NOT(ISERROR(SEARCH("Falso",K422)))</formula>
    </cfRule>
  </conditionalFormatting>
  <conditionalFormatting sqref="K428">
    <cfRule type="containsText" priority="70" operator="containsText" dxfId="8" text="Falso">
      <formula>NOT(ISERROR(SEARCH("Falso",K428)))</formula>
    </cfRule>
  </conditionalFormatting>
  <conditionalFormatting sqref="K434">
    <cfRule type="containsText" priority="69" operator="containsText" dxfId="8" text="Falso">
      <formula>NOT(ISERROR(SEARCH("Falso",K434)))</formula>
    </cfRule>
  </conditionalFormatting>
  <conditionalFormatting sqref="K440">
    <cfRule type="containsText" priority="68" operator="containsText" dxfId="8" text="Falso">
      <formula>NOT(ISERROR(SEARCH("Falso",K440)))</formula>
    </cfRule>
  </conditionalFormatting>
  <conditionalFormatting sqref="K446">
    <cfRule type="containsText" priority="67" operator="containsText" dxfId="8" text="Falso">
      <formula>NOT(ISERROR(SEARCH("Falso",K446)))</formula>
    </cfRule>
  </conditionalFormatting>
  <conditionalFormatting sqref="K452">
    <cfRule type="containsText" priority="66" operator="containsText" dxfId="8" text="Falso">
      <formula>NOT(ISERROR(SEARCH("Falso",K452)))</formula>
    </cfRule>
  </conditionalFormatting>
  <conditionalFormatting sqref="K458">
    <cfRule type="containsText" priority="65" operator="containsText" dxfId="8" text="Falso">
      <formula>NOT(ISERROR(SEARCH("Falso",K458)))</formula>
    </cfRule>
  </conditionalFormatting>
  <conditionalFormatting sqref="K464">
    <cfRule type="containsText" priority="64" operator="containsText" dxfId="8" text="Falso">
      <formula>NOT(ISERROR(SEARCH("Falso",K464)))</formula>
    </cfRule>
  </conditionalFormatting>
  <conditionalFormatting sqref="K470">
    <cfRule type="containsText" priority="63" operator="containsText" dxfId="8" text="Falso">
      <formula>NOT(ISERROR(SEARCH("Falso",K470)))</formula>
    </cfRule>
  </conditionalFormatting>
  <conditionalFormatting sqref="K476">
    <cfRule type="containsText" priority="62" operator="containsText" dxfId="8" text="Falso">
      <formula>NOT(ISERROR(SEARCH("Falso",K476)))</formula>
    </cfRule>
  </conditionalFormatting>
  <conditionalFormatting sqref="K482">
    <cfRule type="containsText" priority="61" operator="containsText" dxfId="8" text="Falso">
      <formula>NOT(ISERROR(SEARCH("Falso",K482)))</formula>
    </cfRule>
  </conditionalFormatting>
  <conditionalFormatting sqref="K488">
    <cfRule type="containsText" priority="60" operator="containsText" dxfId="8" text="Falso">
      <formula>NOT(ISERROR(SEARCH("Falso",K488)))</formula>
    </cfRule>
  </conditionalFormatting>
  <conditionalFormatting sqref="K494">
    <cfRule type="containsText" priority="59" operator="containsText" dxfId="8" text="Falso">
      <formula>NOT(ISERROR(SEARCH("Falso",K494)))</formula>
    </cfRule>
  </conditionalFormatting>
  <conditionalFormatting sqref="K500">
    <cfRule type="containsText" priority="58" operator="containsText" dxfId="8" text="Falso">
      <formula>NOT(ISERROR(SEARCH("Falso",K500)))</formula>
    </cfRule>
  </conditionalFormatting>
  <conditionalFormatting sqref="K506">
    <cfRule type="containsText" priority="57" operator="containsText" dxfId="8" text="Falso">
      <formula>NOT(ISERROR(SEARCH("Falso",K506)))</formula>
    </cfRule>
  </conditionalFormatting>
  <conditionalFormatting sqref="K512">
    <cfRule type="containsText" priority="56" operator="containsText" dxfId="8" text="Falso">
      <formula>NOT(ISERROR(SEARCH("Falso",K512)))</formula>
    </cfRule>
  </conditionalFormatting>
  <conditionalFormatting sqref="K518">
    <cfRule type="containsText" priority="55" operator="containsText" dxfId="8" text="Falso">
      <formula>NOT(ISERROR(SEARCH("Falso",K518)))</formula>
    </cfRule>
  </conditionalFormatting>
  <conditionalFormatting sqref="K524">
    <cfRule type="containsText" priority="54" operator="containsText" dxfId="8" text="Falso">
      <formula>NOT(ISERROR(SEARCH("Falso",K524)))</formula>
    </cfRule>
  </conditionalFormatting>
  <conditionalFormatting sqref="K530">
    <cfRule type="containsText" priority="53" operator="containsText" dxfId="8" text="Falso">
      <formula>NOT(ISERROR(SEARCH("Falso",K530)))</formula>
    </cfRule>
  </conditionalFormatting>
  <conditionalFormatting sqref="K536">
    <cfRule type="containsText" priority="52" operator="containsText" dxfId="8" text="Falso">
      <formula>NOT(ISERROR(SEARCH("Falso",K536)))</formula>
    </cfRule>
  </conditionalFormatting>
  <conditionalFormatting sqref="K542">
    <cfRule type="containsText" priority="51" operator="containsText" dxfId="8" text="Falso">
      <formula>NOT(ISERROR(SEARCH("Falso",K542)))</formula>
    </cfRule>
  </conditionalFormatting>
  <conditionalFormatting sqref="K548">
    <cfRule type="containsText" priority="50" operator="containsText" dxfId="8" text="Falso">
      <formula>NOT(ISERROR(SEARCH("Falso",K548)))</formula>
    </cfRule>
  </conditionalFormatting>
  <conditionalFormatting sqref="K554">
    <cfRule type="containsText" priority="49" operator="containsText" dxfId="8" text="Falso">
      <formula>NOT(ISERROR(SEARCH("Falso",K554)))</formula>
    </cfRule>
  </conditionalFormatting>
  <conditionalFormatting sqref="K560">
    <cfRule type="containsText" priority="48" operator="containsText" dxfId="8" text="Falso">
      <formula>NOT(ISERROR(SEARCH("Falso",K560)))</formula>
    </cfRule>
  </conditionalFormatting>
  <conditionalFormatting sqref="K566">
    <cfRule type="containsText" priority="47" operator="containsText" dxfId="8" text="Falso">
      <formula>NOT(ISERROR(SEARCH("Falso",K566)))</formula>
    </cfRule>
  </conditionalFormatting>
  <conditionalFormatting sqref="K572">
    <cfRule type="containsText" priority="46" operator="containsText" dxfId="8" text="Falso">
      <formula>NOT(ISERROR(SEARCH("Falso",K572)))</formula>
    </cfRule>
  </conditionalFormatting>
  <conditionalFormatting sqref="K578">
    <cfRule type="containsText" priority="45" operator="containsText" dxfId="8" text="Falso">
      <formula>NOT(ISERROR(SEARCH("Falso",K578)))</formula>
    </cfRule>
  </conditionalFormatting>
  <conditionalFormatting sqref="K584">
    <cfRule type="containsText" priority="44" operator="containsText" dxfId="8" text="Falso">
      <formula>NOT(ISERROR(SEARCH("Falso",K584)))</formula>
    </cfRule>
  </conditionalFormatting>
  <conditionalFormatting sqref="K590">
    <cfRule type="containsText" priority="43" operator="containsText" dxfId="8" text="Falso">
      <formula>NOT(ISERROR(SEARCH("Falso",K590)))</formula>
    </cfRule>
  </conditionalFormatting>
  <conditionalFormatting sqref="K596">
    <cfRule type="containsText" priority="42" operator="containsText" dxfId="8" text="Falso">
      <formula>NOT(ISERROR(SEARCH("Falso",K596)))</formula>
    </cfRule>
  </conditionalFormatting>
  <conditionalFormatting sqref="K602">
    <cfRule type="containsText" priority="41" operator="containsText" dxfId="8" text="Falso">
      <formula>NOT(ISERROR(SEARCH("Falso",K602)))</formula>
    </cfRule>
  </conditionalFormatting>
  <conditionalFormatting sqref="K608">
    <cfRule type="containsText" priority="40" operator="containsText" dxfId="8" text="Falso">
      <formula>NOT(ISERROR(SEARCH("Falso",K608)))</formula>
    </cfRule>
  </conditionalFormatting>
  <conditionalFormatting sqref="K614">
    <cfRule type="containsText" priority="39" operator="containsText" dxfId="8" text="Falso">
      <formula>NOT(ISERROR(SEARCH("Falso",K614)))</formula>
    </cfRule>
  </conditionalFormatting>
  <conditionalFormatting sqref="K620">
    <cfRule type="containsText" priority="38" operator="containsText" dxfId="8" text="Falso">
      <formula>NOT(ISERROR(SEARCH("Falso",K620)))</formula>
    </cfRule>
  </conditionalFormatting>
  <conditionalFormatting sqref="K626">
    <cfRule type="containsText" priority="37" operator="containsText" dxfId="8" text="Falso">
      <formula>NOT(ISERROR(SEARCH("Falso",K626)))</formula>
    </cfRule>
  </conditionalFormatting>
  <conditionalFormatting sqref="K632">
    <cfRule type="containsText" priority="36" operator="containsText" dxfId="8" text="Falso">
      <formula>NOT(ISERROR(SEARCH("Falso",K632)))</formula>
    </cfRule>
  </conditionalFormatting>
  <conditionalFormatting sqref="K639">
    <cfRule type="containsText" priority="35" operator="containsText" dxfId="8" text="Falso">
      <formula>NOT(ISERROR(SEARCH("Falso",K639)))</formula>
    </cfRule>
  </conditionalFormatting>
  <conditionalFormatting sqref="K645">
    <cfRule type="containsText" priority="34" operator="containsText" dxfId="8" text="Falso">
      <formula>NOT(ISERROR(SEARCH("Falso",K645)))</formula>
    </cfRule>
  </conditionalFormatting>
  <conditionalFormatting sqref="K651">
    <cfRule type="containsText" priority="33" operator="containsText" dxfId="8" text="Falso">
      <formula>NOT(ISERROR(SEARCH("Falso",K651)))</formula>
    </cfRule>
  </conditionalFormatting>
  <conditionalFormatting sqref="K657">
    <cfRule type="containsText" priority="32" operator="containsText" dxfId="8" text="Falso">
      <formula>NOT(ISERROR(SEARCH("Falso",K657)))</formula>
    </cfRule>
  </conditionalFormatting>
  <conditionalFormatting sqref="K663">
    <cfRule type="containsText" priority="31" operator="containsText" dxfId="8" text="Falso">
      <formula>NOT(ISERROR(SEARCH("Falso",K663)))</formula>
    </cfRule>
  </conditionalFormatting>
  <conditionalFormatting sqref="K669">
    <cfRule type="containsText" priority="30" operator="containsText" dxfId="8" text="Falso">
      <formula>NOT(ISERROR(SEARCH("Falso",K669)))</formula>
    </cfRule>
  </conditionalFormatting>
  <conditionalFormatting sqref="K675">
    <cfRule type="containsText" priority="29" operator="containsText" dxfId="8" text="Falso">
      <formula>NOT(ISERROR(SEARCH("Falso",K675)))</formula>
    </cfRule>
  </conditionalFormatting>
  <conditionalFormatting sqref="K681">
    <cfRule type="containsText" priority="28" operator="containsText" dxfId="8" text="Falso">
      <formula>NOT(ISERROR(SEARCH("Falso",K681)))</formula>
    </cfRule>
  </conditionalFormatting>
  <conditionalFormatting sqref="K687">
    <cfRule type="containsText" priority="27" operator="containsText" dxfId="8" text="Falso">
      <formula>NOT(ISERROR(SEARCH("Falso",K687)))</formula>
    </cfRule>
  </conditionalFormatting>
  <conditionalFormatting sqref="K693">
    <cfRule type="containsText" priority="26" operator="containsText" dxfId="8" text="Falso">
      <formula>NOT(ISERROR(SEARCH("Falso",K693)))</formula>
    </cfRule>
  </conditionalFormatting>
  <conditionalFormatting sqref="K699">
    <cfRule type="containsText" priority="25" operator="containsText" dxfId="8" text="Falso">
      <formula>NOT(ISERROR(SEARCH("Falso",K699)))</formula>
    </cfRule>
  </conditionalFormatting>
  <conditionalFormatting sqref="K705">
    <cfRule type="containsText" priority="24" operator="containsText" dxfId="8" text="Falso">
      <formula>NOT(ISERROR(SEARCH("Falso",K705)))</formula>
    </cfRule>
  </conditionalFormatting>
  <conditionalFormatting sqref="K713">
    <cfRule type="containsText" priority="23" operator="containsText" dxfId="8" text="Falso">
      <formula>NOT(ISERROR(SEARCH("Falso",K713)))</formula>
    </cfRule>
  </conditionalFormatting>
  <conditionalFormatting sqref="K720">
    <cfRule type="containsText" priority="22" operator="containsText" dxfId="8" text="Falso">
      <formula>NOT(ISERROR(SEARCH("Falso",K720)))</formula>
    </cfRule>
  </conditionalFormatting>
  <conditionalFormatting sqref="K727">
    <cfRule type="containsText" priority="21" operator="containsText" dxfId="8" text="Falso">
      <formula>NOT(ISERROR(SEARCH("Falso",K727)))</formula>
    </cfRule>
  </conditionalFormatting>
  <conditionalFormatting sqref="K734">
    <cfRule type="containsText" priority="20" operator="containsText" dxfId="8" text="Falso">
      <formula>NOT(ISERROR(SEARCH("Falso",K734)))</formula>
    </cfRule>
  </conditionalFormatting>
  <conditionalFormatting sqref="K741">
    <cfRule type="containsText" priority="19" operator="containsText" dxfId="8" text="Falso">
      <formula>NOT(ISERROR(SEARCH("Falso",K741)))</formula>
    </cfRule>
  </conditionalFormatting>
  <conditionalFormatting sqref="K748">
    <cfRule type="containsText" priority="18" operator="containsText" dxfId="8" text="Falso">
      <formula>NOT(ISERROR(SEARCH("Falso",K748)))</formula>
    </cfRule>
  </conditionalFormatting>
  <conditionalFormatting sqref="K755">
    <cfRule type="containsText" priority="17" operator="containsText" dxfId="8" text="Falso">
      <formula>NOT(ISERROR(SEARCH("Falso",K755)))</formula>
    </cfRule>
  </conditionalFormatting>
  <conditionalFormatting sqref="K762">
    <cfRule type="containsText" priority="16" operator="containsText" dxfId="8" text="Falso">
      <formula>NOT(ISERROR(SEARCH("Falso",K762)))</formula>
    </cfRule>
  </conditionalFormatting>
  <conditionalFormatting sqref="K769">
    <cfRule type="containsText" priority="15" operator="containsText" dxfId="8" text="Falso">
      <formula>NOT(ISERROR(SEARCH("Falso",K769)))</formula>
    </cfRule>
  </conditionalFormatting>
  <conditionalFormatting sqref="K776">
    <cfRule type="containsText" priority="14" operator="containsText" dxfId="8" text="Falso">
      <formula>NOT(ISERROR(SEARCH("Falso",K776)))</formula>
    </cfRule>
  </conditionalFormatting>
  <conditionalFormatting sqref="K793">
    <cfRule type="containsText" priority="13" operator="containsText" dxfId="8" text="Falso">
      <formula>NOT(ISERROR(SEARCH("Falso",K793)))</formula>
    </cfRule>
  </conditionalFormatting>
  <conditionalFormatting sqref="K798">
    <cfRule type="containsText" priority="12" operator="containsText" dxfId="8" text="Falso">
      <formula>NOT(ISERROR(SEARCH("Falso",K798)))</formula>
    </cfRule>
  </conditionalFormatting>
  <conditionalFormatting sqref="K803">
    <cfRule type="containsText" priority="11" operator="containsText" dxfId="8" text="Falso">
      <formula>NOT(ISERROR(SEARCH("Falso",K803)))</formula>
    </cfRule>
  </conditionalFormatting>
  <conditionalFormatting sqref="K808">
    <cfRule type="containsText" priority="10" operator="containsText" dxfId="8" text="Falso">
      <formula>NOT(ISERROR(SEARCH("Falso",K808)))</formula>
    </cfRule>
  </conditionalFormatting>
  <conditionalFormatting sqref="K813">
    <cfRule type="containsText" priority="9" operator="containsText" dxfId="8" text="Falso">
      <formula>NOT(ISERROR(SEARCH("Falso",K813)))</formula>
    </cfRule>
  </conditionalFormatting>
  <conditionalFormatting sqref="O858:O869">
    <cfRule type="cellIs" priority="8" operator="lessThan" dxfId="0" stopIfTrue="1">
      <formula>0</formula>
    </cfRule>
  </conditionalFormatting>
  <conditionalFormatting sqref="O871:O887">
    <cfRule type="cellIs" priority="7" operator="lessThan" dxfId="0" stopIfTrue="1">
      <formula>0</formula>
    </cfRule>
  </conditionalFormatting>
  <conditionalFormatting sqref="O893:O897">
    <cfRule type="cellIs" priority="6" operator="lessThan" dxfId="0" stopIfTrue="1">
      <formula>0</formula>
    </cfRule>
  </conditionalFormatting>
  <conditionalFormatting sqref="L888">
    <cfRule type="cellIs" priority="5" operator="lessThan" dxfId="0" stopIfTrue="1">
      <formula>0</formula>
    </cfRule>
  </conditionalFormatting>
  <conditionalFormatting sqref="L821:L856">
    <cfRule type="cellIs" priority="4" operator="lessThan" dxfId="0" stopIfTrue="1">
      <formula>0</formula>
    </cfRule>
  </conditionalFormatting>
  <conditionalFormatting sqref="L858:L869">
    <cfRule type="cellIs" priority="3" operator="lessThan" dxfId="0" stopIfTrue="1">
      <formula>0</formula>
    </cfRule>
  </conditionalFormatting>
  <conditionalFormatting sqref="L871:L887">
    <cfRule type="cellIs" priority="2" operator="lessThan" dxfId="0" stopIfTrue="1">
      <formula>0</formula>
    </cfRule>
  </conditionalFormatting>
  <conditionalFormatting sqref="L893:L897">
    <cfRule type="cellIs" priority="1" operator="lessThan" dxfId="0" stopIfTrue="1">
      <formula>0</formula>
    </cfRule>
  </conditionalFormatting>
  <dataValidations count="3">
    <dataValidation sqref="O278:O279 O284:O285 O292" showDropDown="0" showInputMessage="1" showErrorMessage="1" allowBlank="1" errorTitle="INGRESE LA FECHA" error="FECHA DE VENCIMIENTO" type="date" operator="greaterThan">
      <formula1>39083</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C903:C907 C912:C913" showDropDown="0" showInputMessage="1" showErrorMessage="1" allowBlank="1" type="list">
      <formula1>"SI,NO"</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xl/worksheets/sheet15.xml><?xml version="1.0" encoding="utf-8"?>
<worksheet xmlns="http://schemas.openxmlformats.org/spreadsheetml/2006/main">
  <sheetPr codeName="Hoja25">
    <tabColor theme="9" tint="0.3999755851924192"/>
    <outlinePr summaryBelow="1" summaryRight="1"/>
    <pageSetUpPr/>
  </sheetPr>
  <dimension ref="A1:AZ919"/>
  <sheetViews>
    <sheetView zoomScale="70" zoomScaleNormal="70" workbookViewId="0">
      <selection activeCell="D13" sqref="D13:D18"/>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n"/>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748"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496">
        <f>SEPTIEMBRE!K13</f>
        <v/>
      </c>
      <c r="E13" s="731" t="n"/>
      <c r="F13" s="731" t="n"/>
      <c r="G13" s="730">
        <f>E13+F13</f>
        <v/>
      </c>
      <c r="H13" s="731" t="n"/>
      <c r="I13" s="731" t="n"/>
      <c r="J13" s="732">
        <f>AM13</f>
        <v/>
      </c>
      <c r="K13" s="738">
        <f>+(D13+G13)-(H13+I13+J13)</f>
        <v/>
      </c>
      <c r="L13" s="253" t="n"/>
      <c r="M13" s="254" t="n"/>
      <c r="N13" s="254" t="n"/>
      <c r="O13" s="1183" t="n"/>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inlineStr">
        <is>
          <t>AMAZONAS</t>
        </is>
      </c>
      <c r="AZ13" s="231" t="inlineStr">
        <is>
          <t>ENERO</t>
        </is>
      </c>
    </row>
    <row r="14" ht="18.75" customHeight="1">
      <c r="A14" s="973" t="n"/>
      <c r="B14" s="971" t="n"/>
      <c r="C14" s="972" t="n"/>
      <c r="D14" s="973" t="n"/>
      <c r="E14" s="994" t="n"/>
      <c r="F14" s="994" t="n"/>
      <c r="G14" s="973" t="n"/>
      <c r="H14" s="994" t="n"/>
      <c r="I14" s="994" t="n"/>
      <c r="J14" s="973" t="n"/>
      <c r="K14" s="973" t="n"/>
      <c r="L14" s="253" t="n"/>
      <c r="M14" s="254" t="n"/>
      <c r="N14" s="254" t="n"/>
      <c r="O14" s="1183" t="n"/>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inlineStr">
        <is>
          <t>ANTIOQUIA</t>
        </is>
      </c>
      <c r="AZ14" s="231" t="inlineStr">
        <is>
          <t>SEPTIEMBRE</t>
        </is>
      </c>
    </row>
    <row r="15" ht="18.75" customHeight="1">
      <c r="A15" s="973" t="n"/>
      <c r="B15" s="971" t="n"/>
      <c r="C15" s="972" t="n"/>
      <c r="D15" s="973" t="n"/>
      <c r="E15" s="994" t="n"/>
      <c r="F15" s="994" t="n"/>
      <c r="G15" s="973" t="n"/>
      <c r="H15" s="994" t="n"/>
      <c r="I15" s="994" t="n"/>
      <c r="J15" s="973" t="n"/>
      <c r="K15" s="973" t="n"/>
      <c r="L15" s="253" t="n"/>
      <c r="M15" s="254" t="n"/>
      <c r="N15" s="254" t="n"/>
      <c r="O15" s="1183" t="n"/>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73"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inlineStr">
        <is>
          <t>ATLANTICO</t>
        </is>
      </c>
      <c r="AZ16" s="231" t="inlineStr">
        <is>
          <t>ABRIL</t>
        </is>
      </c>
    </row>
    <row r="17" ht="18.75" customHeight="1">
      <c r="A17" s="973" t="n"/>
      <c r="B17" s="971" t="n"/>
      <c r="C17" s="972" t="n"/>
      <c r="D17" s="973"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inlineStr">
        <is>
          <t>BARRANQUILLA</t>
        </is>
      </c>
      <c r="AZ17" s="231" t="inlineStr">
        <is>
          <t>MAYO</t>
        </is>
      </c>
    </row>
    <row r="18" ht="18.75" customHeight="1">
      <c r="A18" s="975" t="n"/>
      <c r="B18" s="1182" t="n"/>
      <c r="C18" s="1103" t="n"/>
      <c r="D18" s="975"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JUNIO</t>
        </is>
      </c>
    </row>
    <row r="19" ht="18.75" customHeight="1">
      <c r="A19" s="741">
        <f>A13+1</f>
        <v/>
      </c>
      <c r="B19" s="733" t="inlineStr">
        <is>
          <t>Vacuna de Hepatitis B Recombinante Pediátrica - Liquida</t>
        </is>
      </c>
      <c r="C19" s="965" t="n"/>
      <c r="D19" s="496">
        <f>SEPTIEMBRE!K19</f>
        <v/>
      </c>
      <c r="E19" s="731" t="n"/>
      <c r="F19" s="731" t="n"/>
      <c r="G19" s="730">
        <f>E19+F19</f>
        <v/>
      </c>
      <c r="H19" s="731" t="n"/>
      <c r="I19" s="731" t="n"/>
      <c r="J19" s="732">
        <f>AM19</f>
        <v/>
      </c>
      <c r="K19" s="738">
        <f>+(D19+G19)-(H19+I19+J19)</f>
        <v/>
      </c>
      <c r="L19" s="253" t="n"/>
      <c r="M19" s="254" t="n"/>
      <c r="N19" s="254" t="n"/>
      <c r="O19" s="1183" t="n"/>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inlineStr">
        <is>
          <t>BOLIVAR</t>
        </is>
      </c>
      <c r="AZ19" s="231" t="inlineStr">
        <is>
          <t>JULIO</t>
        </is>
      </c>
    </row>
    <row r="20" ht="18.75" customHeight="1">
      <c r="A20" s="973" t="n"/>
      <c r="B20" s="971" t="n"/>
      <c r="C20" s="972" t="n"/>
      <c r="D20" s="973" t="n"/>
      <c r="E20" s="994" t="n"/>
      <c r="F20" s="994" t="n"/>
      <c r="G20" s="973" t="n"/>
      <c r="H20" s="994" t="n"/>
      <c r="I20" s="994" t="n"/>
      <c r="J20" s="973" t="n"/>
      <c r="K20" s="973" t="n"/>
      <c r="L20" s="253" t="n"/>
      <c r="M20" s="254" t="n"/>
      <c r="N20" s="254" t="n"/>
      <c r="O20" s="1183" t="n"/>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73" t="n"/>
      <c r="E21" s="994" t="n"/>
      <c r="F21" s="994" t="n"/>
      <c r="G21" s="973" t="n"/>
      <c r="H21" s="994" t="n"/>
      <c r="I21" s="994" t="n"/>
      <c r="J21" s="973" t="n"/>
      <c r="K21" s="973" t="n"/>
      <c r="L21" s="253" t="n"/>
      <c r="M21" s="254" t="n"/>
      <c r="N21" s="254" t="n"/>
      <c r="O21" s="1183" t="n"/>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inlineStr">
        <is>
          <t>CARTAGENA</t>
        </is>
      </c>
      <c r="AZ21" s="231" t="inlineStr">
        <is>
          <t>AGOSTO</t>
        </is>
      </c>
    </row>
    <row r="22" ht="18.75" customHeight="1">
      <c r="A22" s="973" t="n"/>
      <c r="B22" s="971" t="n"/>
      <c r="C22" s="972" t="n"/>
      <c r="D22" s="973" t="n"/>
      <c r="E22" s="994" t="n"/>
      <c r="F22" s="994" t="n"/>
      <c r="G22" s="973" t="n"/>
      <c r="H22" s="994" t="n"/>
      <c r="I22" s="994" t="n"/>
      <c r="J22" s="973" t="n"/>
      <c r="K22" s="973" t="n"/>
      <c r="L22" s="253" t="n"/>
      <c r="M22" s="254" t="n"/>
      <c r="N22" s="254" t="n"/>
      <c r="O22" s="1183" t="n"/>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inlineStr">
        <is>
          <t>BOYACA</t>
        </is>
      </c>
      <c r="AZ22" s="231" t="inlineStr">
        <is>
          <t>SEPTIEMBRE</t>
        </is>
      </c>
    </row>
    <row r="23" ht="18.75" customHeight="1">
      <c r="A23" s="973" t="n"/>
      <c r="B23" s="971" t="n"/>
      <c r="C23" s="972" t="n"/>
      <c r="D23" s="973"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inlineStr">
        <is>
          <t>CAQUETA</t>
        </is>
      </c>
      <c r="AZ23" s="231" t="inlineStr">
        <is>
          <t>NOVIEMBRE</t>
        </is>
      </c>
    </row>
    <row r="24" ht="18.75" customHeight="1">
      <c r="A24" s="975" t="n"/>
      <c r="B24" s="1182" t="n"/>
      <c r="C24" s="1103" t="n"/>
      <c r="D24" s="975"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496">
        <f>SEPTIEMBRE!K25</f>
        <v/>
      </c>
      <c r="E25" s="731" t="n"/>
      <c r="F25" s="731" t="n"/>
      <c r="G25" s="730">
        <f>E25+F25</f>
        <v/>
      </c>
      <c r="H25" s="731" t="n"/>
      <c r="I25" s="731" t="n"/>
      <c r="J25" s="732">
        <f>AM25</f>
        <v/>
      </c>
      <c r="K25" s="738">
        <f>+(D25+G25)-(H25+I25+J25)</f>
        <v/>
      </c>
      <c r="L25" s="253" t="n"/>
      <c r="M25" s="254" t="n"/>
      <c r="N25" s="254" t="n"/>
      <c r="O25" s="1183" t="n"/>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inlineStr">
        <is>
          <t>BOLIVAR</t>
        </is>
      </c>
    </row>
    <row r="26" ht="18.75" customHeight="1">
      <c r="A26" s="973" t="n"/>
      <c r="B26" s="971" t="n"/>
      <c r="C26" s="972" t="n"/>
      <c r="D26" s="973"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73"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inlineStr">
        <is>
          <t>CARTAGENA</t>
        </is>
      </c>
    </row>
    <row r="28" ht="18.75" customHeight="1">
      <c r="A28" s="973" t="n"/>
      <c r="B28" s="971" t="n"/>
      <c r="C28" s="972" t="n"/>
      <c r="D28" s="973"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inlineStr">
        <is>
          <t>BOYACA</t>
        </is>
      </c>
    </row>
    <row r="29" ht="18.75" customHeight="1">
      <c r="A29" s="973" t="n"/>
      <c r="B29" s="971" t="n"/>
      <c r="C29" s="972" t="n"/>
      <c r="D29" s="973"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inlineStr">
        <is>
          <t>CAQUETA</t>
        </is>
      </c>
    </row>
    <row r="30" ht="18.75" customHeight="1">
      <c r="A30" s="975" t="n"/>
      <c r="B30" s="1182" t="n"/>
      <c r="C30" s="1103" t="n"/>
      <c r="D30" s="975"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496">
        <f>SEPTIEMBRE!K31</f>
        <v/>
      </c>
      <c r="E31" s="731" t="n"/>
      <c r="F31" s="731" t="n"/>
      <c r="G31" s="730">
        <f>E31+F31</f>
        <v/>
      </c>
      <c r="H31" s="731" t="n"/>
      <c r="I31" s="731" t="n"/>
      <c r="J31" s="732">
        <f>AM31</f>
        <v/>
      </c>
      <c r="K31" s="738">
        <f>+(D31+G31)-(H31+I31+J31)</f>
        <v/>
      </c>
      <c r="L31" s="253" t="n"/>
      <c r="M31" s="254" t="n"/>
      <c r="N31" s="254" t="n"/>
      <c r="O31" s="1183" t="n"/>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inlineStr">
        <is>
          <t>CAUCA</t>
        </is>
      </c>
    </row>
    <row r="32" ht="18.75" customHeight="1">
      <c r="A32" s="973" t="n"/>
      <c r="B32" s="971" t="n"/>
      <c r="C32" s="972" t="n"/>
      <c r="D32" s="973" t="n"/>
      <c r="E32" s="994" t="n"/>
      <c r="F32" s="994" t="n"/>
      <c r="G32" s="973" t="n"/>
      <c r="H32" s="994" t="n"/>
      <c r="I32" s="994" t="n"/>
      <c r="J32" s="973" t="n"/>
      <c r="K32" s="973" t="n"/>
      <c r="L32" s="253" t="n"/>
      <c r="M32" s="254" t="n"/>
      <c r="N32" s="254" t="n"/>
      <c r="O32" s="1183" t="n"/>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73" t="n"/>
      <c r="E33" s="994" t="n"/>
      <c r="F33" s="994" t="n"/>
      <c r="G33" s="973" t="n"/>
      <c r="H33" s="994" t="n"/>
      <c r="I33" s="994" t="n"/>
      <c r="J33" s="973" t="n"/>
      <c r="K33" s="973" t="n"/>
      <c r="L33" s="253" t="n"/>
      <c r="M33" s="254" t="n"/>
      <c r="N33" s="254" t="n"/>
      <c r="O33" s="1183" t="n"/>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inlineStr">
        <is>
          <t>CESAR</t>
        </is>
      </c>
    </row>
    <row r="34" ht="18.75" customHeight="1">
      <c r="A34" s="973" t="n"/>
      <c r="B34" s="971" t="n"/>
      <c r="C34" s="972" t="n"/>
      <c r="D34" s="973"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inlineStr">
        <is>
          <t>CHOCO</t>
        </is>
      </c>
    </row>
    <row r="35" ht="18.75" customHeight="1">
      <c r="A35" s="973" t="n"/>
      <c r="B35" s="971" t="n"/>
      <c r="C35" s="972" t="n"/>
      <c r="D35" s="973"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inlineStr">
        <is>
          <t>CORDOBA</t>
        </is>
      </c>
    </row>
    <row r="36" ht="18.75" customHeight="1">
      <c r="A36" s="975" t="n"/>
      <c r="B36" s="1182" t="n"/>
      <c r="C36" s="1103" t="n"/>
      <c r="D36" s="975"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496">
        <f>SEPTIEMBRE!K37</f>
        <v/>
      </c>
      <c r="E37" s="731" t="n"/>
      <c r="F37" s="731" t="n"/>
      <c r="G37" s="730">
        <f>E37+F37</f>
        <v/>
      </c>
      <c r="H37" s="731" t="n"/>
      <c r="I37" s="731" t="n"/>
      <c r="J37" s="732">
        <f>AM37</f>
        <v/>
      </c>
      <c r="K37" s="738">
        <f>+(D37+G37)-(H37+I37+J37)</f>
        <v/>
      </c>
      <c r="L37" s="253" t="n"/>
      <c r="M37" s="254" t="n"/>
      <c r="N37" s="254" t="n"/>
      <c r="O37" s="1183" t="n"/>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inlineStr">
        <is>
          <t>NARIÑO</t>
        </is>
      </c>
    </row>
    <row r="38" ht="19.5" customHeight="1">
      <c r="A38" s="973" t="n"/>
      <c r="B38" s="971" t="n"/>
      <c r="C38" s="972" t="n"/>
      <c r="D38" s="973" t="n"/>
      <c r="E38" s="994" t="n"/>
      <c r="F38" s="994" t="n"/>
      <c r="G38" s="973" t="n"/>
      <c r="H38" s="994" t="n"/>
      <c r="I38" s="994" t="n"/>
      <c r="J38" s="973" t="n"/>
      <c r="K38" s="973" t="n"/>
      <c r="L38" s="253" t="n"/>
      <c r="M38" s="254" t="n"/>
      <c r="N38" s="254" t="n"/>
      <c r="O38" s="1183" t="n"/>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73" t="n"/>
      <c r="E39" s="994" t="n"/>
      <c r="F39" s="994" t="n"/>
      <c r="G39" s="973" t="n"/>
      <c r="H39" s="994" t="n"/>
      <c r="I39" s="994" t="n"/>
      <c r="J39" s="973" t="n"/>
      <c r="K39" s="973" t="n"/>
      <c r="L39" s="253" t="n"/>
      <c r="M39" s="254" t="n"/>
      <c r="N39" s="254" t="n"/>
      <c r="O39" s="1183" t="n"/>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inlineStr">
        <is>
          <t>NORTE DE SANTANDER</t>
        </is>
      </c>
    </row>
    <row r="40" ht="19.5" customHeight="1">
      <c r="A40" s="973" t="n"/>
      <c r="B40" s="971" t="n"/>
      <c r="C40" s="972" t="n"/>
      <c r="D40" s="973"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73"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inlineStr">
        <is>
          <t>PUTUMAYO</t>
        </is>
      </c>
    </row>
    <row r="42" ht="19.5" customHeight="1">
      <c r="A42" s="975" t="n"/>
      <c r="B42" s="1182" t="n"/>
      <c r="C42" s="1103" t="n"/>
      <c r="D42" s="975"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496">
        <f>SEPTIEMBRE!K43</f>
        <v/>
      </c>
      <c r="E43" s="731" t="n"/>
      <c r="F43" s="731" t="n"/>
      <c r="G43" s="730">
        <f>E43+F43</f>
        <v/>
      </c>
      <c r="H43" s="731" t="n"/>
      <c r="I43" s="731" t="n"/>
      <c r="J43" s="732">
        <f>AM43</f>
        <v/>
      </c>
      <c r="K43" s="706">
        <f>+(D43+G43)-(H43+I43+J43)</f>
        <v/>
      </c>
      <c r="L43" s="253" t="n"/>
      <c r="M43" s="254" t="n"/>
      <c r="N43" s="254" t="n"/>
      <c r="O43" s="1183" t="n"/>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inlineStr">
        <is>
          <t>NARIÑO</t>
        </is>
      </c>
    </row>
    <row r="44" ht="19.5" customHeight="1">
      <c r="A44" s="973" t="n"/>
      <c r="B44" s="971" t="n"/>
      <c r="C44" s="972" t="n"/>
      <c r="D44" s="973"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73"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inlineStr">
        <is>
          <t>NORTE DE SANTANDER</t>
        </is>
      </c>
    </row>
    <row r="46" ht="19.5" customHeight="1">
      <c r="A46" s="973" t="n"/>
      <c r="B46" s="971" t="n"/>
      <c r="C46" s="972" t="n"/>
      <c r="D46" s="973"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inlineStr">
        <is>
          <t>PUTUMAYO</t>
        </is>
      </c>
    </row>
    <row r="47" ht="19.5" customHeight="1">
      <c r="A47" s="973" t="n"/>
      <c r="B47" s="971" t="n"/>
      <c r="C47" s="972" t="n"/>
      <c r="D47" s="973"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inlineStr">
        <is>
          <t>QUINDIO</t>
        </is>
      </c>
    </row>
    <row r="48" ht="19.5" customHeight="1">
      <c r="A48" s="975" t="n"/>
      <c r="B48" s="1182" t="n"/>
      <c r="C48" s="1103" t="n"/>
      <c r="D48" s="975"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496">
        <f>SEPTIEMBRE!K49</f>
        <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inlineStr">
        <is>
          <t>NARIÑO</t>
        </is>
      </c>
    </row>
    <row r="50" ht="19.5" customHeight="1">
      <c r="A50" s="973" t="n"/>
      <c r="B50" s="971" t="n"/>
      <c r="C50" s="972" t="n"/>
      <c r="D50" s="973"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73"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inlineStr">
        <is>
          <t>NORTE DE SANTANDER</t>
        </is>
      </c>
    </row>
    <row r="52" ht="19.5" customHeight="1">
      <c r="A52" s="973" t="n"/>
      <c r="B52" s="971" t="n"/>
      <c r="C52" s="972" t="n"/>
      <c r="D52" s="973"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inlineStr">
        <is>
          <t>PUTUMAYO</t>
        </is>
      </c>
    </row>
    <row r="53" ht="19.5" customHeight="1">
      <c r="A53" s="973" t="n"/>
      <c r="B53" s="971" t="n"/>
      <c r="C53" s="972" t="n"/>
      <c r="D53" s="973"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inlineStr">
        <is>
          <t>QUINDIO</t>
        </is>
      </c>
    </row>
    <row r="54" ht="19.5" customHeight="1">
      <c r="A54" s="975" t="n"/>
      <c r="B54" s="1182" t="n"/>
      <c r="C54" s="1103" t="n"/>
      <c r="D54" s="975"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496">
        <f>SEPTIEMBRE!K55</f>
        <v/>
      </c>
      <c r="E55" s="731" t="n"/>
      <c r="F55" s="731" t="n"/>
      <c r="G55" s="730">
        <f>E55+F55</f>
        <v/>
      </c>
      <c r="H55" s="731" t="n"/>
      <c r="I55" s="731" t="n"/>
      <c r="J55" s="732">
        <f>AM55</f>
        <v/>
      </c>
      <c r="K55" s="738">
        <f>+(D55+G55)-(H55+I55+J55)</f>
        <v/>
      </c>
      <c r="L55" s="253" t="n"/>
      <c r="M55" s="254" t="n"/>
      <c r="N55" s="254" t="n"/>
      <c r="O55" s="1183" t="n"/>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inlineStr">
        <is>
          <t>SANTANDER</t>
        </is>
      </c>
    </row>
    <row r="56" ht="19.5" customHeight="1">
      <c r="A56" s="973" t="n"/>
      <c r="B56" s="971" t="n"/>
      <c r="C56" s="972" t="n"/>
      <c r="D56" s="973" t="n"/>
      <c r="E56" s="994" t="n"/>
      <c r="F56" s="994" t="n"/>
      <c r="G56" s="973" t="n"/>
      <c r="H56" s="994" t="n"/>
      <c r="I56" s="994" t="n"/>
      <c r="J56" s="973" t="n"/>
      <c r="K56" s="973" t="n"/>
      <c r="L56" s="253" t="n"/>
      <c r="M56" s="254" t="n"/>
      <c r="N56" s="254" t="n"/>
      <c r="O56" s="1183" t="n"/>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73"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inlineStr">
        <is>
          <t>SUCRE</t>
        </is>
      </c>
    </row>
    <row r="58" ht="19.5" customHeight="1">
      <c r="A58" s="973" t="n"/>
      <c r="B58" s="971" t="n"/>
      <c r="C58" s="972" t="n"/>
      <c r="D58" s="973"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inlineStr">
        <is>
          <t>TOLIMA</t>
        </is>
      </c>
    </row>
    <row r="59" ht="19.5" customHeight="1">
      <c r="A59" s="973" t="n"/>
      <c r="B59" s="971" t="n"/>
      <c r="C59" s="972" t="n"/>
      <c r="D59" s="973"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inlineStr">
        <is>
          <t>VALLE</t>
        </is>
      </c>
    </row>
    <row r="60" ht="19.5" customHeight="1">
      <c r="A60" s="975" t="n"/>
      <c r="B60" s="971" t="n"/>
      <c r="C60" s="972" t="n"/>
      <c r="D60" s="975"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496">
        <f>SEPTIEMBRE!K61</f>
        <v/>
      </c>
      <c r="E61" s="731" t="n"/>
      <c r="F61" s="731" t="n"/>
      <c r="G61" s="730">
        <f>E61+F61</f>
        <v/>
      </c>
      <c r="H61" s="731" t="n"/>
      <c r="I61" s="731" t="n"/>
      <c r="J61" s="732">
        <f>AM61</f>
        <v/>
      </c>
      <c r="K61" s="738">
        <f>+(D61+G61)-(H61+I61+J61)</f>
        <v/>
      </c>
      <c r="L61" s="253" t="n"/>
      <c r="M61" s="254" t="n"/>
      <c r="N61" s="254" t="n"/>
      <c r="O61" s="1183" t="n"/>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inlineStr">
        <is>
          <t>VICHADA</t>
        </is>
      </c>
    </row>
    <row r="62" ht="19.5" customHeight="1">
      <c r="A62" s="973" t="n"/>
      <c r="B62" s="971" t="n"/>
      <c r="C62" s="972" t="n"/>
      <c r="D62" s="973"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73"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73"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73"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75"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496">
        <f>SEPTIEMBRE!K67</f>
        <v/>
      </c>
      <c r="E67" s="731" t="n"/>
      <c r="F67" s="731" t="n"/>
      <c r="G67" s="730">
        <f>E67+F67</f>
        <v/>
      </c>
      <c r="H67" s="731" t="n"/>
      <c r="I67" s="731" t="n"/>
      <c r="J67" s="732">
        <f>AM67</f>
        <v/>
      </c>
      <c r="K67" s="738">
        <f>+(D67+G67)-(H67+I67+J67)</f>
        <v/>
      </c>
      <c r="L67" s="253" t="n"/>
      <c r="M67" s="254" t="n"/>
      <c r="N67" s="254" t="n"/>
      <c r="O67" s="1183" t="n"/>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73" t="n"/>
      <c r="E68" s="994" t="n"/>
      <c r="F68" s="994" t="n"/>
      <c r="G68" s="973" t="n"/>
      <c r="H68" s="994" t="n"/>
      <c r="I68" s="994" t="n"/>
      <c r="J68" s="973" t="n"/>
      <c r="K68" s="973" t="n"/>
      <c r="L68" s="253" t="n"/>
      <c r="M68" s="254" t="n"/>
      <c r="N68" s="254" t="n"/>
      <c r="O68" s="1183" t="n"/>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73" t="n"/>
      <c r="E69" s="994" t="n"/>
      <c r="F69" s="994" t="n"/>
      <c r="G69" s="973" t="n"/>
      <c r="H69" s="994" t="n"/>
      <c r="I69" s="994" t="n"/>
      <c r="J69" s="973" t="n"/>
      <c r="K69" s="973" t="n"/>
      <c r="L69" s="253" t="n"/>
      <c r="M69" s="254" t="n"/>
      <c r="N69" s="254" t="n"/>
      <c r="O69" s="1183" t="n"/>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73"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73"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75"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496">
        <f>SEPTIEMBRE!K73</f>
        <v/>
      </c>
      <c r="E73" s="731" t="n"/>
      <c r="F73" s="731" t="n"/>
      <c r="G73" s="730">
        <f>E73+F73</f>
        <v/>
      </c>
      <c r="H73" s="731" t="n"/>
      <c r="I73" s="731" t="n"/>
      <c r="J73" s="732">
        <f>AM73</f>
        <v/>
      </c>
      <c r="K73" s="738">
        <f>+(D73+G73)-(H73+I73+J73)</f>
        <v/>
      </c>
      <c r="L73" s="253" t="n"/>
      <c r="M73" s="254" t="n"/>
      <c r="N73" s="254" t="n"/>
      <c r="O73" s="1183" t="n"/>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73" t="n"/>
      <c r="E74" s="994" t="n"/>
      <c r="F74" s="994" t="n"/>
      <c r="G74" s="973" t="n"/>
      <c r="H74" s="994" t="n"/>
      <c r="I74" s="994" t="n"/>
      <c r="J74" s="973" t="n"/>
      <c r="K74" s="973" t="n"/>
      <c r="L74" s="253" t="n"/>
      <c r="M74" s="254" t="n"/>
      <c r="N74" s="254" t="n"/>
      <c r="O74" s="1183" t="n"/>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73" t="n"/>
      <c r="E75" s="994" t="n"/>
      <c r="F75" s="994" t="n"/>
      <c r="G75" s="973" t="n"/>
      <c r="H75" s="994" t="n"/>
      <c r="I75" s="994" t="n"/>
      <c r="J75" s="973" t="n"/>
      <c r="K75" s="973" t="n"/>
      <c r="L75" s="253" t="n"/>
      <c r="M75" s="254" t="n"/>
      <c r="N75" s="254" t="n"/>
      <c r="O75" s="1183" t="n"/>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73"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73"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75"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496">
        <f>SEPTIEMBRE!K79</f>
        <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73"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73"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73"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73"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75"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496">
        <f>SEPTIEMBRE!K85</f>
        <v/>
      </c>
      <c r="E85" s="731" t="n"/>
      <c r="F85" s="731" t="n"/>
      <c r="G85" s="730">
        <f>E85+F85</f>
        <v/>
      </c>
      <c r="H85" s="731" t="n"/>
      <c r="I85" s="731" t="n"/>
      <c r="J85" s="732">
        <f>AM85</f>
        <v/>
      </c>
      <c r="K85" s="738">
        <f>+(D85+G85)-(H85+I85+J85)</f>
        <v/>
      </c>
      <c r="L85" s="253" t="n"/>
      <c r="M85" s="254" t="n"/>
      <c r="N85" s="254" t="n"/>
      <c r="O85" s="1183" t="n"/>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73" t="n"/>
      <c r="E86" s="994" t="n"/>
      <c r="F86" s="994" t="n"/>
      <c r="G86" s="973" t="n"/>
      <c r="H86" s="994" t="n"/>
      <c r="I86" s="994" t="n"/>
      <c r="J86" s="973" t="n"/>
      <c r="K86" s="973" t="n"/>
      <c r="L86" s="253" t="n"/>
      <c r="M86" s="254" t="n"/>
      <c r="N86" s="254" t="n"/>
      <c r="O86" s="1183" t="n"/>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73" t="n"/>
      <c r="E87" s="994" t="n"/>
      <c r="F87" s="994" t="n"/>
      <c r="G87" s="973" t="n"/>
      <c r="H87" s="994" t="n"/>
      <c r="I87" s="994" t="n"/>
      <c r="J87" s="973" t="n"/>
      <c r="K87" s="973" t="n"/>
      <c r="L87" s="253" t="n"/>
      <c r="M87" s="254" t="n"/>
      <c r="N87" s="254" t="n"/>
      <c r="O87" s="1183" t="n"/>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73" t="n"/>
      <c r="E88" s="994" t="n"/>
      <c r="F88" s="994" t="n"/>
      <c r="G88" s="973" t="n"/>
      <c r="H88" s="994" t="n"/>
      <c r="I88" s="994" t="n"/>
      <c r="J88" s="973" t="n"/>
      <c r="K88" s="973" t="n"/>
      <c r="L88" s="253" t="n"/>
      <c r="M88" s="254" t="n"/>
      <c r="N88" s="254" t="n"/>
      <c r="O88" s="1183" t="n"/>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73"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75"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496">
        <f>SEPTIEMBRE!K91</f>
        <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73"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73"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73"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73"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75"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496">
        <f>SEPTIEMBRE!K97</f>
        <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73"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73"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73"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73"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75"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496">
        <f>SEPTIEMBRE!K103</f>
        <v/>
      </c>
      <c r="E103" s="731" t="n"/>
      <c r="F103" s="731" t="n"/>
      <c r="G103" s="730">
        <f>E103+F103</f>
        <v/>
      </c>
      <c r="H103" s="731" t="n"/>
      <c r="I103" s="731" t="n"/>
      <c r="J103" s="732">
        <f>AM103</f>
        <v/>
      </c>
      <c r="K103" s="738">
        <f>+(D103+G103)-(H103+I103+J103)</f>
        <v/>
      </c>
      <c r="L103" s="253" t="n"/>
      <c r="M103" s="254" t="n"/>
      <c r="N103" s="254" t="n"/>
      <c r="O103" s="1183" t="n"/>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73" t="n"/>
      <c r="E104" s="994" t="n"/>
      <c r="F104" s="994" t="n"/>
      <c r="G104" s="973" t="n"/>
      <c r="H104" s="994" t="n"/>
      <c r="I104" s="994" t="n"/>
      <c r="J104" s="973" t="n"/>
      <c r="K104" s="973" t="n"/>
      <c r="L104" s="253" t="n"/>
      <c r="M104" s="254" t="n"/>
      <c r="N104" s="254" t="n"/>
      <c r="O104" s="1183" t="n"/>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73"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73"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73"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75"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496">
        <f>SEPTIEMBRE!K109</f>
        <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73"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73"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73"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73"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75"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496">
        <f>SEPTIEMBRE!K115</f>
        <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73"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73"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73"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73"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75"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496">
        <f>SEPTIEMBRE!K121</f>
        <v/>
      </c>
      <c r="E121" s="731" t="n"/>
      <c r="F121" s="731" t="n"/>
      <c r="G121" s="730">
        <f>E121+F121</f>
        <v/>
      </c>
      <c r="H121" s="731" t="n"/>
      <c r="I121" s="731" t="n"/>
      <c r="J121" s="732">
        <f>AM121</f>
        <v/>
      </c>
      <c r="K121" s="738">
        <f>+(D121+G121)-(H121+I121+J121)</f>
        <v/>
      </c>
      <c r="L121" s="253" t="n"/>
      <c r="M121" s="254" t="n"/>
      <c r="N121" s="254" t="n"/>
      <c r="O121" s="1183" t="n"/>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73" t="n"/>
      <c r="E122" s="994" t="n"/>
      <c r="F122" s="994" t="n"/>
      <c r="G122" s="973" t="n"/>
      <c r="H122" s="994" t="n"/>
      <c r="I122" s="994" t="n"/>
      <c r="J122" s="973" t="n"/>
      <c r="K122" s="973" t="n"/>
      <c r="L122" s="253" t="n"/>
      <c r="M122" s="254" t="n"/>
      <c r="N122" s="254" t="n"/>
      <c r="O122" s="1183" t="n"/>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73" t="n"/>
      <c r="E123" s="994" t="n"/>
      <c r="F123" s="994" t="n"/>
      <c r="G123" s="973" t="n"/>
      <c r="H123" s="994" t="n"/>
      <c r="I123" s="994" t="n"/>
      <c r="J123" s="973" t="n"/>
      <c r="K123" s="973" t="n"/>
      <c r="L123" s="253" t="n"/>
      <c r="M123" s="254" t="n"/>
      <c r="N123" s="254" t="n"/>
      <c r="O123" s="1183" t="n"/>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73"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73"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75"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496">
        <f>SEPTIEMBRE!K127</f>
        <v/>
      </c>
      <c r="E127" s="731" t="n"/>
      <c r="F127" s="731" t="n"/>
      <c r="G127" s="730">
        <f>E127+F127</f>
        <v/>
      </c>
      <c r="H127" s="731" t="n"/>
      <c r="I127" s="731" t="n"/>
      <c r="J127" s="732">
        <f>AM127</f>
        <v/>
      </c>
      <c r="K127" s="738">
        <f>+(D127+G127)-(H127+I127+J127)</f>
        <v/>
      </c>
      <c r="L127" s="253" t="n"/>
      <c r="M127" s="254" t="n"/>
      <c r="N127" s="254" t="n"/>
      <c r="O127" s="1183" t="n"/>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73" t="n"/>
      <c r="E128" s="994" t="n"/>
      <c r="F128" s="994" t="n"/>
      <c r="G128" s="973" t="n"/>
      <c r="H128" s="994" t="n"/>
      <c r="I128" s="994" t="n"/>
      <c r="J128" s="973" t="n"/>
      <c r="K128" s="973" t="n"/>
      <c r="L128" s="253" t="n"/>
      <c r="M128" s="254" t="n"/>
      <c r="N128" s="254" t="n"/>
      <c r="O128" s="1183" t="n"/>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73" t="n"/>
      <c r="E129" s="994" t="n"/>
      <c r="F129" s="994" t="n"/>
      <c r="G129" s="973" t="n"/>
      <c r="H129" s="994" t="n"/>
      <c r="I129" s="994" t="n"/>
      <c r="J129" s="973" t="n"/>
      <c r="K129" s="973" t="n"/>
      <c r="L129" s="253" t="n"/>
      <c r="M129" s="254" t="n"/>
      <c r="N129" s="254" t="n"/>
      <c r="O129" s="1183" t="n"/>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73"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73"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75"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496">
        <f>SEPTIEMBRE!K133</f>
        <v/>
      </c>
      <c r="E133" s="731" t="n"/>
      <c r="F133" s="731" t="n"/>
      <c r="G133" s="730">
        <f>E133+F133</f>
        <v/>
      </c>
      <c r="H133" s="731" t="n"/>
      <c r="I133" s="731" t="n"/>
      <c r="J133" s="732">
        <f>AM133</f>
        <v/>
      </c>
      <c r="K133" s="738">
        <f>+(D133+G133)-(H133+I133+J133)</f>
        <v/>
      </c>
      <c r="L133" s="253" t="n"/>
      <c r="M133" s="254" t="n"/>
      <c r="N133" s="254" t="n"/>
      <c r="O133" s="1183" t="n"/>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73" t="n"/>
      <c r="E134" s="994" t="n"/>
      <c r="F134" s="994" t="n"/>
      <c r="G134" s="973" t="n"/>
      <c r="H134" s="994" t="n"/>
      <c r="I134" s="994" t="n"/>
      <c r="J134" s="973" t="n"/>
      <c r="K134" s="973" t="n"/>
      <c r="L134" s="253" t="n"/>
      <c r="M134" s="254" t="n"/>
      <c r="N134" s="254" t="n"/>
      <c r="O134" s="1183" t="n"/>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73" t="n"/>
      <c r="E135" s="994" t="n"/>
      <c r="F135" s="994" t="n"/>
      <c r="G135" s="973" t="n"/>
      <c r="H135" s="994" t="n"/>
      <c r="I135" s="994" t="n"/>
      <c r="J135" s="973" t="n"/>
      <c r="K135" s="973" t="n"/>
      <c r="L135" s="253" t="n"/>
      <c r="M135" s="254" t="n"/>
      <c r="N135" s="254" t="n"/>
      <c r="O135" s="1183" t="n"/>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73"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73"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75"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496">
        <f>SEPTIEMBRE!K139</f>
        <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73"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73"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73"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73"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75"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496">
        <f>SEPTIEMBRE!K145</f>
        <v/>
      </c>
      <c r="E145" s="731" t="n"/>
      <c r="F145" s="731" t="n"/>
      <c r="G145" s="730">
        <f>E145+F145</f>
        <v/>
      </c>
      <c r="H145" s="731" t="n"/>
      <c r="I145" s="731" t="n"/>
      <c r="J145" s="732">
        <f>AM145</f>
        <v/>
      </c>
      <c r="K145" s="738">
        <f>+(D145+G145)-(H145+I145+J145)</f>
        <v/>
      </c>
      <c r="L145" s="253" t="n"/>
      <c r="M145" s="254" t="n"/>
      <c r="N145" s="254" t="n"/>
      <c r="O145" s="1183" t="n"/>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73" t="n"/>
      <c r="E146" s="994" t="n"/>
      <c r="F146" s="994" t="n"/>
      <c r="G146" s="973" t="n"/>
      <c r="H146" s="994" t="n"/>
      <c r="I146" s="994" t="n"/>
      <c r="J146" s="973" t="n"/>
      <c r="K146" s="973" t="n"/>
      <c r="L146" s="253" t="n"/>
      <c r="M146" s="254" t="n"/>
      <c r="N146" s="254" t="n"/>
      <c r="O146" s="1183" t="n"/>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73"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73"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73"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75"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496">
        <f>SEPTIEMBRE!K151</f>
        <v/>
      </c>
      <c r="E151" s="731" t="n"/>
      <c r="F151" s="731" t="n"/>
      <c r="G151" s="730">
        <f>E151+F151</f>
        <v/>
      </c>
      <c r="H151" s="731" t="n"/>
      <c r="I151" s="731" t="n"/>
      <c r="J151" s="732">
        <f>AM151</f>
        <v/>
      </c>
      <c r="K151" s="738">
        <f>+(D151+G151)-(H151+I151+J151)</f>
        <v/>
      </c>
      <c r="L151" s="253" t="n"/>
      <c r="M151" s="254" t="n"/>
      <c r="N151" s="254" t="n"/>
      <c r="O151" s="1183" t="n"/>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73" t="n"/>
      <c r="E152" s="994" t="n"/>
      <c r="F152" s="994" t="n"/>
      <c r="G152" s="973" t="n"/>
      <c r="H152" s="994" t="n"/>
      <c r="I152" s="994" t="n"/>
      <c r="J152" s="973" t="n"/>
      <c r="K152" s="973" t="n"/>
      <c r="L152" s="253" t="n"/>
      <c r="M152" s="254" t="n"/>
      <c r="N152" s="254" t="n"/>
      <c r="O152" s="1183" t="n"/>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73"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73"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73"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75"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496">
        <f>SEPTIEMBRE!K157</f>
        <v/>
      </c>
      <c r="E157" s="731" t="n"/>
      <c r="F157" s="731" t="n"/>
      <c r="G157" s="730">
        <f>E157+F157</f>
        <v/>
      </c>
      <c r="H157" s="731" t="n"/>
      <c r="I157" s="731" t="n"/>
      <c r="J157" s="732">
        <f>AM157</f>
        <v/>
      </c>
      <c r="K157" s="738">
        <f>+(D157+G157)-(H157+I157+J157)</f>
        <v/>
      </c>
      <c r="L157" s="253" t="n"/>
      <c r="M157" s="254" t="n"/>
      <c r="N157" s="254" t="n"/>
      <c r="O157" s="1183" t="n"/>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73"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73"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73"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73"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75"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496">
        <f>SEPTIEMBRE!K163</f>
        <v/>
      </c>
      <c r="E163" s="731" t="n"/>
      <c r="F163" s="731" t="n"/>
      <c r="G163" s="730">
        <f>E163+F163</f>
        <v/>
      </c>
      <c r="H163" s="731" t="n"/>
      <c r="I163" s="731" t="n"/>
      <c r="J163" s="732">
        <f>AM163</f>
        <v/>
      </c>
      <c r="K163" s="738">
        <f>+(D163+G163)-(H163+I163+J163)</f>
        <v/>
      </c>
      <c r="L163" s="253" t="n"/>
      <c r="M163" s="254" t="n"/>
      <c r="N163" s="254" t="n"/>
      <c r="O163" s="1183" t="n"/>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73" t="n"/>
      <c r="E164" s="994" t="n"/>
      <c r="F164" s="994" t="n"/>
      <c r="G164" s="973" t="n"/>
      <c r="H164" s="994" t="n"/>
      <c r="I164" s="994" t="n"/>
      <c r="J164" s="973" t="n"/>
      <c r="K164" s="973" t="n"/>
      <c r="L164" s="253" t="n"/>
      <c r="M164" s="254" t="n"/>
      <c r="N164" s="254" t="n"/>
      <c r="O164" s="1183" t="n"/>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73" t="n"/>
      <c r="E165" s="994" t="n"/>
      <c r="F165" s="994" t="n"/>
      <c r="G165" s="973" t="n"/>
      <c r="H165" s="994" t="n"/>
      <c r="I165" s="994" t="n"/>
      <c r="J165" s="973" t="n"/>
      <c r="K165" s="973" t="n"/>
      <c r="L165" s="253" t="n"/>
      <c r="M165" s="254" t="n"/>
      <c r="N165" s="254" t="n"/>
      <c r="O165" s="1183" t="n"/>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73"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73"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75"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496">
        <f>SEPTIEMBRE!K169</f>
        <v/>
      </c>
      <c r="E169" s="731" t="n"/>
      <c r="F169" s="731" t="n"/>
      <c r="G169" s="730">
        <f>E169+F169</f>
        <v/>
      </c>
      <c r="H169" s="731" t="n"/>
      <c r="I169" s="731" t="n"/>
      <c r="J169" s="732">
        <f>AM169</f>
        <v/>
      </c>
      <c r="K169" s="738">
        <f>+(D169+G169)-(H169+I169+J169)</f>
        <v/>
      </c>
      <c r="L169" s="253" t="n"/>
      <c r="M169" s="254" t="n"/>
      <c r="N169" s="254" t="n"/>
      <c r="O169" s="1183" t="n"/>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73" t="n"/>
      <c r="E170" s="994" t="n"/>
      <c r="F170" s="994" t="n"/>
      <c r="G170" s="973" t="n"/>
      <c r="H170" s="994" t="n"/>
      <c r="I170" s="994" t="n"/>
      <c r="J170" s="973" t="n"/>
      <c r="K170" s="973" t="n"/>
      <c r="L170" s="253" t="n"/>
      <c r="M170" s="254"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73"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73"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73"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75"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496">
        <f>SEPTIEMBRE!K175</f>
        <v/>
      </c>
      <c r="E175" s="731" t="n"/>
      <c r="F175" s="731" t="n"/>
      <c r="G175" s="730">
        <f>E175+F175</f>
        <v/>
      </c>
      <c r="H175" s="731" t="n"/>
      <c r="I175" s="731" t="n"/>
      <c r="J175" s="732">
        <f>AM175</f>
        <v/>
      </c>
      <c r="K175" s="738">
        <f>+(D175+G175)-(H175+I175+J175)</f>
        <v/>
      </c>
      <c r="L175" s="253" t="n"/>
      <c r="M175" s="254" t="n"/>
      <c r="N175" s="254" t="n"/>
      <c r="O175" s="1183" t="n"/>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73" t="n"/>
      <c r="E176" s="994" t="n"/>
      <c r="F176" s="994" t="n"/>
      <c r="G176" s="973" t="n"/>
      <c r="H176" s="994" t="n"/>
      <c r="I176" s="994" t="n"/>
      <c r="J176" s="973" t="n"/>
      <c r="K176" s="973" t="n"/>
      <c r="L176" s="253" t="n"/>
      <c r="M176" s="254" t="n"/>
      <c r="N176" s="254" t="n"/>
      <c r="O176" s="1183" t="n"/>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73" t="n"/>
      <c r="E177" s="994" t="n"/>
      <c r="F177" s="994" t="n"/>
      <c r="G177" s="973" t="n"/>
      <c r="H177" s="994" t="n"/>
      <c r="I177" s="994" t="n"/>
      <c r="J177" s="973" t="n"/>
      <c r="K177" s="973" t="n"/>
      <c r="L177" s="253" t="n"/>
      <c r="M177" s="254" t="n"/>
      <c r="N177" s="254" t="n"/>
      <c r="O177" s="1183" t="n"/>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73"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73"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75"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496">
        <f>SEPTIEMBRE!K181</f>
        <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73"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73"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73"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73"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75"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496">
        <f>SEPTIEMBRE!K187</f>
        <v/>
      </c>
      <c r="E187" s="731" t="n"/>
      <c r="F187" s="731" t="n"/>
      <c r="G187" s="730">
        <f>E187+F187</f>
        <v/>
      </c>
      <c r="H187" s="731" t="n"/>
      <c r="I187" s="731" t="n"/>
      <c r="J187" s="732">
        <f>AM187</f>
        <v/>
      </c>
      <c r="K187" s="738">
        <f>+(D187+G187)-(H187+I187+J187)</f>
        <v/>
      </c>
      <c r="L187" s="253" t="n"/>
      <c r="M187" s="254" t="n"/>
      <c r="N187" s="254" t="n"/>
      <c r="O187" s="1183" t="n"/>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73" t="n"/>
      <c r="E188" s="994" t="n"/>
      <c r="F188" s="994" t="n"/>
      <c r="G188" s="973" t="n"/>
      <c r="H188" s="994" t="n"/>
      <c r="I188" s="994" t="n"/>
      <c r="J188" s="973" t="n"/>
      <c r="K188" s="973" t="n"/>
      <c r="L188" s="253" t="n"/>
      <c r="M188" s="254" t="n"/>
      <c r="N188" s="254" t="n"/>
      <c r="O188" s="1183" t="n"/>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73"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73"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73"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75"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496">
        <f>SEPTIEMBRE!K193</f>
        <v/>
      </c>
      <c r="E193" s="731" t="n"/>
      <c r="F193" s="731" t="n"/>
      <c r="G193" s="730">
        <f>E193+F193</f>
        <v/>
      </c>
      <c r="H193" s="731" t="n"/>
      <c r="I193" s="731" t="n"/>
      <c r="J193" s="732">
        <f>AM193</f>
        <v/>
      </c>
      <c r="K193" s="738">
        <f>+(D193+G193)-(H193+I193+J193)</f>
        <v/>
      </c>
      <c r="L193" s="253" t="n"/>
      <c r="M193" s="254" t="n"/>
      <c r="N193" s="254" t="n"/>
      <c r="O193" s="1183" t="n"/>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73"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73"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73"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73"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75"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496">
        <f>SEPTIEMBRE!K199</f>
        <v/>
      </c>
      <c r="E199" s="731" t="n"/>
      <c r="F199" s="731" t="n"/>
      <c r="G199" s="730">
        <f>E199+F199</f>
        <v/>
      </c>
      <c r="H199" s="731" t="n"/>
      <c r="I199" s="731" t="n"/>
      <c r="J199" s="732">
        <f>AM199</f>
        <v/>
      </c>
      <c r="K199" s="738">
        <f>+(D199+G199)-(H199+I199+J199)</f>
        <v/>
      </c>
      <c r="L199" s="253" t="n"/>
      <c r="M199" s="254" t="n"/>
      <c r="N199" s="254" t="n"/>
      <c r="O199" s="1183" t="n"/>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73" t="n"/>
      <c r="E200" s="994" t="n"/>
      <c r="F200" s="994" t="n"/>
      <c r="G200" s="973" t="n"/>
      <c r="H200" s="994" t="n"/>
      <c r="I200" s="994" t="n"/>
      <c r="J200" s="973" t="n"/>
      <c r="K200" s="973" t="n"/>
      <c r="L200" s="253" t="n"/>
      <c r="M200" s="254" t="n"/>
      <c r="N200" s="254" t="n"/>
      <c r="O200" s="1183" t="n"/>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73"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73"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73"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75"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496">
        <f>SEPTIEMBRE!K205</f>
        <v/>
      </c>
      <c r="E205" s="731" t="n"/>
      <c r="F205" s="731" t="n"/>
      <c r="G205" s="730">
        <f>E205+F205</f>
        <v/>
      </c>
      <c r="H205" s="731" t="n"/>
      <c r="I205" s="731" t="n"/>
      <c r="J205" s="732">
        <f>AM205</f>
        <v/>
      </c>
      <c r="K205" s="738">
        <f>+(D205+G205)-(H205+I205+J205)</f>
        <v/>
      </c>
      <c r="L205" s="253" t="n"/>
      <c r="M205" s="254" t="n"/>
      <c r="N205" s="254" t="n"/>
      <c r="O205" s="1183" t="n"/>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73"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73"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73"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73"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75"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496">
        <f>SEPTIEMBRE!K211</f>
        <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73"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73"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73"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73"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75"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496">
        <f>SEPTIEMBRE!K217</f>
        <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73"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73"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73"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73"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75"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496">
        <f>SEPTIEMBRE!K223</f>
        <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73"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73"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73"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73"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75"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496">
        <f>SEPTIEMBRE!K230</f>
        <v/>
      </c>
      <c r="E230" s="731" t="n"/>
      <c r="F230" s="731" t="n"/>
      <c r="G230" s="730">
        <f>E230+F230</f>
        <v/>
      </c>
      <c r="H230" s="731" t="n"/>
      <c r="I230" s="731" t="n"/>
      <c r="J230" s="732">
        <f>AM230</f>
        <v/>
      </c>
      <c r="K230" s="738">
        <f>+(D230+G230)-(H230+I230+J230)</f>
        <v/>
      </c>
      <c r="L230" s="253" t="n"/>
      <c r="M230" s="254" t="n"/>
      <c r="N230" s="254" t="n"/>
      <c r="O230" s="1183" t="n"/>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73" t="n"/>
      <c r="E231" s="994" t="n"/>
      <c r="F231" s="994" t="n"/>
      <c r="G231" s="973" t="n"/>
      <c r="H231" s="994" t="n"/>
      <c r="I231" s="994" t="n"/>
      <c r="J231" s="973" t="n"/>
      <c r="K231" s="973" t="n"/>
      <c r="L231" s="253" t="n"/>
      <c r="M231" s="254" t="n"/>
      <c r="N231" s="254" t="n"/>
      <c r="O231" s="1183" t="n"/>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73" t="n"/>
      <c r="E232" s="994" t="n"/>
      <c r="F232" s="994" t="n"/>
      <c r="G232" s="973" t="n"/>
      <c r="H232" s="994" t="n"/>
      <c r="I232" s="994" t="n"/>
      <c r="J232" s="973" t="n"/>
      <c r="K232" s="973" t="n"/>
      <c r="L232" s="253" t="n"/>
      <c r="M232" s="254" t="n"/>
      <c r="N232" s="254" t="n"/>
      <c r="O232" s="1183" t="n"/>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73"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73"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75" t="n"/>
      <c r="E235" s="998" t="n"/>
      <c r="F235" s="998" t="n"/>
      <c r="G235" s="975" t="n"/>
      <c r="H235" s="998" t="n"/>
      <c r="I235" s="998" t="n"/>
      <c r="J235" s="975" t="n"/>
      <c r="K235" s="1189">
        <f>K230=L235</f>
        <v/>
      </c>
      <c r="L235" s="491">
        <f>SUM(L230:L234)</f>
        <v/>
      </c>
      <c r="M235" s="1190" t="inlineStr">
        <is>
          <t xml:space="preserve">“Verdadero” indica que la cantidad por lote, coincide con el saldo que inicia al mes siguiente. "Falso" no coinicide. </t>
        </is>
      </c>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496">
        <f>SEPTIEMBRE!K236</f>
        <v/>
      </c>
      <c r="E236" s="731" t="n"/>
      <c r="F236" s="731" t="n"/>
      <c r="G236" s="730">
        <f>E236+F236</f>
        <v/>
      </c>
      <c r="H236" s="731" t="n"/>
      <c r="I236" s="731" t="n"/>
      <c r="J236" s="732">
        <f>AM236</f>
        <v/>
      </c>
      <c r="K236" s="738">
        <f>+(D236+G236)-(H236+I236+J236)</f>
        <v/>
      </c>
      <c r="L236" s="253" t="n"/>
      <c r="M236" s="254" t="n"/>
      <c r="N236" s="254" t="n"/>
      <c r="O236" s="1183" t="n"/>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73" t="n"/>
      <c r="E237" s="994" t="n"/>
      <c r="F237" s="994" t="n"/>
      <c r="G237" s="973" t="n"/>
      <c r="H237" s="994" t="n"/>
      <c r="I237" s="994" t="n"/>
      <c r="J237" s="973" t="n"/>
      <c r="K237" s="973" t="n"/>
      <c r="L237" s="253" t="n"/>
      <c r="M237" s="254" t="n"/>
      <c r="N237" s="254" t="n"/>
      <c r="O237" s="1183" t="n"/>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73" t="n"/>
      <c r="E238" s="994" t="n"/>
      <c r="F238" s="994" t="n"/>
      <c r="G238" s="973" t="n"/>
      <c r="H238" s="994" t="n"/>
      <c r="I238" s="994" t="n"/>
      <c r="J238" s="973" t="n"/>
      <c r="K238" s="973" t="n"/>
      <c r="L238" s="253" t="n"/>
      <c r="M238" s="254" t="n"/>
      <c r="N238" s="254" t="n"/>
      <c r="O238" s="1183" t="n"/>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73"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73"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75" t="n"/>
      <c r="E241" s="998" t="n"/>
      <c r="F241" s="998" t="n"/>
      <c r="G241" s="975" t="n"/>
      <c r="H241" s="998" t="n"/>
      <c r="I241" s="998" t="n"/>
      <c r="J241" s="975" t="n"/>
      <c r="K241" s="1189">
        <f>K236=L241</f>
        <v/>
      </c>
      <c r="L241" s="491">
        <f>SUM(L236:L240)</f>
        <v/>
      </c>
      <c r="M241" s="1190" t="inlineStr">
        <is>
          <t xml:space="preserve">“Verdadero” indica que la cantidad por lote, coincide con el saldo que inicia al mes siguiente. "Falso" no coinicide. </t>
        </is>
      </c>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496">
        <f>SEPTIEMBRE!K242</f>
        <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73"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73"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73"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73"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75" t="n"/>
      <c r="E247" s="998" t="n"/>
      <c r="F247" s="998" t="n"/>
      <c r="G247" s="975" t="n"/>
      <c r="H247" s="998" t="n"/>
      <c r="I247" s="998" t="n"/>
      <c r="J247" s="975" t="n"/>
      <c r="K247" s="1189">
        <f>K242=L247</f>
        <v/>
      </c>
      <c r="L247" s="491">
        <f>SUM(L242:L246)</f>
        <v/>
      </c>
      <c r="M247" s="1190" t="inlineStr">
        <is>
          <t xml:space="preserve">“Verdadero” indica que la cantidad por lote, coincide con el saldo que inicia al mes siguiente. "Falso" no coinicide. </t>
        </is>
      </c>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496">
        <f>SEPTIEMBRE!K248</f>
        <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73"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73"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73"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73"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75" t="n"/>
      <c r="E253" s="998" t="n"/>
      <c r="F253" s="998" t="n"/>
      <c r="G253" s="975" t="n"/>
      <c r="H253" s="998" t="n"/>
      <c r="I253" s="998" t="n"/>
      <c r="J253" s="975" t="n"/>
      <c r="K253" s="1189">
        <f>K248=L253</f>
        <v/>
      </c>
      <c r="L253" s="491">
        <f>SUM(L248:L252)</f>
        <v/>
      </c>
      <c r="M253" s="1190" t="inlineStr">
        <is>
          <t xml:space="preserve">“Verdadero” indica que la cantidad por lote, coincide con el saldo que inicia al mes siguiente. "Falso" no coinicide. </t>
        </is>
      </c>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496">
        <f>SEPTIEMBRE!K254</f>
        <v/>
      </c>
      <c r="E254" s="731" t="n"/>
      <c r="F254" s="731" t="n"/>
      <c r="G254" s="730">
        <f>E254+F254</f>
        <v/>
      </c>
      <c r="H254" s="731" t="n"/>
      <c r="I254" s="731" t="n"/>
      <c r="J254" s="732">
        <f>AM254</f>
        <v/>
      </c>
      <c r="K254" s="738">
        <f>+(D254+G254)-(H254+I254+J254)</f>
        <v/>
      </c>
      <c r="L254" s="253" t="n"/>
      <c r="M254" s="254" t="n"/>
      <c r="N254" s="254" t="n"/>
      <c r="O254" s="1183" t="n"/>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73" t="n"/>
      <c r="E255" s="994" t="n"/>
      <c r="F255" s="994" t="n"/>
      <c r="G255" s="973" t="n"/>
      <c r="H255" s="994" t="n"/>
      <c r="I255" s="994" t="n"/>
      <c r="J255" s="973" t="n"/>
      <c r="K255" s="973" t="n"/>
      <c r="L255" s="253" t="n"/>
      <c r="M255" s="254" t="n"/>
      <c r="N255" s="254" t="n"/>
      <c r="O255" s="1183" t="n"/>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73" t="n"/>
      <c r="E256" s="994" t="n"/>
      <c r="F256" s="994" t="n"/>
      <c r="G256" s="973" t="n"/>
      <c r="H256" s="994" t="n"/>
      <c r="I256" s="994" t="n"/>
      <c r="J256" s="973" t="n"/>
      <c r="K256" s="973" t="n"/>
      <c r="L256" s="253" t="n"/>
      <c r="M256" s="254" t="n"/>
      <c r="N256" s="254" t="n"/>
      <c r="O256" s="1183" t="n"/>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73" t="n"/>
      <c r="E257" s="994" t="n"/>
      <c r="F257" s="994" t="n"/>
      <c r="G257" s="973" t="n"/>
      <c r="H257" s="994" t="n"/>
      <c r="I257" s="994" t="n"/>
      <c r="J257" s="973" t="n"/>
      <c r="K257" s="973" t="n"/>
      <c r="L257" s="253" t="n"/>
      <c r="M257" s="254" t="n"/>
      <c r="N257" s="254" t="n"/>
      <c r="O257" s="1183" t="n"/>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73"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75" t="n"/>
      <c r="E259" s="998" t="n"/>
      <c r="F259" s="998" t="n"/>
      <c r="G259" s="975" t="n"/>
      <c r="H259" s="998" t="n"/>
      <c r="I259" s="998" t="n"/>
      <c r="J259" s="975" t="n"/>
      <c r="K259" s="1189">
        <f>K254=L259</f>
        <v/>
      </c>
      <c r="L259" s="491">
        <f>SUM(L254:L258)</f>
        <v/>
      </c>
      <c r="M259" s="1190" t="inlineStr">
        <is>
          <t xml:space="preserve">“Verdadero” indica que la cantidad por lote, coincide con el saldo que inicia al mes siguiente. "Falso" no coinicide. </t>
        </is>
      </c>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496">
        <f>SEPTIEMBRE!K260</f>
        <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73"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73"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73"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73"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75" t="n"/>
      <c r="E265" s="998" t="n"/>
      <c r="F265" s="998" t="n"/>
      <c r="G265" s="975" t="n"/>
      <c r="H265" s="998" t="n"/>
      <c r="I265" s="998" t="n"/>
      <c r="J265" s="975" t="n"/>
      <c r="K265" s="1189">
        <f>K260=L265</f>
        <v/>
      </c>
      <c r="L265" s="491">
        <f>SUM(L260:L264)</f>
        <v/>
      </c>
      <c r="M265" s="1190" t="inlineStr">
        <is>
          <t xml:space="preserve">“Verdadero” indica que la cantidad por lote, coincide con el saldo que inicia al mes siguiente. "Falso" no coinicide. </t>
        </is>
      </c>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496">
        <f>SEPTIEMBRE!K266</f>
        <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73"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73"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73"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73"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75" t="n"/>
      <c r="E271" s="998" t="n"/>
      <c r="F271" s="998" t="n"/>
      <c r="G271" s="975" t="n"/>
      <c r="H271" s="998" t="n"/>
      <c r="I271" s="998" t="n"/>
      <c r="J271" s="975" t="n"/>
      <c r="K271" s="1189">
        <f>K266=L271</f>
        <v/>
      </c>
      <c r="L271" s="491">
        <f>SUM(L266:L270)</f>
        <v/>
      </c>
      <c r="M271" s="1190" t="inlineStr">
        <is>
          <t xml:space="preserve">“Verdadero” indica que la cantidad por lote, coincide con el saldo que inicia al mes siguiente. "Falso" no coinicide. </t>
        </is>
      </c>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496">
        <f>SEPTIEMBRE!K272</f>
        <v/>
      </c>
      <c r="E272" s="731" t="n"/>
      <c r="F272" s="731" t="n"/>
      <c r="G272" s="730">
        <f>E272+F272</f>
        <v/>
      </c>
      <c r="H272" s="731" t="n"/>
      <c r="I272" s="731" t="n"/>
      <c r="J272" s="732">
        <f>AM272</f>
        <v/>
      </c>
      <c r="K272" s="738">
        <f>+(D272+G272)-(H272+I272+J272)</f>
        <v/>
      </c>
      <c r="L272" s="253" t="n"/>
      <c r="M272" s="254" t="n"/>
      <c r="N272" s="254" t="n"/>
      <c r="O272" s="1183" t="n"/>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73" t="n"/>
      <c r="E273" s="994" t="n"/>
      <c r="F273" s="994" t="n"/>
      <c r="G273" s="973" t="n"/>
      <c r="H273" s="994" t="n"/>
      <c r="I273" s="994" t="n"/>
      <c r="J273" s="973" t="n"/>
      <c r="K273" s="973" t="n"/>
      <c r="L273" s="253" t="n"/>
      <c r="M273" s="254" t="n"/>
      <c r="N273" s="254" t="n"/>
      <c r="O273" s="1183" t="n"/>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73" t="n"/>
      <c r="E274" s="994" t="n"/>
      <c r="F274" s="994" t="n"/>
      <c r="G274" s="973" t="n"/>
      <c r="H274" s="994" t="n"/>
      <c r="I274" s="994" t="n"/>
      <c r="J274" s="973" t="n"/>
      <c r="K274" s="973" t="n"/>
      <c r="L274" s="253" t="n"/>
      <c r="M274" s="254" t="n"/>
      <c r="N274" s="254" t="n"/>
      <c r="O274" s="1183" t="n"/>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73"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73"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75" t="n"/>
      <c r="E277" s="998" t="n"/>
      <c r="F277" s="998" t="n"/>
      <c r="G277" s="975" t="n"/>
      <c r="H277" s="998" t="n"/>
      <c r="I277" s="998" t="n"/>
      <c r="J277" s="975" t="n"/>
      <c r="K277" s="1189">
        <f>K272=L277</f>
        <v/>
      </c>
      <c r="L277" s="491">
        <f>SUM(L272:L276)</f>
        <v/>
      </c>
      <c r="M277" s="1190" t="inlineStr">
        <is>
          <t xml:space="preserve">“Verdadero” indica que la cantidad por lote, coincide con el saldo que inicia al mes siguiente. "Falso" no coinicide. </t>
        </is>
      </c>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496">
        <f>SEPTIEMBRE!K278</f>
        <v/>
      </c>
      <c r="E278" s="731" t="n"/>
      <c r="F278" s="731" t="n"/>
      <c r="G278" s="730">
        <f>E278+F278</f>
        <v/>
      </c>
      <c r="H278" s="731" t="n"/>
      <c r="I278" s="731" t="n"/>
      <c r="J278" s="732">
        <f>AM278</f>
        <v/>
      </c>
      <c r="K278" s="738">
        <f>+(D278+G278)-(H278+I278+J278)</f>
        <v/>
      </c>
      <c r="L278" s="253" t="n"/>
      <c r="M278" s="254" t="n"/>
      <c r="N278" s="254" t="n"/>
      <c r="O278" s="1183" t="n"/>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73" t="n"/>
      <c r="E279" s="994" t="n"/>
      <c r="F279" s="994" t="n"/>
      <c r="G279" s="973" t="n"/>
      <c r="H279" s="994" t="n"/>
      <c r="I279" s="994" t="n"/>
      <c r="J279" s="973" t="n"/>
      <c r="K279" s="973" t="n"/>
      <c r="L279" s="253" t="n"/>
      <c r="M279" s="254" t="n"/>
      <c r="N279" s="254" t="n"/>
      <c r="O279" s="1183" t="n"/>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73"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73"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73"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75" t="n"/>
      <c r="E283" s="998" t="n"/>
      <c r="F283" s="998" t="n"/>
      <c r="G283" s="975" t="n"/>
      <c r="H283" s="998" t="n"/>
      <c r="I283" s="998" t="n"/>
      <c r="J283" s="975" t="n"/>
      <c r="K283" s="1189">
        <f>K278=L283</f>
        <v/>
      </c>
      <c r="L283" s="491">
        <f>SUM(L278:L282)</f>
        <v/>
      </c>
      <c r="M283" s="1190" t="inlineStr">
        <is>
          <t xml:space="preserve">“Verdadero” indica que la cantidad por lote, coincide con el saldo que inicia al mes siguiente. "Falso" no coinicide. </t>
        </is>
      </c>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496">
        <f>SEPTIEMBRE!K284</f>
        <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73"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73"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73"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73"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75" t="n"/>
      <c r="E289" s="998" t="n"/>
      <c r="F289" s="998" t="n"/>
      <c r="G289" s="975" t="n"/>
      <c r="H289" s="998" t="n"/>
      <c r="I289" s="998" t="n"/>
      <c r="J289" s="975" t="n"/>
      <c r="K289" s="1189">
        <f>K284=L289</f>
        <v/>
      </c>
      <c r="L289" s="491">
        <f>SUM(L284:L288)</f>
        <v/>
      </c>
      <c r="M289" s="1190" t="inlineStr">
        <is>
          <t xml:space="preserve">“Verdadero” indica que la cantidad por lote, coincide con el saldo que inicia al mes siguiente. "Falso" no coinicide. </t>
        </is>
      </c>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496">
        <f>SEPTIEMBRE!K290</f>
        <v/>
      </c>
      <c r="E290" s="731" t="n"/>
      <c r="F290" s="731" t="n"/>
      <c r="G290" s="730">
        <f>E290+F290</f>
        <v/>
      </c>
      <c r="H290" s="731" t="n"/>
      <c r="I290" s="731" t="n"/>
      <c r="J290" s="732">
        <f>AM290</f>
        <v/>
      </c>
      <c r="K290" s="738">
        <f>+(D290+G290)-(H290+I290+J290)</f>
        <v/>
      </c>
      <c r="L290" s="253" t="n"/>
      <c r="M290" s="254" t="n"/>
      <c r="N290" s="254" t="n"/>
      <c r="O290" s="1183" t="n"/>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73" t="n"/>
      <c r="E291" s="994" t="n"/>
      <c r="F291" s="994" t="n"/>
      <c r="G291" s="973" t="n"/>
      <c r="H291" s="994" t="n"/>
      <c r="I291" s="994" t="n"/>
      <c r="J291" s="973" t="n"/>
      <c r="K291" s="973" t="n"/>
      <c r="L291" s="253" t="n"/>
      <c r="M291" s="254" t="n"/>
      <c r="N291" s="254" t="n"/>
      <c r="O291" s="1183" t="n"/>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73"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73"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73"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75" t="n"/>
      <c r="E295" s="998" t="n"/>
      <c r="F295" s="998" t="n"/>
      <c r="G295" s="975" t="n"/>
      <c r="H295" s="998" t="n"/>
      <c r="I295" s="998" t="n"/>
      <c r="J295" s="975" t="n"/>
      <c r="K295" s="1189">
        <f>K290=L295</f>
        <v/>
      </c>
      <c r="L295" s="491">
        <f>SUM(L290:L294)</f>
        <v/>
      </c>
      <c r="M295" s="1190" t="inlineStr">
        <is>
          <t xml:space="preserve">“Verdadero” indica que la cantidad por lote, coincide con el saldo que inicia al mes siguiente. "Falso" no coinicide. </t>
        </is>
      </c>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496">
        <f>SEPTIEMBRE!K296</f>
        <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73"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73"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73"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73"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75" t="n"/>
      <c r="E301" s="998" t="n"/>
      <c r="F301" s="998" t="n"/>
      <c r="G301" s="975" t="n"/>
      <c r="H301" s="998" t="n"/>
      <c r="I301" s="998" t="n"/>
      <c r="J301" s="975" t="n"/>
      <c r="K301" s="1189">
        <f>K296=L301</f>
        <v/>
      </c>
      <c r="L301" s="491">
        <f>SUM(L296:L300)</f>
        <v/>
      </c>
      <c r="M301" s="1190" t="inlineStr">
        <is>
          <t xml:space="preserve">“Verdadero” indica que la cantidad por lote, coincide con el saldo que inicia al mes siguiente. "Falso" no coinicide. </t>
        </is>
      </c>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647" t="inlineStr">
        <is>
          <t>JERINGAS</t>
        </is>
      </c>
      <c r="C302" s="967" t="n"/>
      <c r="D302" s="1257"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496">
        <f>SEPTIEMBRE!K303</f>
        <v/>
      </c>
      <c r="E303" s="731" t="n"/>
      <c r="F303" s="731" t="n"/>
      <c r="G303" s="730">
        <f>E303+F303</f>
        <v/>
      </c>
      <c r="H303" s="731" t="n"/>
      <c r="I303" s="731" t="n"/>
      <c r="J303" s="732">
        <f>+AM303</f>
        <v/>
      </c>
      <c r="K303" s="706">
        <f>+(D303+G303)-(H303+I303+J303)</f>
        <v/>
      </c>
      <c r="L303" s="253" t="n"/>
      <c r="M303" s="254" t="n"/>
      <c r="N303" s="254" t="n"/>
      <c r="O303" s="1183" t="n"/>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73"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73" t="n"/>
      <c r="E305" s="994" t="n"/>
      <c r="F305" s="994" t="n"/>
      <c r="G305" s="973" t="n"/>
      <c r="H305" s="994" t="n"/>
      <c r="I305" s="994" t="n"/>
      <c r="J305" s="973" t="n"/>
      <c r="K305" s="973" t="n"/>
      <c r="L305" s="253" t="n"/>
      <c r="M305" s="254" t="n"/>
      <c r="N305" s="254" t="n"/>
      <c r="O305" s="1183" t="n"/>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73"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73"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73"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75" t="n"/>
      <c r="E309" s="998" t="n"/>
      <c r="F309" s="998" t="n"/>
      <c r="G309" s="975" t="n"/>
      <c r="H309" s="998" t="n"/>
      <c r="I309" s="998" t="n"/>
      <c r="J309" s="975" t="n"/>
      <c r="K309" s="1189">
        <f>K303=L309</f>
        <v/>
      </c>
      <c r="L309" s="491">
        <f>SUM(L303:L308)</f>
        <v/>
      </c>
      <c r="M309" s="1190" t="inlineStr">
        <is>
          <t xml:space="preserve">“Verdadero” indica que la cantidad por lote, coincide con el saldo que inicia al mes siguiente. "Falso" no coinicide. </t>
        </is>
      </c>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496">
        <f>SEPTIEMBRE!K310</f>
        <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73"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73"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73"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73"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73"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75" t="n"/>
      <c r="E316" s="998" t="n"/>
      <c r="F316" s="998" t="n"/>
      <c r="G316" s="975" t="n"/>
      <c r="H316" s="998" t="n"/>
      <c r="I316" s="998" t="n"/>
      <c r="J316" s="975" t="n"/>
      <c r="K316" s="1189">
        <f>K310=L316</f>
        <v/>
      </c>
      <c r="L316" s="491">
        <f>SUM(L310:L315)</f>
        <v/>
      </c>
      <c r="M316" s="1190" t="inlineStr">
        <is>
          <t xml:space="preserve">“Verdadero” indica que la cantidad por lote, coincide con el saldo que inicia al mes siguiente. "Falso" no coinicide. </t>
        </is>
      </c>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496">
        <f>SEPTIEMBRE!K317</f>
        <v/>
      </c>
      <c r="E317" s="731" t="n"/>
      <c r="F317" s="731" t="n"/>
      <c r="G317" s="730">
        <f>E317+F317</f>
        <v/>
      </c>
      <c r="H317" s="731" t="n"/>
      <c r="I317" s="731" t="n"/>
      <c r="J317" s="732">
        <f>+AM317</f>
        <v/>
      </c>
      <c r="K317" s="706">
        <f>+(D317+G317)-(H317+I317+J317)</f>
        <v/>
      </c>
      <c r="L317" s="253" t="n"/>
      <c r="M317" s="254" t="n"/>
      <c r="N317" s="254" t="n"/>
      <c r="O317" s="1183" t="n"/>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73" t="n"/>
      <c r="E318" s="994" t="n"/>
      <c r="F318" s="994" t="n"/>
      <c r="G318" s="973" t="n"/>
      <c r="H318" s="994" t="n"/>
      <c r="I318" s="994" t="n"/>
      <c r="J318" s="973" t="n"/>
      <c r="K318" s="973" t="n"/>
      <c r="L318" s="253" t="n"/>
      <c r="M318" s="254" t="n"/>
      <c r="N318" s="254" t="n"/>
      <c r="O318" s="1183" t="n"/>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73" t="n"/>
      <c r="E319" s="994" t="n"/>
      <c r="F319" s="994" t="n"/>
      <c r="G319" s="973" t="n"/>
      <c r="H319" s="994" t="n"/>
      <c r="I319" s="994" t="n"/>
      <c r="J319" s="973" t="n"/>
      <c r="K319" s="973" t="n"/>
      <c r="L319" s="253" t="n"/>
      <c r="M319" s="254" t="n"/>
      <c r="N319" s="254" t="n"/>
      <c r="O319" s="1183" t="n"/>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73"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73"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73"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75" t="n"/>
      <c r="E323" s="998" t="n"/>
      <c r="F323" s="998" t="n"/>
      <c r="G323" s="975" t="n"/>
      <c r="H323" s="998" t="n"/>
      <c r="I323" s="998" t="n"/>
      <c r="J323" s="975" t="n"/>
      <c r="K323" s="1189">
        <f>K317=L323</f>
        <v/>
      </c>
      <c r="L323" s="491">
        <f>SUM(L317:L322)</f>
        <v/>
      </c>
      <c r="M323" s="1190" t="inlineStr">
        <is>
          <t xml:space="preserve">“Verdadero” indica que la cantidad por lote, coincide con el saldo que inicia al mes siguiente. "Falso" no coinicide. </t>
        </is>
      </c>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496">
        <f>SEPTIEMBRE!K324</f>
        <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73"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73"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73"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73"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73"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75"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496">
        <f>SEPTIEMBRE!K331</f>
        <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73"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73"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73"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73"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73"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75" t="n"/>
      <c r="E337" s="998" t="n"/>
      <c r="F337" s="998" t="n"/>
      <c r="G337" s="975" t="n"/>
      <c r="H337" s="998" t="n"/>
      <c r="I337" s="998" t="n"/>
      <c r="J337" s="975" t="n"/>
      <c r="K337" s="1189">
        <f>K331=L337</f>
        <v/>
      </c>
      <c r="L337" s="491">
        <f>SUM(L331:L336)</f>
        <v/>
      </c>
      <c r="M337" s="1190" t="inlineStr">
        <is>
          <t xml:space="preserve">“Verdadero” indica que la cantidad por lote, coincide con el saldo que inicia al mes siguiente. "Falso" no coinicide. </t>
        </is>
      </c>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496">
        <f>SEPTIEMBRE!K338</f>
        <v/>
      </c>
      <c r="E338" s="731" t="n"/>
      <c r="F338" s="731" t="n"/>
      <c r="G338" s="730">
        <f>E338+F338</f>
        <v/>
      </c>
      <c r="H338" s="731" t="n"/>
      <c r="I338" s="731" t="n"/>
      <c r="J338" s="732">
        <f>+AM338</f>
        <v/>
      </c>
      <c r="K338" s="706">
        <f>+(D338+G338)-(H338+I338+J338)</f>
        <v/>
      </c>
      <c r="L338" s="253" t="n"/>
      <c r="M338" s="254" t="n"/>
      <c r="N338" s="254" t="n"/>
      <c r="O338" s="1183" t="n"/>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73" t="n"/>
      <c r="E339" s="994" t="n"/>
      <c r="F339" s="994" t="n"/>
      <c r="G339" s="973" t="n"/>
      <c r="H339" s="994" t="n"/>
      <c r="I339" s="994" t="n"/>
      <c r="J339" s="973" t="n"/>
      <c r="K339" s="973" t="n"/>
      <c r="L339" s="253" t="n"/>
      <c r="M339" s="254" t="n"/>
      <c r="N339" s="254" t="n"/>
      <c r="O339" s="1183" t="n"/>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73" t="n"/>
      <c r="E340" s="994" t="n"/>
      <c r="F340" s="994" t="n"/>
      <c r="G340" s="973" t="n"/>
      <c r="H340" s="994" t="n"/>
      <c r="I340" s="994" t="n"/>
      <c r="J340" s="973" t="n"/>
      <c r="K340" s="973" t="n"/>
      <c r="L340" s="253" t="n"/>
      <c r="M340" s="254" t="n"/>
      <c r="N340" s="254" t="n"/>
      <c r="O340" s="1183" t="n"/>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73"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73"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73"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75" t="n"/>
      <c r="E344" s="998" t="n"/>
      <c r="F344" s="998" t="n"/>
      <c r="G344" s="975" t="n"/>
      <c r="H344" s="998" t="n"/>
      <c r="I344" s="998" t="n"/>
      <c r="J344" s="975" t="n"/>
      <c r="K344" s="1189">
        <f>K338=L344</f>
        <v/>
      </c>
      <c r="L344" s="491">
        <f>SUM(L338:L343)</f>
        <v/>
      </c>
      <c r="M344" s="1190" t="inlineStr">
        <is>
          <t xml:space="preserve">“Verdadero” indica que la cantidad por lote, coincide con el saldo que inicia al mes siguiente. "Falso" no coinicide. </t>
        </is>
      </c>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496">
        <f>SEPTIEMBRE!K345</f>
        <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73"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73"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73"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73"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73"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75" t="n"/>
      <c r="E351" s="998" t="n"/>
      <c r="F351" s="998" t="n"/>
      <c r="G351" s="975" t="n"/>
      <c r="H351" s="998" t="n"/>
      <c r="I351" s="998" t="n"/>
      <c r="J351" s="975" t="n"/>
      <c r="K351" s="1189">
        <f>K345=L351</f>
        <v/>
      </c>
      <c r="L351" s="491">
        <f>SUM(L345:L350)</f>
        <v/>
      </c>
      <c r="M351" s="1190" t="inlineStr">
        <is>
          <t xml:space="preserve">“Verdadero” indica que la cantidad por lote, coincide con el saldo que inicia al mes siguiente. "Falso" no coinicide. </t>
        </is>
      </c>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496">
        <f>SEPTIEMBRE!K352</f>
        <v/>
      </c>
      <c r="E352" s="731" t="n"/>
      <c r="F352" s="731" t="n"/>
      <c r="G352" s="730">
        <f>E352+F352</f>
        <v/>
      </c>
      <c r="H352" s="731" t="n"/>
      <c r="I352" s="731" t="n"/>
      <c r="J352" s="732">
        <f>AM352</f>
        <v/>
      </c>
      <c r="K352" s="706">
        <f>+(D352+G352)-(H352+I352+J352)</f>
        <v/>
      </c>
      <c r="L352" s="253" t="n"/>
      <c r="M352" s="254" t="n"/>
      <c r="N352" s="254" t="n"/>
      <c r="O352" s="1183" t="n"/>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73" t="n"/>
      <c r="E353" s="994" t="n"/>
      <c r="F353" s="994" t="n"/>
      <c r="G353" s="973" t="n"/>
      <c r="H353" s="994" t="n"/>
      <c r="I353" s="994" t="n"/>
      <c r="J353" s="973" t="n"/>
      <c r="K353" s="973" t="n"/>
      <c r="L353" s="253" t="n"/>
      <c r="M353" s="254" t="n"/>
      <c r="N353" s="254" t="n"/>
      <c r="O353" s="1183" t="n"/>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73" t="n"/>
      <c r="E354" s="994" t="n"/>
      <c r="F354" s="994" t="n"/>
      <c r="G354" s="973" t="n"/>
      <c r="H354" s="994" t="n"/>
      <c r="I354" s="994" t="n"/>
      <c r="J354" s="973" t="n"/>
      <c r="K354" s="973" t="n"/>
      <c r="L354" s="253" t="n"/>
      <c r="M354" s="254" t="n"/>
      <c r="N354" s="254" t="n"/>
      <c r="O354" s="1183" t="n"/>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73"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73"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73"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75" t="n"/>
      <c r="E358" s="998" t="n"/>
      <c r="F358" s="998" t="n"/>
      <c r="G358" s="975" t="n"/>
      <c r="H358" s="998" t="n"/>
      <c r="I358" s="998" t="n"/>
      <c r="J358" s="975" t="n"/>
      <c r="K358" s="1189">
        <f>K352=L358</f>
        <v/>
      </c>
      <c r="L358" s="491">
        <f>SUM(L352:L357)</f>
        <v/>
      </c>
      <c r="M358" s="1190" t="inlineStr">
        <is>
          <t xml:space="preserve">“Verdadero” indica que la cantidad por lote, coincide con el saldo que inicia al mes siguiente. "Falso" no coinicide. </t>
        </is>
      </c>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496">
        <f>SEPTIEMBRE!K359</f>
        <v/>
      </c>
      <c r="E359" s="731" t="n"/>
      <c r="F359" s="731" t="n"/>
      <c r="G359" s="730">
        <f>E359+F359</f>
        <v/>
      </c>
      <c r="H359" s="731" t="n"/>
      <c r="I359" s="731" t="n"/>
      <c r="J359" s="732">
        <f>AM359</f>
        <v/>
      </c>
      <c r="K359" s="706">
        <f>+(D359+G359)-(H359+I359+J359)</f>
        <v/>
      </c>
      <c r="L359" s="253" t="n"/>
      <c r="M359" s="254" t="n"/>
      <c r="N359" s="254" t="n"/>
      <c r="O359" s="1183" t="n"/>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73" t="n"/>
      <c r="E360" s="994" t="n"/>
      <c r="F360" s="994" t="n"/>
      <c r="G360" s="973" t="n"/>
      <c r="H360" s="994" t="n"/>
      <c r="I360" s="994" t="n"/>
      <c r="J360" s="973" t="n"/>
      <c r="K360" s="973" t="n"/>
      <c r="L360" s="253" t="n"/>
      <c r="M360" s="254" t="n"/>
      <c r="N360" s="254" t="n"/>
      <c r="O360" s="1183" t="n"/>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73" t="n"/>
      <c r="E361" s="994" t="n"/>
      <c r="F361" s="994" t="n"/>
      <c r="G361" s="973" t="n"/>
      <c r="H361" s="994" t="n"/>
      <c r="I361" s="994" t="n"/>
      <c r="J361" s="973" t="n"/>
      <c r="K361" s="973" t="n"/>
      <c r="L361" s="253" t="n"/>
      <c r="M361" s="254" t="n"/>
      <c r="N361" s="254" t="n"/>
      <c r="O361" s="1183" t="n"/>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73" t="n"/>
      <c r="E362" s="994" t="n"/>
      <c r="F362" s="994" t="n"/>
      <c r="G362" s="973" t="n"/>
      <c r="H362" s="994" t="n"/>
      <c r="I362" s="994" t="n"/>
      <c r="J362" s="973" t="n"/>
      <c r="K362" s="973" t="n"/>
      <c r="L362" s="253" t="n"/>
      <c r="M362" s="254" t="n"/>
      <c r="N362" s="254" t="n"/>
      <c r="O362" s="1183" t="n"/>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73"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73"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75" t="n"/>
      <c r="E365" s="998" t="n"/>
      <c r="F365" s="998" t="n"/>
      <c r="G365" s="975" t="n"/>
      <c r="H365" s="998" t="n"/>
      <c r="I365" s="998" t="n"/>
      <c r="J365" s="975" t="n"/>
      <c r="K365" s="1189">
        <f>K359=L365</f>
        <v/>
      </c>
      <c r="L365" s="491">
        <f>SUM(L359:L364)</f>
        <v/>
      </c>
      <c r="M365" s="1190" t="inlineStr">
        <is>
          <t xml:space="preserve">“Verdadero” indica que la cantidad por lote, coincide con el saldo que inicia al mes siguiente. "Falso" no coinicide. </t>
        </is>
      </c>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496">
        <f>SEPTIEMBRE!K366</f>
        <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73"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73"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73"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73"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73"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75"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496">
        <f>SEPTIEMBRE!K373</f>
        <v/>
      </c>
      <c r="E373" s="731" t="n"/>
      <c r="F373" s="731" t="n"/>
      <c r="G373" s="730">
        <f>E373+F373</f>
        <v/>
      </c>
      <c r="H373" s="731" t="n"/>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496">
        <f>SEPTIEMBRE!K374</f>
        <v/>
      </c>
      <c r="E374" s="731" t="n"/>
      <c r="F374" s="731" t="n"/>
      <c r="G374" s="730">
        <f>E374+F374</f>
        <v/>
      </c>
      <c r="H374" s="731" t="n"/>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496">
        <f>SEPTIEMBRE!K375</f>
        <v/>
      </c>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496">
        <f>SEPTIEMBRE!K376</f>
        <v/>
      </c>
      <c r="E376" s="731" t="n"/>
      <c r="F376" s="731" t="n"/>
      <c r="G376" s="730">
        <f>E376+F376</f>
        <v/>
      </c>
      <c r="H376" s="731" t="n"/>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496">
        <f>SEPTIEMBRE!K377</f>
        <v/>
      </c>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496">
        <f>SEPTIEMBRE!K378</f>
        <v/>
      </c>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496">
        <f>SEPTIEMBRE!K379</f>
        <v/>
      </c>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623" t="inlineStr">
        <is>
          <t>ÍTEM</t>
        </is>
      </c>
      <c r="B381" s="719" t="inlineStr">
        <is>
          <t>VACUNA COVID-19</t>
        </is>
      </c>
      <c r="C381" s="965" t="n"/>
      <c r="D381" s="716" t="inlineStr">
        <is>
          <t>SALDO MES ANTERIOR</t>
        </is>
      </c>
      <c r="E381" s="1179" t="inlineStr">
        <is>
          <t>ENTRADA</t>
        </is>
      </c>
      <c r="F381" s="1180" t="n"/>
      <c r="G381" s="965" t="n"/>
      <c r="H381" s="715" t="inlineStr">
        <is>
          <t>SALIDAS</t>
        </is>
      </c>
      <c r="I381" s="968" t="n"/>
      <c r="J381" s="967" t="n"/>
      <c r="K381" s="623" t="inlineStr">
        <is>
          <t>SALDO QUE INICIA EL MES SIGUIENTE</t>
        </is>
      </c>
      <c r="L381" s="623" t="inlineStr">
        <is>
          <t>DOSIS POR LOTES</t>
        </is>
      </c>
      <c r="M381" s="623" t="inlineStr">
        <is>
          <t xml:space="preserve">No. LOTE </t>
        </is>
      </c>
      <c r="N381" s="623" t="inlineStr">
        <is>
          <t>LABORATORIO</t>
        </is>
      </c>
      <c r="O381" s="623" t="inlineStr">
        <is>
          <t>FECHA DE VENCIMIENTO</t>
        </is>
      </c>
      <c r="P381" s="623" t="inlineStr">
        <is>
          <t>SEMAFORIZACION VIDA  ÚTIL DEL BIOLÓGICO</t>
        </is>
      </c>
      <c r="Q381" s="623" t="inlineStr">
        <is>
          <t>CONDICIÓN FINAL DEL BIOLÓGICO, DILUYENTE Y CARNET</t>
        </is>
      </c>
      <c r="R381" s="613" t="inlineStr">
        <is>
          <t>DOSIS EN CUARENTENA</t>
        </is>
      </c>
      <c r="S381" s="613" t="inlineStr">
        <is>
          <t>LABORATORIO</t>
        </is>
      </c>
      <c r="T381" s="613" t="inlineStr">
        <is>
          <t>No. LOTE</t>
        </is>
      </c>
      <c r="U381" s="613" t="inlineStr">
        <is>
          <t>FECHA DE VENCIMEINTO</t>
        </is>
      </c>
      <c r="V381" s="613" t="inlineStr">
        <is>
          <t>FECHA DE INICIO CUARENTENA</t>
        </is>
      </c>
      <c r="W381" s="613" t="inlineStr">
        <is>
          <t>OBSERVACIONES</t>
        </is>
      </c>
      <c r="X381" s="250" t="n"/>
      <c r="Z381" s="1221" t="inlineStr">
        <is>
          <t>MOTIVOS DE NO USO DE VACUNAS CONTRA LA COVID-19
RESOLUCIÓN 0118 DEL 27 DE ENERO DE 2026
DISPONIBLE EN EL SIGUIENTE LINK: https://www.minsalud.gov.co/Normatividad_Nuevo/Resolucion%20No%20118%20de%202026.pdf</t>
        </is>
      </c>
      <c r="AA381" s="968" t="n"/>
      <c r="AB381" s="968" t="n"/>
      <c r="AC381" s="968" t="n"/>
      <c r="AD381" s="968" t="n"/>
      <c r="AE381" s="968" t="n"/>
      <c r="AF381" s="968" t="n"/>
      <c r="AG381" s="968" t="n"/>
      <c r="AH381" s="968" t="n"/>
      <c r="AI381" s="968" t="n"/>
      <c r="AJ381" s="968" t="n"/>
      <c r="AK381" s="968" t="n"/>
      <c r="AL381" s="967" t="n"/>
      <c r="AM381" s="532" t="inlineStr">
        <is>
          <t xml:space="preserve">TOTAL DOSIS PERDIDAS        </t>
        </is>
      </c>
      <c r="AN381" s="478" t="n"/>
      <c r="AO381" s="368" t="n"/>
      <c r="AU381" s="251" t="n"/>
      <c r="AV381" s="251" t="n"/>
    </row>
    <row r="382" ht="28.5" customHeight="1">
      <c r="A382" s="973" t="n"/>
      <c r="B382" s="971" t="n"/>
      <c r="C382" s="972" t="n"/>
      <c r="D382" s="973" t="n"/>
      <c r="E382" s="623" t="inlineStr">
        <is>
          <t>DOSIS RECIBIDAS DEL ALMACÉN CENTRAL DEL MSPS</t>
        </is>
      </c>
      <c r="F382" s="623" t="inlineStr">
        <is>
          <t>DOSIS RECIBIDAS X TRASLADO DEL CA DEPARTAMENTAL O DISTRITAL</t>
        </is>
      </c>
      <c r="G382" s="623" t="inlineStr">
        <is>
          <t>TOTAL ENTRADAS</t>
        </is>
      </c>
      <c r="H382" s="711" t="inlineStr">
        <is>
          <t>DOSIS DESPACHADAS A LOS MUNICIPIOS / DISTRITOS A IPS</t>
        </is>
      </c>
      <c r="I382" s="711" t="inlineStr">
        <is>
          <t>DOSIS TRASLADADAS A OTROS DEPARTAMENTOS O DISTRITOS</t>
        </is>
      </c>
      <c r="J382" s="716" t="inlineStr">
        <is>
          <t>DOSIS PERDIDAS</t>
        </is>
      </c>
      <c r="K382" s="973" t="n"/>
      <c r="L382" s="973" t="n"/>
      <c r="M382" s="973" t="n"/>
      <c r="N382" s="973" t="n"/>
      <c r="O382" s="973" t="n"/>
      <c r="P382" s="973" t="n"/>
      <c r="Q382" s="973" t="n"/>
      <c r="R382" s="973" t="n"/>
      <c r="S382" s="973" t="n"/>
      <c r="T382" s="973" t="n"/>
      <c r="U382" s="973" t="n"/>
      <c r="V382" s="973" t="n"/>
      <c r="W382" s="973" t="n"/>
      <c r="X382" s="250" t="n"/>
      <c r="Y382" s="252" t="n"/>
      <c r="Z382" s="533" t="n">
        <v>1</v>
      </c>
      <c r="AA382" s="967" t="n"/>
      <c r="AB382" s="533" t="n">
        <v>2</v>
      </c>
      <c r="AC382" s="533" t="n">
        <v>3</v>
      </c>
      <c r="AD382" s="533" t="n">
        <v>4</v>
      </c>
      <c r="AE382" s="533" t="n">
        <v>5</v>
      </c>
      <c r="AF382" s="533" t="n">
        <v>6</v>
      </c>
      <c r="AG382" s="533" t="n">
        <v>7</v>
      </c>
      <c r="AH382" s="533" t="n">
        <v>8</v>
      </c>
      <c r="AI382" s="533" t="n">
        <v>9</v>
      </c>
      <c r="AJ382" s="533" t="n">
        <v>10</v>
      </c>
      <c r="AK382" s="533" t="n">
        <v>11</v>
      </c>
      <c r="AL382" s="533" t="n">
        <v>12</v>
      </c>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inlineStr">
        <is>
          <t>POLÍTICA DE FRASCOS ABIERTO</t>
        </is>
      </c>
      <c r="AA383" s="967" t="n"/>
      <c r="AB383" s="1222" t="inlineStr">
        <is>
          <t>INTERRUPCIÓN DE LA CADENA DE FRÍO</t>
        </is>
      </c>
      <c r="AC383" s="537" t="inlineStr">
        <is>
          <t>CONTAMINACIÓN DEL BIOLÓGICO</t>
        </is>
      </c>
      <c r="AD383" s="1222" t="inlineStr">
        <is>
          <t>ERROR EN LA MANIPULACIÓN</t>
        </is>
      </c>
      <c r="AE383" s="537" t="inlineStr">
        <is>
          <t>ERROR EN LA RECONSTITUCIÓN/DILUCIÓN</t>
        </is>
      </c>
      <c r="AF383" s="1222" t="inlineStr">
        <is>
          <t>ERROR EN LA DOSIFICACIÓN</t>
        </is>
      </c>
      <c r="AG383" s="537" t="inlineStr">
        <is>
          <t>VACUNA QUE EXCEDE EL TIEMPO DE ALMACENAMIENTO EN REFRIGERACIÓN</t>
        </is>
      </c>
      <c r="AH383" s="1222" t="inlineStr">
        <is>
          <t>VENCIMIENTO DEL BIOLÓGICO</t>
        </is>
      </c>
      <c r="AI383" s="537" t="inlineStr">
        <is>
          <t>FRASCO VIAL ROTO</t>
        </is>
      </c>
      <c r="AJ383" s="1222" t="inlineStr">
        <is>
          <t>FALLAS DE FABRICACIÓN/CALIDAD</t>
        </is>
      </c>
      <c r="AK383" s="537" t="inlineStr">
        <is>
          <t>SINIESTRO / ACCIDENTE</t>
        </is>
      </c>
      <c r="AL383" s="1222" t="inlineStr">
        <is>
          <t>ROBO/HURTO BIOLÓGICO</t>
        </is>
      </c>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496">
        <f>SEPTIEMBRE!K385</f>
        <v/>
      </c>
      <c r="E385" s="731" t="n"/>
      <c r="F385" s="731" t="n"/>
      <c r="G385" s="730">
        <f>E385+F385</f>
        <v/>
      </c>
      <c r="H385" s="731" t="n"/>
      <c r="I385" s="731" t="n"/>
      <c r="J385" s="732">
        <f>AM385</f>
        <v/>
      </c>
      <c r="K385" s="706">
        <f>+(D385+G385)-(H385+I385+J385)</f>
        <v/>
      </c>
      <c r="L385" s="486" t="n"/>
      <c r="M385" s="487" t="n"/>
      <c r="N385" s="487" t="n"/>
      <c r="O385" s="1223" t="n"/>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73"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73"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73"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75" t="n"/>
      <c r="E389" s="998" t="n"/>
      <c r="F389" s="998" t="n"/>
      <c r="G389" s="975" t="n"/>
      <c r="H389" s="998" t="n"/>
      <c r="I389" s="998" t="n"/>
      <c r="J389" s="975" t="n"/>
      <c r="K389" s="1189">
        <f>K385=L389</f>
        <v/>
      </c>
      <c r="L389" s="491">
        <f>SUM(L385:L388)</f>
        <v/>
      </c>
      <c r="M389" s="1190" t="inlineStr">
        <is>
          <t xml:space="preserve">“Verdadero” indica que la cantidad por lote, coincide con el saldo que inicia al mes siguiente. "Falso" no coinicide. </t>
        </is>
      </c>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496">
        <f>SEPTIEMBRE!K390</f>
        <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73"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73"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73"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75" t="n"/>
      <c r="E394" s="998" t="n"/>
      <c r="F394" s="998" t="n"/>
      <c r="G394" s="975" t="n"/>
      <c r="H394" s="998" t="n"/>
      <c r="I394" s="998" t="n"/>
      <c r="J394" s="975" t="n"/>
      <c r="K394" s="1189">
        <f>K390=L394</f>
        <v/>
      </c>
      <c r="L394" s="491">
        <f>SUM(L390:L393)</f>
        <v/>
      </c>
      <c r="M394" s="1190" t="inlineStr">
        <is>
          <t xml:space="preserve">“Verdadero” indica que la cantidad por lote, coincide con el saldo que inicia al mes siguiente. "Falso" no coinicide. </t>
        </is>
      </c>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496">
        <f>SEPTIEMBRE!K395</f>
        <v/>
      </c>
      <c r="E395" s="731" t="n"/>
      <c r="F395" s="731" t="n"/>
      <c r="G395" s="730">
        <f>E395+F395</f>
        <v/>
      </c>
      <c r="H395" s="731" t="n"/>
      <c r="I395" s="731" t="n"/>
      <c r="J395" s="732">
        <f>AM395</f>
        <v/>
      </c>
      <c r="K395" s="706">
        <f>+(D395+G395)-(H395+I395+J395)</f>
        <v/>
      </c>
      <c r="L395" s="486" t="n"/>
      <c r="M395" s="487" t="n"/>
      <c r="N395" s="487" t="n"/>
      <c r="O395" s="1223" t="n"/>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73"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73"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73"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75" t="n"/>
      <c r="E399" s="998" t="n"/>
      <c r="F399" s="998" t="n"/>
      <c r="G399" s="975" t="n"/>
      <c r="H399" s="998" t="n"/>
      <c r="I399" s="998" t="n"/>
      <c r="J399" s="975" t="n"/>
      <c r="K399" s="1189">
        <f>K395=L399</f>
        <v/>
      </c>
      <c r="L399" s="491">
        <f>SUM(L395:L398)</f>
        <v/>
      </c>
      <c r="M399" s="1190" t="inlineStr">
        <is>
          <t xml:space="preserve">“Verdadero” indica que la cantidad por lote, coincide con el saldo que inicia al mes siguiente. "Falso" no coinicide. </t>
        </is>
      </c>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496">
        <f>SEPTIEMBRE!K400</f>
        <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73"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73"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73"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75" t="n"/>
      <c r="E404" s="998" t="n"/>
      <c r="F404" s="998" t="n"/>
      <c r="G404" s="975" t="n"/>
      <c r="H404" s="998" t="n"/>
      <c r="I404" s="998" t="n"/>
      <c r="J404" s="975" t="n"/>
      <c r="K404" s="1189">
        <f>K400=L404</f>
        <v/>
      </c>
      <c r="L404" s="491">
        <f>SUM(L400:L403)</f>
        <v/>
      </c>
      <c r="M404" s="1190" t="inlineStr">
        <is>
          <t xml:space="preserve">“Verdadero” indica que la cantidad por lote, coincide con el saldo que inicia al mes siguiente. "Falso" no coinicide. </t>
        </is>
      </c>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496">
        <f>SEPTIEMBRE!K405</f>
        <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73"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73"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73"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75" t="n"/>
      <c r="E409" s="998" t="n"/>
      <c r="F409" s="998" t="n"/>
      <c r="G409" s="975" t="n"/>
      <c r="H409" s="998" t="n"/>
      <c r="I409" s="998" t="n"/>
      <c r="J409" s="975" t="n"/>
      <c r="K409" s="1189">
        <f>K405=L409</f>
        <v/>
      </c>
      <c r="L409" s="491">
        <f>SUM(L405:L408)</f>
        <v/>
      </c>
      <c r="M409" s="1190" t="inlineStr">
        <is>
          <t xml:space="preserve">“Verdadero” indica que la cantidad por lote, coincide con el saldo que inicia al mes siguiente. "Falso" no coinicide. </t>
        </is>
      </c>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1268" t="inlineStr">
        <is>
          <t>ÍTEM</t>
        </is>
      </c>
      <c r="B413" s="1268" t="inlineStr">
        <is>
          <t>INSUMOS</t>
        </is>
      </c>
      <c r="C413" s="965" t="n"/>
      <c r="D413" s="1231" t="inlineStr">
        <is>
          <t>SALDO MES ANTERIOR</t>
        </is>
      </c>
      <c r="E413" s="961" t="inlineStr">
        <is>
          <t>BIOLÓGICO RECIBIDO DEL CENTRO DE ACOPIO DEPARTAMENTAL / DISTRITAL</t>
        </is>
      </c>
      <c r="F413" s="1231" t="inlineStr">
        <is>
          <t>DOSIS APLICADAS</t>
        </is>
      </c>
      <c r="G413" s="967" t="n"/>
      <c r="H413" s="1232" t="inlineStr">
        <is>
          <t>TOTAL DOSIS APLICADAS</t>
        </is>
      </c>
      <c r="I413" s="961" t="inlineStr">
        <is>
          <t>DOSIS PERDIDAS</t>
        </is>
      </c>
      <c r="J413" s="1231" t="inlineStr">
        <is>
          <t>TOTAL DOSIS ÚTILIZADAS EN EL MES</t>
        </is>
      </c>
      <c r="K413" s="623" t="inlineStr">
        <is>
          <t>SALDO QUE INICIA EL MES SIGUIENTE (SOLO MUNICIPIOS)</t>
        </is>
      </c>
      <c r="L413" s="623" t="inlineStr">
        <is>
          <t>DOSIS POR LOTES</t>
        </is>
      </c>
      <c r="M413" s="623" t="inlineStr">
        <is>
          <t xml:space="preserve">No. LOTE </t>
        </is>
      </c>
      <c r="N413" s="1233" t="inlineStr">
        <is>
          <t>LABORATORIO</t>
        </is>
      </c>
      <c r="O413" s="623" t="inlineStr">
        <is>
          <t>FECHA DE VENCIMIENTO</t>
        </is>
      </c>
      <c r="P413" s="623" t="inlineStr">
        <is>
          <t>SEMAFORIZACION VIDA  ÚTIL DEL BIOLÓGICO</t>
        </is>
      </c>
      <c r="Q413" s="623" t="inlineStr">
        <is>
          <t>CONDICIÓN FINAL DEL BIOLÓGICO, DILUYENTE Y CARNET</t>
        </is>
      </c>
      <c r="R413" s="613" t="inlineStr">
        <is>
          <t>DOSIS EN CUARENTENA</t>
        </is>
      </c>
      <c r="S413" s="613" t="inlineStr">
        <is>
          <t>LABORATORIO</t>
        </is>
      </c>
      <c r="T413" s="613" t="inlineStr">
        <is>
          <t>No. LOTE</t>
        </is>
      </c>
      <c r="U413" s="613" t="inlineStr">
        <is>
          <t>FECHA DE VENCIMEINTO</t>
        </is>
      </c>
      <c r="V413" s="613" t="inlineStr">
        <is>
          <t>FECHA DE INICIO CUARENTENA</t>
        </is>
      </c>
      <c r="W413" s="961" t="inlineStr">
        <is>
          <t>PORCENTAJE DE PERDIDA DEL MES</t>
        </is>
      </c>
      <c r="X413" s="961" t="inlineStr">
        <is>
          <t>OBSERVACIONES</t>
        </is>
      </c>
      <c r="Y413" s="232" t="n"/>
      <c r="Z413" s="400" t="inlineStr">
        <is>
          <t>CAUSAS PERDIDA DE BIOLÓGICOS (Remítase a la primera hoja donde se especifica la clasificación de las perdidas)</t>
        </is>
      </c>
      <c r="AA413" s="400" t="n"/>
      <c r="AB413" s="400" t="n"/>
      <c r="AC413" s="400" t="n"/>
      <c r="AD413" s="400" t="n"/>
      <c r="AE413" s="400" t="n"/>
      <c r="AF413" s="400" t="n"/>
      <c r="AG413" s="400" t="n"/>
      <c r="AH413" s="400" t="n"/>
      <c r="AI413" s="400" t="n"/>
      <c r="AJ413" s="400" t="n"/>
      <c r="AK413" s="400" t="n"/>
      <c r="AL413" s="400" t="n"/>
      <c r="AM413" s="1181" t="inlineStr">
        <is>
          <t xml:space="preserve">TOTAL DOSIS PERDIDAS        </t>
        </is>
      </c>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inlineStr">
        <is>
          <t>POLÍTICA DE FRASCOS ABIERTO</t>
        </is>
      </c>
      <c r="AA415" s="968" t="n"/>
      <c r="AB415" s="967" t="n"/>
      <c r="AC415" s="330" t="inlineStr">
        <is>
          <t>INTERRUPCIÓN DE CADENA DE FRÍO</t>
        </is>
      </c>
      <c r="AD415" s="566" t="inlineStr">
        <is>
          <t>CONTAMINACION DEL BIOLÓGICO/DISPOSITIVO MÉDICO</t>
        </is>
      </c>
      <c r="AE415" s="533" t="inlineStr">
        <is>
          <t>VIAL ROTO</t>
        </is>
      </c>
      <c r="AF415" s="566" t="inlineStr">
        <is>
          <t>ERRORES EN LA MANIPULACIÓN</t>
        </is>
      </c>
      <c r="AG415" s="533" t="inlineStr">
        <is>
          <t>VENCIMIENTO DEL BIOLÓGICO O JERINGA</t>
        </is>
      </c>
      <c r="AH415" s="566" t="inlineStr">
        <is>
          <t>FARMACOVIGILANCIA / TECNOVIGILANCIA</t>
        </is>
      </c>
      <c r="AI415" s="533" t="inlineStr">
        <is>
          <t>VOMITO FRANCO</t>
        </is>
      </c>
      <c r="AJ415" s="533" t="inlineStr">
        <is>
          <t>APLICACIÓN FUERA DE LA EDAD</t>
        </is>
      </c>
      <c r="AK415" s="533" t="inlineStr">
        <is>
          <t>POR DECISIÓN FINAL DEL PACIENTE DE NO VACUNACIÓN</t>
        </is>
      </c>
      <c r="AL415" s="566" t="inlineStr">
        <is>
          <t>SINIESTRO O ROBO</t>
        </is>
      </c>
      <c r="AM415" s="973" t="n"/>
      <c r="AN415" s="333" t="n"/>
      <c r="AQ415" s="332" t="n"/>
      <c r="AR415" s="332" t="n"/>
      <c r="AS415" s="332" t="n"/>
      <c r="AT415" s="332" t="n"/>
      <c r="AU415" s="332" t="n"/>
      <c r="AV415" s="566" t="inlineStr">
        <is>
          <t>Dosis reportadas Plantilla Cero</t>
        </is>
      </c>
      <c r="AW415" s="566" t="inlineStr">
        <is>
          <t>Diferencia dosis aplicadas vs dosis reportadas plantilla cero</t>
        </is>
      </c>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inlineStr">
        <is>
          <t>INSTITUCIONAL</t>
        </is>
      </c>
      <c r="AA416" s="533" t="inlineStr">
        <is>
          <t>EXTRAMURAL</t>
        </is>
      </c>
      <c r="AB416" s="533" t="inlineStr">
        <is>
          <t>TOTAL</t>
        </is>
      </c>
      <c r="AC416" s="975" t="n"/>
      <c r="AD416" s="975" t="n"/>
      <c r="AE416" s="975" t="n"/>
      <c r="AF416" s="975" t="n"/>
      <c r="AG416" s="975" t="n"/>
      <c r="AH416" s="975" t="n"/>
      <c r="AI416" s="975" t="n"/>
      <c r="AJ416" s="975" t="n"/>
      <c r="AK416" s="975" t="n"/>
      <c r="AL416" s="975" t="n"/>
      <c r="AM416" s="975" t="n"/>
      <c r="AN416" s="333" t="n"/>
      <c r="AQ416" s="546" t="inlineStr">
        <is>
          <t>PORCENTAJE DE PERDIDA DEL MES
%</t>
        </is>
      </c>
      <c r="AR416" s="546" t="inlineStr">
        <is>
          <t>FACTOR DE PERDIDA DEL MES</t>
        </is>
      </c>
      <c r="AS416" s="420" t="inlineStr">
        <is>
          <t>% DE PERDIDA DEL MSPS</t>
        </is>
      </c>
      <c r="AT416" s="420" t="inlineStr">
        <is>
          <t>DOSIS POR VIAL</t>
        </is>
      </c>
      <c r="AU416" s="332" t="n"/>
      <c r="AV416" s="975" t="n"/>
      <c r="AW416" s="975" t="n"/>
    </row>
    <row r="417" ht="17.25" customHeight="1">
      <c r="A417" s="585" t="n">
        <v>1</v>
      </c>
      <c r="B417" s="640" t="inlineStr">
        <is>
          <t>Vacuna de BCG (Bacilo de Calmette y Guérin) Liofilizada</t>
        </is>
      </c>
      <c r="C417" s="965" t="n"/>
      <c r="D417" s="413">
        <f>SEPTIEMBRE!K417</f>
        <v/>
      </c>
      <c r="E417" s="339">
        <f>H13</f>
        <v/>
      </c>
      <c r="F417" s="338" t="n"/>
      <c r="G417" s="338" t="n"/>
      <c r="H417" s="1235">
        <f>+F417+G417</f>
        <v/>
      </c>
      <c r="I417" s="340">
        <f>+AM417</f>
        <v/>
      </c>
      <c r="J417" s="341">
        <f>+H417+I417</f>
        <v/>
      </c>
      <c r="K417" s="583">
        <f>+(D417+E417)-(J417)</f>
        <v/>
      </c>
      <c r="L417" s="253" t="n"/>
      <c r="M417" s="254" t="n"/>
      <c r="N417" s="254" t="n"/>
      <c r="O417" s="1183" t="n"/>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c r="AA417" s="648" t="n"/>
      <c r="AB417" s="649">
        <f>+Z417+AA417</f>
        <v/>
      </c>
      <c r="AC417" s="648" t="n"/>
      <c r="AD417" s="648" t="n"/>
      <c r="AE417" s="648" t="n"/>
      <c r="AF417" s="648" t="n"/>
      <c r="AG417" s="648" t="n"/>
      <c r="AH417" s="648" t="n"/>
      <c r="AI417" s="648" t="n"/>
      <c r="AJ417" s="648" t="n"/>
      <c r="AK417" s="648" t="n"/>
      <c r="AL417" s="648" t="n"/>
      <c r="AM417" s="421">
        <f>SUM(AB417:AL421)</f>
        <v/>
      </c>
      <c r="AN417" s="726" t="n"/>
      <c r="AQ417" s="1238">
        <f>IFERROR(I417/J417*100,"0")</f>
        <v/>
      </c>
      <c r="AR417" s="343">
        <f>IFERROR(1/(1-(AQ417/100)),"0")</f>
        <v/>
      </c>
      <c r="AS417" s="1239" t="n">
        <v>75</v>
      </c>
      <c r="AT417" s="345" t="n">
        <v>20</v>
      </c>
      <c r="AU417" s="1240" t="n"/>
      <c r="AV417" s="1241" t="n"/>
      <c r="AW417" s="1242">
        <f>+H417-AV417</f>
        <v/>
      </c>
    </row>
    <row r="418" ht="17.25" customHeight="1">
      <c r="A418" s="973" t="n"/>
      <c r="B418" s="971" t="n"/>
      <c r="C418" s="972" t="n"/>
      <c r="D418" s="973" t="n"/>
      <c r="E418" s="973" t="n"/>
      <c r="F418" s="994" t="n"/>
      <c r="G418" s="994" t="n"/>
      <c r="H418" s="973" t="n"/>
      <c r="I418" s="973" t="n"/>
      <c r="J418" s="973" t="n"/>
      <c r="K418" s="973" t="n"/>
      <c r="L418" s="253" t="n"/>
      <c r="M418" s="254" t="n"/>
      <c r="N418" s="254" t="n"/>
      <c r="O418" s="1183" t="n"/>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73" t="n"/>
      <c r="E419" s="973" t="n"/>
      <c r="F419" s="994" t="n"/>
      <c r="G419" s="994" t="n"/>
      <c r="H419" s="973" t="n"/>
      <c r="I419" s="973" t="n"/>
      <c r="J419" s="973" t="n"/>
      <c r="K419" s="973" t="n"/>
      <c r="L419" s="253" t="n"/>
      <c r="M419" s="254" t="n"/>
      <c r="N419" s="254" t="n"/>
      <c r="O419" s="1183" t="n"/>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73" t="n"/>
      <c r="E420" s="973" t="n"/>
      <c r="F420" s="994" t="n"/>
      <c r="G420" s="994" t="n"/>
      <c r="H420" s="973" t="n"/>
      <c r="I420" s="973" t="n"/>
      <c r="J420" s="973" t="n"/>
      <c r="K420" s="973" t="n"/>
      <c r="L420" s="253" t="n"/>
      <c r="M420" s="254" t="n"/>
      <c r="N420" s="254" t="n"/>
      <c r="O420" s="1183" t="n"/>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73"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75" t="n"/>
      <c r="E422" s="975" t="n"/>
      <c r="F422" s="998" t="n"/>
      <c r="G422" s="998" t="n"/>
      <c r="H422" s="975" t="n"/>
      <c r="I422" s="975" t="n"/>
      <c r="J422" s="975" t="n"/>
      <c r="K422" s="1189">
        <f>K417=L422</f>
        <v/>
      </c>
      <c r="L422" s="491">
        <f>SUM(L417:L421)</f>
        <v/>
      </c>
      <c r="M422" s="1190" t="inlineStr">
        <is>
          <t xml:space="preserve">“Verdadero” indica que la cantidad por lote, coincide con el saldo que inicia al mes siguiente. "Falso" no coinicide. </t>
        </is>
      </c>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413">
        <f>SEPTIEMBRE!K423</f>
        <v/>
      </c>
      <c r="E423" s="339">
        <f>H19</f>
        <v/>
      </c>
      <c r="F423" s="338" t="n"/>
      <c r="G423" s="338" t="n"/>
      <c r="H423" s="1235">
        <f>+F423+G423</f>
        <v/>
      </c>
      <c r="I423" s="340">
        <f>+AM423</f>
        <v/>
      </c>
      <c r="J423" s="341">
        <f>+H423+I423</f>
        <v/>
      </c>
      <c r="K423" s="583">
        <f>+(D423+E423)-(J423)</f>
        <v/>
      </c>
      <c r="L423" s="253" t="n"/>
      <c r="M423" s="254" t="n"/>
      <c r="N423" s="254" t="n"/>
      <c r="O423" s="1183" t="n"/>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c r="AA423" s="648" t="n"/>
      <c r="AB423" s="649">
        <f>+Z423+AA423</f>
        <v/>
      </c>
      <c r="AC423" s="648" t="n"/>
      <c r="AD423" s="648" t="n"/>
      <c r="AE423" s="648" t="n"/>
      <c r="AF423" s="648" t="n"/>
      <c r="AG423" s="648" t="n"/>
      <c r="AH423" s="648" t="n"/>
      <c r="AI423" s="648" t="n"/>
      <c r="AJ423" s="648" t="n"/>
      <c r="AK423" s="648" t="n"/>
      <c r="AL423" s="648" t="n"/>
      <c r="AM423" s="421">
        <f>SUM(AB423:AL427)</f>
        <v/>
      </c>
      <c r="AN423" s="726" t="n"/>
      <c r="AQ423" s="1238">
        <f>IFERROR(I423/J423*100,"0")</f>
        <v/>
      </c>
      <c r="AR423" s="343">
        <f>IFERROR(1/(1-(AQ423/100)),"0")</f>
        <v/>
      </c>
      <c r="AS423" s="1239" t="n">
        <v>0</v>
      </c>
      <c r="AT423" s="345" t="n">
        <v>1</v>
      </c>
      <c r="AU423" s="1240" t="n"/>
      <c r="AV423" s="1241" t="n"/>
      <c r="AW423" s="1242">
        <f>+H423-AV423</f>
        <v/>
      </c>
    </row>
    <row r="424" ht="17.25" customHeight="1">
      <c r="A424" s="973" t="n"/>
      <c r="B424" s="971" t="n"/>
      <c r="C424" s="972" t="n"/>
      <c r="D424" s="973" t="n"/>
      <c r="E424" s="973" t="n"/>
      <c r="F424" s="994" t="n"/>
      <c r="G424" s="994" t="n"/>
      <c r="H424" s="973" t="n"/>
      <c r="I424" s="973" t="n"/>
      <c r="J424" s="973" t="n"/>
      <c r="K424" s="973" t="n"/>
      <c r="L424" s="253" t="n"/>
      <c r="M424" s="254" t="n"/>
      <c r="N424" s="254" t="n"/>
      <c r="O424" s="1183" t="n"/>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73" t="n"/>
      <c r="E425" s="973" t="n"/>
      <c r="F425" s="994" t="n"/>
      <c r="G425" s="994" t="n"/>
      <c r="H425" s="973" t="n"/>
      <c r="I425" s="973" t="n"/>
      <c r="J425" s="973" t="n"/>
      <c r="K425" s="973" t="n"/>
      <c r="L425" s="253" t="n"/>
      <c r="M425" s="254" t="n"/>
      <c r="N425" s="254" t="n"/>
      <c r="O425" s="1183" t="n"/>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73" t="n"/>
      <c r="E426" s="973" t="n"/>
      <c r="F426" s="994" t="n"/>
      <c r="G426" s="994" t="n"/>
      <c r="H426" s="973" t="n"/>
      <c r="I426" s="973" t="n"/>
      <c r="J426" s="973" t="n"/>
      <c r="K426" s="973" t="n"/>
      <c r="L426" s="253" t="n"/>
      <c r="M426" s="254" t="n"/>
      <c r="N426" s="254" t="n"/>
      <c r="O426" s="1183" t="n"/>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73" t="n"/>
      <c r="E427" s="973" t="n"/>
      <c r="F427" s="994" t="n"/>
      <c r="G427" s="994" t="n"/>
      <c r="H427" s="973" t="n"/>
      <c r="I427" s="973" t="n"/>
      <c r="J427" s="973" t="n"/>
      <c r="K427" s="975" t="n"/>
      <c r="L427" s="253" t="n"/>
      <c r="M427" s="254" t="n"/>
      <c r="N427" s="254" t="n"/>
      <c r="O427" s="1183" t="n"/>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75" t="n"/>
      <c r="E428" s="975" t="n"/>
      <c r="F428" s="998" t="n"/>
      <c r="G428" s="998" t="n"/>
      <c r="H428" s="975" t="n"/>
      <c r="I428" s="975" t="n"/>
      <c r="J428" s="975" t="n"/>
      <c r="K428" s="1189">
        <f>K423=L428</f>
        <v/>
      </c>
      <c r="L428" s="491">
        <f>SUM(L423:L427)</f>
        <v/>
      </c>
      <c r="M428" s="1190" t="inlineStr">
        <is>
          <t xml:space="preserve">“Verdadero” indica que la cantidad por lote, coincide con el saldo que inicia al mes siguiente. "Falso" no coinicide. </t>
        </is>
      </c>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413">
        <f>SEPTIEMBRE!K429</f>
        <v/>
      </c>
      <c r="E429" s="339">
        <f>H25</f>
        <v/>
      </c>
      <c r="F429" s="338" t="n"/>
      <c r="G429" s="338" t="n"/>
      <c r="H429" s="1235">
        <f>+F429+G429</f>
        <v/>
      </c>
      <c r="I429" s="340">
        <f>+AM429</f>
        <v/>
      </c>
      <c r="J429" s="341">
        <f>+H429+I429</f>
        <v/>
      </c>
      <c r="K429" s="583">
        <f>+(D429+E429)-(J429)</f>
        <v/>
      </c>
      <c r="L429" s="253" t="n"/>
      <c r="M429" s="254" t="n"/>
      <c r="N429" s="254" t="n"/>
      <c r="O429" s="1183" t="n"/>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c r="AA429" s="648" t="n"/>
      <c r="AB429" s="649">
        <f>+Z429+AA429</f>
        <v/>
      </c>
      <c r="AC429" s="648" t="n"/>
      <c r="AD429" s="648" t="n"/>
      <c r="AE429" s="648" t="n"/>
      <c r="AF429" s="648" t="n"/>
      <c r="AG429" s="648" t="n"/>
      <c r="AH429" s="648" t="n"/>
      <c r="AI429" s="648" t="n"/>
      <c r="AJ429" s="648" t="n"/>
      <c r="AK429" s="648" t="n"/>
      <c r="AL429" s="648" t="n"/>
      <c r="AM429" s="421">
        <f>SUM(AB429:AL433)</f>
        <v/>
      </c>
      <c r="AN429" s="726" t="n"/>
      <c r="AQ429" s="1238">
        <f>IFERROR(I429/J429*100,"0")</f>
        <v/>
      </c>
      <c r="AR429" s="343">
        <f>IFERROR(1/(1-(AQ429/100)),"0")</f>
        <v/>
      </c>
      <c r="AS429" s="1239" t="n">
        <v>0</v>
      </c>
      <c r="AT429" s="345" t="n">
        <v>1</v>
      </c>
      <c r="AU429" s="1240" t="n"/>
      <c r="AV429" s="1241" t="n"/>
      <c r="AW429" s="1242">
        <f>+H429-AV429</f>
        <v/>
      </c>
    </row>
    <row r="430" ht="17.25" customHeight="1">
      <c r="A430" s="973" t="n"/>
      <c r="B430" s="971" t="n"/>
      <c r="C430" s="972" t="n"/>
      <c r="D430" s="973" t="n"/>
      <c r="E430" s="973" t="n"/>
      <c r="F430" s="994" t="n"/>
      <c r="G430" s="994" t="n"/>
      <c r="H430" s="973" t="n"/>
      <c r="I430" s="973" t="n"/>
      <c r="J430" s="973" t="n"/>
      <c r="K430" s="973" t="n"/>
      <c r="L430" s="253" t="n"/>
      <c r="M430" s="254" t="n"/>
      <c r="N430" s="254" t="n"/>
      <c r="O430" s="1183" t="n"/>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73" t="n"/>
      <c r="E431" s="973" t="n"/>
      <c r="F431" s="994" t="n"/>
      <c r="G431" s="994" t="n"/>
      <c r="H431" s="973" t="n"/>
      <c r="I431" s="973" t="n"/>
      <c r="J431" s="973" t="n"/>
      <c r="K431" s="973" t="n"/>
      <c r="L431" s="253" t="n"/>
      <c r="M431" s="254" t="n"/>
      <c r="N431" s="254" t="n"/>
      <c r="O431" s="1183" t="n"/>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73" t="n"/>
      <c r="E432" s="973" t="n"/>
      <c r="F432" s="994" t="n"/>
      <c r="G432" s="994" t="n"/>
      <c r="H432" s="973" t="n"/>
      <c r="I432" s="973" t="n"/>
      <c r="J432" s="973" t="n"/>
      <c r="K432" s="973" t="n"/>
      <c r="L432" s="253" t="n"/>
      <c r="M432" s="254" t="n"/>
      <c r="N432" s="254" t="n"/>
      <c r="O432" s="1183" t="n"/>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73"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75" t="n"/>
      <c r="E434" s="975" t="n"/>
      <c r="F434" s="998" t="n"/>
      <c r="G434" s="998" t="n"/>
      <c r="H434" s="975" t="n"/>
      <c r="I434" s="975" t="n"/>
      <c r="J434" s="975" t="n"/>
      <c r="K434" s="1189">
        <f>K429=L434</f>
        <v/>
      </c>
      <c r="L434" s="491">
        <f>SUM(L429:L433)</f>
        <v/>
      </c>
      <c r="M434" s="1190" t="inlineStr">
        <is>
          <t xml:space="preserve">“Verdadero” indica que la cantidad por lote, coincide con el saldo que inicia al mes siguiente. "Falso" no coinicide. </t>
        </is>
      </c>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413">
        <f>SEPTIEMBRE!K435</f>
        <v/>
      </c>
      <c r="E435" s="339">
        <f>H31</f>
        <v/>
      </c>
      <c r="F435" s="338" t="n"/>
      <c r="G435" s="338" t="n"/>
      <c r="H435" s="1235">
        <f>+F435+G435</f>
        <v/>
      </c>
      <c r="I435" s="340">
        <f>+AM435</f>
        <v/>
      </c>
      <c r="J435" s="341">
        <f>+H435+I435</f>
        <v/>
      </c>
      <c r="K435" s="583">
        <f>+(D435+E435)-(J435)</f>
        <v/>
      </c>
      <c r="L435" s="253" t="n"/>
      <c r="M435" s="254" t="n"/>
      <c r="N435" s="254" t="n"/>
      <c r="O435" s="1183" t="n"/>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c r="AA435" s="648" t="n"/>
      <c r="AB435" s="649">
        <f>+Z435+AA435</f>
        <v/>
      </c>
      <c r="AC435" s="648" t="n"/>
      <c r="AD435" s="648" t="n"/>
      <c r="AE435" s="648" t="n"/>
      <c r="AF435" s="648" t="n"/>
      <c r="AG435" s="648" t="n"/>
      <c r="AH435" s="648" t="n"/>
      <c r="AI435" s="648" t="n"/>
      <c r="AJ435" s="648" t="n"/>
      <c r="AK435" s="648" t="n"/>
      <c r="AL435" s="648" t="n"/>
      <c r="AM435" s="421">
        <f>SUM(AB435:AL439)</f>
        <v/>
      </c>
      <c r="AN435" s="726" t="n"/>
      <c r="AQ435" s="1238">
        <f>IFERROR(I435/J435*100,"0")</f>
        <v/>
      </c>
      <c r="AR435" s="343">
        <f>IFERROR(1/(1-(AQ435/100)),"0")</f>
        <v/>
      </c>
      <c r="AS435" s="1239" t="n">
        <v>15</v>
      </c>
      <c r="AT435" s="345" t="n">
        <v>5</v>
      </c>
      <c r="AU435" s="1240" t="n"/>
      <c r="AV435" s="1241" t="n"/>
      <c r="AW435" s="1242">
        <f>+H435-AV435</f>
        <v/>
      </c>
    </row>
    <row r="436" ht="17.25" customHeight="1">
      <c r="A436" s="973" t="n"/>
      <c r="B436" s="971" t="n"/>
      <c r="C436" s="972" t="n"/>
      <c r="D436" s="973" t="n"/>
      <c r="E436" s="973" t="n"/>
      <c r="F436" s="994" t="n"/>
      <c r="G436" s="994" t="n"/>
      <c r="H436" s="973" t="n"/>
      <c r="I436" s="973" t="n"/>
      <c r="J436" s="973" t="n"/>
      <c r="K436" s="973" t="n"/>
      <c r="L436" s="253" t="n"/>
      <c r="M436" s="254" t="n"/>
      <c r="N436" s="254" t="n"/>
      <c r="O436" s="1183" t="n"/>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73" t="n"/>
      <c r="E437" s="973" t="n"/>
      <c r="F437" s="994" t="n"/>
      <c r="G437" s="994" t="n"/>
      <c r="H437" s="973" t="n"/>
      <c r="I437" s="973" t="n"/>
      <c r="J437" s="973" t="n"/>
      <c r="K437" s="973" t="n"/>
      <c r="L437" s="253" t="n"/>
      <c r="M437" s="254" t="n"/>
      <c r="N437" s="254" t="n"/>
      <c r="O437" s="1183" t="n"/>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73" t="n"/>
      <c r="E438" s="973" t="n"/>
      <c r="F438" s="994" t="n"/>
      <c r="G438" s="994" t="n"/>
      <c r="H438" s="973" t="n"/>
      <c r="I438" s="973" t="n"/>
      <c r="J438" s="973" t="n"/>
      <c r="K438" s="973" t="n"/>
      <c r="L438" s="253" t="n"/>
      <c r="M438" s="254" t="n"/>
      <c r="N438" s="254" t="n"/>
      <c r="O438" s="1183" t="n"/>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73" t="n"/>
      <c r="E439" s="973" t="n"/>
      <c r="F439" s="994" t="n"/>
      <c r="G439" s="994" t="n"/>
      <c r="H439" s="973" t="n"/>
      <c r="I439" s="973" t="n"/>
      <c r="J439" s="973" t="n"/>
      <c r="K439" s="975" t="n"/>
      <c r="L439" s="253" t="n"/>
      <c r="M439" s="254" t="n"/>
      <c r="N439" s="254" t="n"/>
      <c r="O439" s="1183" t="n"/>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75" t="n"/>
      <c r="E440" s="975" t="n"/>
      <c r="F440" s="998" t="n"/>
      <c r="G440" s="998" t="n"/>
      <c r="H440" s="975" t="n"/>
      <c r="I440" s="975" t="n"/>
      <c r="J440" s="975" t="n"/>
      <c r="K440" s="1189">
        <f>K435=L440</f>
        <v/>
      </c>
      <c r="L440" s="491">
        <f>SUM(L435:L439)</f>
        <v/>
      </c>
      <c r="M440" s="1190" t="inlineStr">
        <is>
          <t xml:space="preserve">“Verdadero” indica que la cantidad por lote, coincide con el saldo que inicia al mes siguiente. "Falso" no coinicide. </t>
        </is>
      </c>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413">
        <f>SEPTIEMBRE!K441</f>
        <v/>
      </c>
      <c r="E441" s="339">
        <f>H37</f>
        <v/>
      </c>
      <c r="F441" s="338" t="n"/>
      <c r="G441" s="338" t="n"/>
      <c r="H441" s="1235">
        <f>+F441+G441</f>
        <v/>
      </c>
      <c r="I441" s="340">
        <f>+AM441</f>
        <v/>
      </c>
      <c r="J441" s="341">
        <f>+H441+I441</f>
        <v/>
      </c>
      <c r="K441" s="583">
        <f>+(D441+E441)-(J441)</f>
        <v/>
      </c>
      <c r="L441" s="253" t="n"/>
      <c r="M441" s="254" t="n"/>
      <c r="N441" s="254" t="n"/>
      <c r="O441" s="1183" t="n"/>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c r="AA441" s="648" t="n"/>
      <c r="AB441" s="649">
        <f>+Z441+AA441</f>
        <v/>
      </c>
      <c r="AC441" s="648" t="n"/>
      <c r="AD441" s="648" t="n"/>
      <c r="AE441" s="648" t="n"/>
      <c r="AF441" s="648" t="n"/>
      <c r="AG441" s="648" t="n"/>
      <c r="AH441" s="648" t="n"/>
      <c r="AI441" s="648" t="n"/>
      <c r="AJ441" s="648" t="n"/>
      <c r="AK441" s="648" t="n"/>
      <c r="AL441" s="648" t="n"/>
      <c r="AM441" s="421">
        <f>SUM(AB441:AL445)</f>
        <v/>
      </c>
      <c r="AN441" s="726" t="n"/>
      <c r="AQ441" s="1238">
        <f>IFERROR(I441/J441*100,"0")</f>
        <v/>
      </c>
      <c r="AR441" s="343">
        <f>IFERROR(1/(1-(AQ441/100)),"0")</f>
        <v/>
      </c>
      <c r="AS441" s="1239" t="n">
        <v>0</v>
      </c>
      <c r="AT441" s="345" t="n">
        <v>1</v>
      </c>
      <c r="AU441" s="1240" t="n"/>
      <c r="AV441" s="1241" t="n"/>
      <c r="AW441" s="1242">
        <f>+H441-AV441</f>
        <v/>
      </c>
    </row>
    <row r="442" ht="17.25" customHeight="1">
      <c r="A442" s="973" t="n"/>
      <c r="B442" s="971" t="n"/>
      <c r="C442" s="972" t="n"/>
      <c r="D442" s="973" t="n"/>
      <c r="E442" s="973" t="n"/>
      <c r="F442" s="994" t="n"/>
      <c r="G442" s="994" t="n"/>
      <c r="H442" s="973" t="n"/>
      <c r="I442" s="973" t="n"/>
      <c r="J442" s="973" t="n"/>
      <c r="K442" s="973" t="n"/>
      <c r="L442" s="253" t="n"/>
      <c r="M442" s="254" t="n"/>
      <c r="N442" s="254" t="n"/>
      <c r="O442" s="1183" t="n"/>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73" t="n"/>
      <c r="E443" s="973" t="n"/>
      <c r="F443" s="994" t="n"/>
      <c r="G443" s="994" t="n"/>
      <c r="H443" s="973" t="n"/>
      <c r="I443" s="973" t="n"/>
      <c r="J443" s="973" t="n"/>
      <c r="K443" s="973" t="n"/>
      <c r="L443" s="253" t="n"/>
      <c r="M443" s="254" t="n"/>
      <c r="N443" s="254" t="n"/>
      <c r="O443" s="1183" t="n"/>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73" t="n"/>
      <c r="E444" s="973" t="n"/>
      <c r="F444" s="994" t="n"/>
      <c r="G444" s="994" t="n"/>
      <c r="H444" s="973" t="n"/>
      <c r="I444" s="973" t="n"/>
      <c r="J444" s="973" t="n"/>
      <c r="K444" s="973" t="n"/>
      <c r="L444" s="253" t="n"/>
      <c r="M444" s="254" t="n"/>
      <c r="N444" s="254" t="n"/>
      <c r="O444" s="1183" t="n"/>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73"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75" t="n"/>
      <c r="E446" s="975" t="n"/>
      <c r="F446" s="998" t="n"/>
      <c r="G446" s="998" t="n"/>
      <c r="H446" s="975" t="n"/>
      <c r="I446" s="975" t="n"/>
      <c r="J446" s="975" t="n"/>
      <c r="K446" s="1189">
        <f>K441=L446</f>
        <v/>
      </c>
      <c r="L446" s="491">
        <f>SUM(L441:L445)</f>
        <v/>
      </c>
      <c r="M446" s="1190" t="inlineStr">
        <is>
          <t xml:space="preserve">“Verdadero” indica que la cantidad por lote, coincide con el saldo que inicia al mes siguiente. "Falso" no coinicide. </t>
        </is>
      </c>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413">
        <f>SEPTIEMBRE!K447</f>
        <v/>
      </c>
      <c r="E447" s="339">
        <f>H43</f>
        <v/>
      </c>
      <c r="F447" s="338" t="n"/>
      <c r="G447" s="338" t="n"/>
      <c r="H447" s="1235">
        <f>+F447+G447</f>
        <v/>
      </c>
      <c r="I447" s="340">
        <f>+AM447</f>
        <v/>
      </c>
      <c r="J447" s="341">
        <f>+H447+I447</f>
        <v/>
      </c>
      <c r="K447" s="583">
        <f>+(D447+E447)-(J447)</f>
        <v/>
      </c>
      <c r="L447" s="253" t="n"/>
      <c r="M447" s="254" t="n"/>
      <c r="N447" s="254" t="n"/>
      <c r="O447" s="1183" t="n"/>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c r="AA447" s="648" t="n"/>
      <c r="AB447" s="649">
        <f>+Z447+AA447</f>
        <v/>
      </c>
      <c r="AC447" s="648" t="n"/>
      <c r="AD447" s="648" t="n"/>
      <c r="AE447" s="648" t="n"/>
      <c r="AF447" s="648" t="n"/>
      <c r="AG447" s="648" t="n"/>
      <c r="AH447" s="648" t="n"/>
      <c r="AI447" s="648" t="n"/>
      <c r="AJ447" s="648" t="n"/>
      <c r="AK447" s="648" t="n"/>
      <c r="AL447" s="648" t="n"/>
      <c r="AM447" s="421">
        <f>SUM(AB447:AL451)</f>
        <v/>
      </c>
      <c r="AN447" s="726" t="n"/>
      <c r="AQ447" s="1238">
        <f>IFERROR(I447/J447*100,"0")</f>
        <v/>
      </c>
      <c r="AR447" s="343">
        <f>IFERROR(1/(1-(AQ447/100)),"0")</f>
        <v/>
      </c>
      <c r="AS447" s="1239" t="n">
        <v>0</v>
      </c>
      <c r="AT447" s="345" t="n">
        <v>1</v>
      </c>
      <c r="AU447" s="1240" t="n"/>
      <c r="AV447" s="1241" t="n"/>
      <c r="AW447" s="1242">
        <f>+H447-AV447</f>
        <v/>
      </c>
    </row>
    <row r="448" ht="17.25" customHeight="1">
      <c r="A448" s="973" t="n"/>
      <c r="B448" s="971" t="n"/>
      <c r="C448" s="972" t="n"/>
      <c r="D448" s="973" t="n"/>
      <c r="E448" s="973" t="n"/>
      <c r="F448" s="994" t="n"/>
      <c r="G448" s="994" t="n"/>
      <c r="H448" s="973" t="n"/>
      <c r="I448" s="973" t="n"/>
      <c r="J448" s="973" t="n"/>
      <c r="K448" s="973" t="n"/>
      <c r="L448" s="253" t="n"/>
      <c r="M448" s="254" t="n"/>
      <c r="N448" s="254" t="n"/>
      <c r="O448" s="1183" t="n"/>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73" t="n"/>
      <c r="E449" s="973" t="n"/>
      <c r="F449" s="994" t="n"/>
      <c r="G449" s="994" t="n"/>
      <c r="H449" s="973" t="n"/>
      <c r="I449" s="973" t="n"/>
      <c r="J449" s="973" t="n"/>
      <c r="K449" s="973" t="n"/>
      <c r="L449" s="253" t="n"/>
      <c r="M449" s="254" t="n"/>
      <c r="N449" s="254" t="n"/>
      <c r="O449" s="1183" t="n"/>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73" t="n"/>
      <c r="E450" s="973" t="n"/>
      <c r="F450" s="994" t="n"/>
      <c r="G450" s="994" t="n"/>
      <c r="H450" s="973" t="n"/>
      <c r="I450" s="973" t="n"/>
      <c r="J450" s="973" t="n"/>
      <c r="K450" s="973" t="n"/>
      <c r="L450" s="253" t="n"/>
      <c r="M450" s="254" t="n"/>
      <c r="N450" s="254" t="n"/>
      <c r="O450" s="1183" t="n"/>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73" t="n"/>
      <c r="E451" s="973" t="n"/>
      <c r="F451" s="994" t="n"/>
      <c r="G451" s="994" t="n"/>
      <c r="H451" s="973" t="n"/>
      <c r="I451" s="973" t="n"/>
      <c r="J451" s="973" t="n"/>
      <c r="K451" s="975" t="n"/>
      <c r="L451" s="253" t="n"/>
      <c r="M451" s="254" t="n"/>
      <c r="N451" s="254" t="n"/>
      <c r="O451" s="1183" t="n"/>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75" t="n"/>
      <c r="E452" s="975" t="n"/>
      <c r="F452" s="998" t="n"/>
      <c r="G452" s="998" t="n"/>
      <c r="H452" s="975" t="n"/>
      <c r="I452" s="975" t="n"/>
      <c r="J452" s="975" t="n"/>
      <c r="K452" s="1189">
        <f>K447=L452</f>
        <v/>
      </c>
      <c r="L452" s="491">
        <f>SUM(L447:L451)</f>
        <v/>
      </c>
      <c r="M452" s="1190" t="inlineStr">
        <is>
          <t xml:space="preserve">“Verdadero” indica que la cantidad por lote, coincide con el saldo que inicia al mes siguiente. "Falso" no coinicide. </t>
        </is>
      </c>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413">
        <f>SEPTIEMBRE!K453</f>
        <v/>
      </c>
      <c r="E453" s="339">
        <f>H49</f>
        <v/>
      </c>
      <c r="F453" s="338" t="n"/>
      <c r="G453" s="338" t="n"/>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c r="AA453" s="648" t="n"/>
      <c r="AB453" s="649">
        <f>+Z453+AA453</f>
        <v/>
      </c>
      <c r="AC453" s="648" t="n"/>
      <c r="AD453" s="648" t="n"/>
      <c r="AE453" s="648" t="n"/>
      <c r="AF453" s="648" t="n"/>
      <c r="AG453" s="648" t="n"/>
      <c r="AH453" s="648" t="n"/>
      <c r="AI453" s="648" t="n"/>
      <c r="AJ453" s="648" t="n"/>
      <c r="AK453" s="648" t="n"/>
      <c r="AL453" s="648" t="n"/>
      <c r="AM453" s="421">
        <f>SUM(AB453:AL457)</f>
        <v/>
      </c>
      <c r="AN453" s="726" t="n"/>
      <c r="AQ453" s="1238">
        <f>IFERROR(I453/J453*100,"0")</f>
        <v/>
      </c>
      <c r="AR453" s="343">
        <f>IFERROR(1/(1-(AQ453/100)),"0")</f>
        <v/>
      </c>
      <c r="AS453" s="1239" t="n">
        <v>0</v>
      </c>
      <c r="AT453" s="345" t="n">
        <v>1</v>
      </c>
      <c r="AU453" s="1240" t="n"/>
      <c r="AV453" s="1241" t="n"/>
      <c r="AW453" s="1242">
        <f>+H453-AV453</f>
        <v/>
      </c>
    </row>
    <row r="454" ht="17.25" customHeight="1">
      <c r="A454" s="973" t="n"/>
      <c r="B454" s="971" t="n"/>
      <c r="C454" s="972" t="n"/>
      <c r="D454" s="973"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73"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73"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73"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75" t="n"/>
      <c r="E458" s="975" t="n"/>
      <c r="F458" s="998" t="n"/>
      <c r="G458" s="998" t="n"/>
      <c r="H458" s="975" t="n"/>
      <c r="I458" s="975" t="n"/>
      <c r="J458" s="975" t="n"/>
      <c r="K458" s="1189">
        <f>K453=L458</f>
        <v/>
      </c>
      <c r="L458" s="491">
        <f>SUM(L453:L457)</f>
        <v/>
      </c>
      <c r="M458" s="1190" t="inlineStr">
        <is>
          <t xml:space="preserve">“Verdadero” indica que la cantidad por lote, coincide con el saldo que inicia al mes siguiente. "Falso" no coinicide. </t>
        </is>
      </c>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413">
        <f>SEPTIEMBRE!K459</f>
        <v/>
      </c>
      <c r="E459" s="339">
        <f>H55</f>
        <v/>
      </c>
      <c r="F459" s="338" t="n"/>
      <c r="G459" s="338" t="n"/>
      <c r="H459" s="1235">
        <f>+F459+G459</f>
        <v/>
      </c>
      <c r="I459" s="340">
        <f>+AM459</f>
        <v/>
      </c>
      <c r="J459" s="341">
        <f>+H459+I459</f>
        <v/>
      </c>
      <c r="K459" s="583">
        <f>+(D459+E459)-(J459)</f>
        <v/>
      </c>
      <c r="L459" s="253" t="n"/>
      <c r="M459" s="254" t="n"/>
      <c r="N459" s="254" t="n"/>
      <c r="O459" s="1183" t="n"/>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c r="AA459" s="648" t="n"/>
      <c r="AB459" s="649">
        <f>+Z459+AA459</f>
        <v/>
      </c>
      <c r="AC459" s="648" t="n"/>
      <c r="AD459" s="648" t="n"/>
      <c r="AE459" s="648" t="n"/>
      <c r="AF459" s="648" t="n"/>
      <c r="AG459" s="648" t="n"/>
      <c r="AH459" s="648" t="n"/>
      <c r="AI459" s="648" t="n"/>
      <c r="AJ459" s="648" t="n"/>
      <c r="AK459" s="648" t="n"/>
      <c r="AL459" s="648" t="n"/>
      <c r="AM459" s="421">
        <f>SUM(AB459:AL463)</f>
        <v/>
      </c>
      <c r="AN459" s="726" t="n"/>
      <c r="AQ459" s="1238">
        <f>IFERROR(I459/J459*100,"0")</f>
        <v/>
      </c>
      <c r="AR459" s="343">
        <f>IFERROR(1/(1-(AQ459/100)),"0")</f>
        <v/>
      </c>
      <c r="AS459" s="1239" t="n">
        <v>30</v>
      </c>
      <c r="AT459" s="345" t="n">
        <v>10</v>
      </c>
      <c r="AU459" s="1240" t="n"/>
      <c r="AV459" s="1241" t="n"/>
      <c r="AW459" s="1242">
        <f>+H459-AV459</f>
        <v/>
      </c>
    </row>
    <row r="460" ht="17.25" customHeight="1">
      <c r="A460" s="973" t="n"/>
      <c r="B460" s="971" t="n"/>
      <c r="C460" s="972" t="n"/>
      <c r="D460" s="973" t="n"/>
      <c r="E460" s="973" t="n"/>
      <c r="F460" s="994" t="n"/>
      <c r="G460" s="994" t="n"/>
      <c r="H460" s="973" t="n"/>
      <c r="I460" s="973" t="n"/>
      <c r="J460" s="973" t="n"/>
      <c r="K460" s="973" t="n"/>
      <c r="L460" s="253" t="n"/>
      <c r="M460" s="254" t="n"/>
      <c r="N460" s="254" t="n"/>
      <c r="O460" s="1183" t="n"/>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73"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73"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73"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75" t="n"/>
      <c r="E464" s="975" t="n"/>
      <c r="F464" s="998" t="n"/>
      <c r="G464" s="998" t="n"/>
      <c r="H464" s="975" t="n"/>
      <c r="I464" s="975" t="n"/>
      <c r="J464" s="975" t="n"/>
      <c r="K464" s="1189">
        <f>K459=L464</f>
        <v/>
      </c>
      <c r="L464" s="491">
        <f>SUM(L459:L463)</f>
        <v/>
      </c>
      <c r="M464" s="1190" t="inlineStr">
        <is>
          <t xml:space="preserve">“Verdadero” indica que la cantidad por lote, coincide con el saldo que inicia al mes siguiente. "Falso" no coinicide. </t>
        </is>
      </c>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413">
        <f>SEPTIEMBRE!K465</f>
        <v/>
      </c>
      <c r="E465" s="339">
        <f>H61</f>
        <v/>
      </c>
      <c r="F465" s="338" t="n"/>
      <c r="G465" s="338" t="n"/>
      <c r="H465" s="1235">
        <f>+F465+G465</f>
        <v/>
      </c>
      <c r="I465" s="340">
        <f>+AM465</f>
        <v/>
      </c>
      <c r="J465" s="341">
        <f>+H465+I465</f>
        <v/>
      </c>
      <c r="K465" s="583">
        <f>+(D465+E465)-(J465)</f>
        <v/>
      </c>
      <c r="L465" s="253" t="n"/>
      <c r="M465" s="254" t="n"/>
      <c r="N465" s="254" t="n"/>
      <c r="O465" s="1183" t="n"/>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c r="AA465" s="648" t="n"/>
      <c r="AB465" s="649">
        <f>+Z465+AA465</f>
        <v/>
      </c>
      <c r="AC465" s="648" t="n"/>
      <c r="AD465" s="648" t="n"/>
      <c r="AE465" s="648" t="n"/>
      <c r="AF465" s="648" t="n"/>
      <c r="AG465" s="648" t="n"/>
      <c r="AH465" s="648" t="n"/>
      <c r="AI465" s="648" t="n"/>
      <c r="AJ465" s="648" t="n"/>
      <c r="AK465" s="648" t="n"/>
      <c r="AL465" s="648" t="n"/>
      <c r="AM465" s="421">
        <f>SUM(AB465:AL469)</f>
        <v/>
      </c>
      <c r="AN465" s="726" t="n"/>
      <c r="AQ465" s="1238">
        <f>IFERROR(I465/J465*100,"0")</f>
        <v/>
      </c>
      <c r="AR465" s="343">
        <f>IFERROR(1/(1-(AQ465/100)),"0")</f>
        <v/>
      </c>
      <c r="AS465" s="1239" t="n">
        <v>0</v>
      </c>
      <c r="AT465" s="345" t="n">
        <v>1</v>
      </c>
      <c r="AU465" s="1240" t="n"/>
      <c r="AV465" s="1241" t="n"/>
      <c r="AW465" s="1242">
        <f>+H465-AV465</f>
        <v/>
      </c>
    </row>
    <row r="466" ht="17.25" customHeight="1">
      <c r="A466" s="973" t="n"/>
      <c r="B466" s="971" t="n"/>
      <c r="C466" s="972" t="n"/>
      <c r="D466" s="973" t="n"/>
      <c r="E466" s="973" t="n"/>
      <c r="F466" s="994" t="n"/>
      <c r="G466" s="994" t="n"/>
      <c r="H466" s="973" t="n"/>
      <c r="I466" s="973" t="n"/>
      <c r="J466" s="973" t="n"/>
      <c r="K466" s="973" t="n"/>
      <c r="L466" s="253" t="n"/>
      <c r="M466" s="254" t="n"/>
      <c r="N466" s="254" t="n"/>
      <c r="O466" s="1183" t="n"/>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73" t="n"/>
      <c r="E467" s="973" t="n"/>
      <c r="F467" s="994" t="n"/>
      <c r="G467" s="994" t="n"/>
      <c r="H467" s="973" t="n"/>
      <c r="I467" s="973" t="n"/>
      <c r="J467" s="973" t="n"/>
      <c r="K467" s="973" t="n"/>
      <c r="L467" s="253" t="n"/>
      <c r="M467" s="254" t="n"/>
      <c r="N467" s="254" t="n"/>
      <c r="O467" s="1183" t="n"/>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73" t="n"/>
      <c r="E468" s="973" t="n"/>
      <c r="F468" s="994" t="n"/>
      <c r="G468" s="994" t="n"/>
      <c r="H468" s="973" t="n"/>
      <c r="I468" s="973" t="n"/>
      <c r="J468" s="973" t="n"/>
      <c r="K468" s="973" t="n"/>
      <c r="L468" s="253" t="n"/>
      <c r="M468" s="254" t="n"/>
      <c r="N468" s="254" t="n"/>
      <c r="O468" s="1183" t="n"/>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73"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75" t="n"/>
      <c r="E470" s="975" t="n"/>
      <c r="F470" s="998" t="n"/>
      <c r="G470" s="998" t="n"/>
      <c r="H470" s="975" t="n"/>
      <c r="I470" s="975" t="n"/>
      <c r="J470" s="975" t="n"/>
      <c r="K470" s="1189">
        <f>K465=L470</f>
        <v/>
      </c>
      <c r="L470" s="491">
        <f>SUM(L465:L469)</f>
        <v/>
      </c>
      <c r="M470" s="1190" t="inlineStr">
        <is>
          <t xml:space="preserve">“Verdadero” indica que la cantidad por lote, coincide con el saldo que inicia al mes siguiente. "Falso" no coinicide. </t>
        </is>
      </c>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413">
        <f>SEPTIEMBRE!K471</f>
        <v/>
      </c>
      <c r="E471" s="339">
        <f>H67</f>
        <v/>
      </c>
      <c r="F471" s="338" t="n"/>
      <c r="G471" s="338" t="n"/>
      <c r="H471" s="1235">
        <f>+F471+G471</f>
        <v/>
      </c>
      <c r="I471" s="340">
        <f>+AM471</f>
        <v/>
      </c>
      <c r="J471" s="341">
        <f>+H471+I471</f>
        <v/>
      </c>
      <c r="K471" s="583">
        <f>+(D471+E471)-(J471)</f>
        <v/>
      </c>
      <c r="L471" s="253" t="n"/>
      <c r="M471" s="254" t="n"/>
      <c r="N471" s="254" t="n"/>
      <c r="O471" s="1183" t="n"/>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c r="AA471" s="648" t="n"/>
      <c r="AB471" s="649">
        <f>+Z471+AA471</f>
        <v/>
      </c>
      <c r="AC471" s="648" t="n"/>
      <c r="AD471" s="648" t="n"/>
      <c r="AE471" s="648" t="n"/>
      <c r="AF471" s="648" t="n"/>
      <c r="AG471" s="648" t="n"/>
      <c r="AH471" s="648" t="n"/>
      <c r="AI471" s="648" t="n"/>
      <c r="AJ471" s="648" t="n"/>
      <c r="AK471" s="648" t="n"/>
      <c r="AL471" s="648" t="n"/>
      <c r="AM471" s="421">
        <f>SUM(AB471:AL475)</f>
        <v/>
      </c>
      <c r="AN471" s="726" t="n"/>
      <c r="AQ471" s="1238">
        <f>IFERROR(I471/J471*100,"0")</f>
        <v/>
      </c>
      <c r="AR471" s="343">
        <f>IFERROR(1/(1-(AQ471/100)),"0")</f>
        <v/>
      </c>
      <c r="AS471" s="1239" t="n">
        <v>0</v>
      </c>
      <c r="AT471" s="345" t="n">
        <v>1</v>
      </c>
      <c r="AU471" s="1240" t="n"/>
      <c r="AV471" s="1241" t="n"/>
      <c r="AW471" s="1242">
        <f>+H471-AV471</f>
        <v/>
      </c>
    </row>
    <row r="472" ht="17.25" customHeight="1">
      <c r="A472" s="973" t="n"/>
      <c r="B472" s="971" t="n"/>
      <c r="C472" s="972" t="n"/>
      <c r="D472" s="973" t="n"/>
      <c r="E472" s="973" t="n"/>
      <c r="F472" s="994" t="n"/>
      <c r="G472" s="994" t="n"/>
      <c r="H472" s="973" t="n"/>
      <c r="I472" s="973" t="n"/>
      <c r="J472" s="973" t="n"/>
      <c r="K472" s="973" t="n"/>
      <c r="L472" s="253" t="n"/>
      <c r="M472" s="254" t="n"/>
      <c r="N472" s="254" t="n"/>
      <c r="O472" s="1183" t="n"/>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73" t="n"/>
      <c r="E473" s="973" t="n"/>
      <c r="F473" s="994" t="n"/>
      <c r="G473" s="994" t="n"/>
      <c r="H473" s="973" t="n"/>
      <c r="I473" s="973" t="n"/>
      <c r="J473" s="973" t="n"/>
      <c r="K473" s="973" t="n"/>
      <c r="L473" s="253" t="n"/>
      <c r="M473" s="254" t="n"/>
      <c r="N473" s="254" t="n"/>
      <c r="O473" s="1183" t="n"/>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73" t="n"/>
      <c r="E474" s="973" t="n"/>
      <c r="F474" s="994" t="n"/>
      <c r="G474" s="994" t="n"/>
      <c r="H474" s="973" t="n"/>
      <c r="I474" s="973" t="n"/>
      <c r="J474" s="973" t="n"/>
      <c r="K474" s="973" t="n"/>
      <c r="L474" s="253" t="n"/>
      <c r="M474" s="254" t="n"/>
      <c r="N474" s="254" t="n"/>
      <c r="O474" s="1183" t="n"/>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73" t="n"/>
      <c r="E475" s="973" t="n"/>
      <c r="F475" s="994" t="n"/>
      <c r="G475" s="994" t="n"/>
      <c r="H475" s="973" t="n"/>
      <c r="I475" s="973" t="n"/>
      <c r="J475" s="973" t="n"/>
      <c r="K475" s="975" t="n"/>
      <c r="L475" s="253" t="n"/>
      <c r="M475" s="254" t="n"/>
      <c r="N475" s="254" t="n"/>
      <c r="O475" s="1183" t="n"/>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75" t="n"/>
      <c r="E476" s="975" t="n"/>
      <c r="F476" s="998" t="n"/>
      <c r="G476" s="998" t="n"/>
      <c r="H476" s="975" t="n"/>
      <c r="I476" s="975" t="n"/>
      <c r="J476" s="975" t="n"/>
      <c r="K476" s="1189">
        <f>K471=L476</f>
        <v/>
      </c>
      <c r="L476" s="491">
        <f>SUM(L471:L475)</f>
        <v/>
      </c>
      <c r="M476" s="1190" t="inlineStr">
        <is>
          <t xml:space="preserve">“Verdadero” indica que la cantidad por lote, coincide con el saldo que inicia al mes siguiente. "Falso" no coinicide. </t>
        </is>
      </c>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413">
        <f>SEPTIEMBRE!K477</f>
        <v/>
      </c>
      <c r="E477" s="339">
        <f>H73</f>
        <v/>
      </c>
      <c r="F477" s="338" t="n"/>
      <c r="G477" s="338" t="n"/>
      <c r="H477" s="1235">
        <f>+F477+G477</f>
        <v/>
      </c>
      <c r="I477" s="340">
        <f>+AM477</f>
        <v/>
      </c>
      <c r="J477" s="341">
        <f>+H477+I477</f>
        <v/>
      </c>
      <c r="K477" s="583">
        <f>+(D477+E477)-(J477)</f>
        <v/>
      </c>
      <c r="L477" s="253" t="n"/>
      <c r="M477" s="254" t="n"/>
      <c r="N477" s="254" t="n"/>
      <c r="O477" s="1183" t="n"/>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c r="AA477" s="648" t="n"/>
      <c r="AB477" s="649">
        <f>+Z477+AA477</f>
        <v/>
      </c>
      <c r="AC477" s="648" t="n"/>
      <c r="AD477" s="648" t="n"/>
      <c r="AE477" s="648" t="n"/>
      <c r="AF477" s="648" t="n"/>
      <c r="AG477" s="648" t="n"/>
      <c r="AH477" s="648" t="n"/>
      <c r="AI477" s="648" t="n"/>
      <c r="AJ477" s="648" t="n"/>
      <c r="AK477" s="648" t="n"/>
      <c r="AL477" s="648" t="n"/>
      <c r="AM477" s="421">
        <f>SUM(AB477:AL481)</f>
        <v/>
      </c>
      <c r="AN477" s="726" t="n"/>
      <c r="AQ477" s="1238">
        <f>IFERROR(I477/J477*100,"0")</f>
        <v/>
      </c>
      <c r="AR477" s="343">
        <f>IFERROR(1/(1-(AQ477/100)),"0")</f>
        <v/>
      </c>
      <c r="AS477" s="1239" t="n">
        <v>0</v>
      </c>
      <c r="AT477" s="345" t="n">
        <v>1</v>
      </c>
      <c r="AU477" s="1240" t="n"/>
      <c r="AV477" s="1241" t="n"/>
      <c r="AW477" s="1242">
        <f>+H477-AV477</f>
        <v/>
      </c>
    </row>
    <row r="478" ht="17.25" customHeight="1">
      <c r="A478" s="973" t="n"/>
      <c r="B478" s="971" t="n"/>
      <c r="C478" s="972" t="n"/>
      <c r="D478" s="973" t="n"/>
      <c r="E478" s="973" t="n"/>
      <c r="F478" s="994" t="n"/>
      <c r="G478" s="994" t="n"/>
      <c r="H478" s="973" t="n"/>
      <c r="I478" s="973" t="n"/>
      <c r="J478" s="973" t="n"/>
      <c r="K478" s="973" t="n"/>
      <c r="L478" s="253" t="n"/>
      <c r="M478" s="254" t="n"/>
      <c r="N478" s="254" t="n"/>
      <c r="O478" s="1183" t="n"/>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73" t="n"/>
      <c r="E479" s="973" t="n"/>
      <c r="F479" s="994" t="n"/>
      <c r="G479" s="994" t="n"/>
      <c r="H479" s="973" t="n"/>
      <c r="I479" s="973" t="n"/>
      <c r="J479" s="973" t="n"/>
      <c r="K479" s="973" t="n"/>
      <c r="L479" s="253" t="n"/>
      <c r="M479" s="254" t="n"/>
      <c r="N479" s="254" t="n"/>
      <c r="O479" s="1183" t="n"/>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73" t="n"/>
      <c r="E480" s="973" t="n"/>
      <c r="F480" s="994" t="n"/>
      <c r="G480" s="994" t="n"/>
      <c r="H480" s="973" t="n"/>
      <c r="I480" s="973" t="n"/>
      <c r="J480" s="973" t="n"/>
      <c r="K480" s="973" t="n"/>
      <c r="L480" s="253" t="n"/>
      <c r="M480" s="254" t="n"/>
      <c r="N480" s="254" t="n"/>
      <c r="O480" s="1183" t="n"/>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73"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75" t="n"/>
      <c r="E482" s="975" t="n"/>
      <c r="F482" s="998" t="n"/>
      <c r="G482" s="998" t="n"/>
      <c r="H482" s="975" t="n"/>
      <c r="I482" s="975" t="n"/>
      <c r="J482" s="975" t="n"/>
      <c r="K482" s="1189">
        <f>K477=L482</f>
        <v/>
      </c>
      <c r="L482" s="491">
        <f>SUM(L477:L481)</f>
        <v/>
      </c>
      <c r="M482" s="1190" t="inlineStr">
        <is>
          <t xml:space="preserve">“Verdadero” indica que la cantidad por lote, coincide con el saldo que inicia al mes siguiente. "Falso" no coinicide. </t>
        </is>
      </c>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413">
        <f>SEPTIEMBRE!K483</f>
        <v/>
      </c>
      <c r="E483" s="339">
        <f>H79</f>
        <v/>
      </c>
      <c r="F483" s="338" t="n"/>
      <c r="G483" s="338" t="n"/>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c r="AA483" s="648" t="n"/>
      <c r="AB483" s="649">
        <f>+Z483+AA483</f>
        <v/>
      </c>
      <c r="AC483" s="648" t="n"/>
      <c r="AD483" s="648" t="n"/>
      <c r="AE483" s="648" t="n"/>
      <c r="AF483" s="648" t="n"/>
      <c r="AG483" s="648" t="n"/>
      <c r="AH483" s="648" t="n"/>
      <c r="AI483" s="648" t="n"/>
      <c r="AJ483" s="648" t="n"/>
      <c r="AK483" s="648" t="n"/>
      <c r="AL483" s="648" t="n"/>
      <c r="AM483" s="421">
        <f>SUM(AB483:AL487)</f>
        <v/>
      </c>
      <c r="AN483" s="726" t="n"/>
      <c r="AQ483" s="1238">
        <f>IFERROR(I483/J483*100,"0")</f>
        <v/>
      </c>
      <c r="AR483" s="343">
        <f>IFERROR(1/(1-(AQ483/100)),"0")</f>
        <v/>
      </c>
      <c r="AS483" s="1239" t="n">
        <v>0</v>
      </c>
      <c r="AT483" s="345" t="n">
        <v>1</v>
      </c>
      <c r="AU483" s="1240" t="n"/>
      <c r="AV483" s="1241" t="n"/>
      <c r="AW483" s="1242">
        <f>+H483-AV483</f>
        <v/>
      </c>
    </row>
    <row r="484" ht="17.25" customHeight="1">
      <c r="A484" s="973" t="n"/>
      <c r="B484" s="971" t="n"/>
      <c r="C484" s="972" t="n"/>
      <c r="D484" s="973"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73"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73"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73"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75" t="n"/>
      <c r="E488" s="975" t="n"/>
      <c r="F488" s="998" t="n"/>
      <c r="G488" s="998" t="n"/>
      <c r="H488" s="975" t="n"/>
      <c r="I488" s="975" t="n"/>
      <c r="J488" s="975" t="n"/>
      <c r="K488" s="1189">
        <f>K483=L488</f>
        <v/>
      </c>
      <c r="L488" s="491">
        <f>SUM(L483:L487)</f>
        <v/>
      </c>
      <c r="M488" s="1190" t="inlineStr">
        <is>
          <t xml:space="preserve">“Verdadero” indica que la cantidad por lote, coincide con el saldo que inicia al mes siguiente. "Falso" no coinicide. </t>
        </is>
      </c>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413">
        <f>SEPTIEMBRE!K489</f>
        <v/>
      </c>
      <c r="E489" s="339">
        <f>H85</f>
        <v/>
      </c>
      <c r="F489" s="338" t="n"/>
      <c r="G489" s="338" t="n"/>
      <c r="H489" s="1235">
        <f>+F489+G489</f>
        <v/>
      </c>
      <c r="I489" s="340">
        <f>+AM489</f>
        <v/>
      </c>
      <c r="J489" s="341">
        <f>+H489+I489</f>
        <v/>
      </c>
      <c r="K489" s="583">
        <f>+(D489+E489)-(J489)</f>
        <v/>
      </c>
      <c r="L489" s="253" t="n"/>
      <c r="M489" s="254" t="n"/>
      <c r="N489" s="254" t="n"/>
      <c r="O489" s="1183" t="n"/>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c r="AA489" s="648" t="n"/>
      <c r="AB489" s="649">
        <f>+Z489+AA489</f>
        <v/>
      </c>
      <c r="AC489" s="648" t="n"/>
      <c r="AD489" s="648" t="n"/>
      <c r="AE489" s="648" t="n"/>
      <c r="AF489" s="648" t="n"/>
      <c r="AG489" s="648" t="n"/>
      <c r="AH489" s="648" t="n"/>
      <c r="AI489" s="648" t="n"/>
      <c r="AJ489" s="648" t="n"/>
      <c r="AK489" s="648" t="n"/>
      <c r="AL489" s="648" t="n"/>
      <c r="AM489" s="421">
        <f>SUM(AB489:AL493)</f>
        <v/>
      </c>
      <c r="AN489" s="726" t="n"/>
      <c r="AQ489" s="1238">
        <f>IFERROR(I489/J489*100,"0")</f>
        <v/>
      </c>
      <c r="AR489" s="343">
        <f>IFERROR(1/(1-(AQ489/100)),"0")</f>
        <v/>
      </c>
      <c r="AS489" s="1239" t="n">
        <v>0</v>
      </c>
      <c r="AT489" s="345" t="n">
        <v>1</v>
      </c>
      <c r="AU489" s="1240" t="n"/>
      <c r="AV489" s="1241" t="n"/>
      <c r="AW489" s="1242">
        <f>+H489-AV489</f>
        <v/>
      </c>
    </row>
    <row r="490" ht="17.25" customHeight="1">
      <c r="A490" s="973" t="n"/>
      <c r="B490" s="971" t="n"/>
      <c r="C490" s="972" t="n"/>
      <c r="D490" s="973" t="n"/>
      <c r="E490" s="973" t="n"/>
      <c r="F490" s="994" t="n"/>
      <c r="G490" s="994" t="n"/>
      <c r="H490" s="973" t="n"/>
      <c r="I490" s="973" t="n"/>
      <c r="J490" s="973" t="n"/>
      <c r="K490" s="973" t="n"/>
      <c r="L490" s="253" t="n"/>
      <c r="M490" s="254" t="n"/>
      <c r="N490" s="254" t="n"/>
      <c r="O490" s="1183" t="n"/>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73" t="n"/>
      <c r="E491" s="973" t="n"/>
      <c r="F491" s="994" t="n"/>
      <c r="G491" s="994" t="n"/>
      <c r="H491" s="973" t="n"/>
      <c r="I491" s="973" t="n"/>
      <c r="J491" s="973" t="n"/>
      <c r="K491" s="973" t="n"/>
      <c r="L491" s="253" t="n"/>
      <c r="M491" s="254" t="n"/>
      <c r="N491" s="254" t="n"/>
      <c r="O491" s="1183" t="n"/>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73" t="n"/>
      <c r="E492" s="973" t="n"/>
      <c r="F492" s="994" t="n"/>
      <c r="G492" s="994" t="n"/>
      <c r="H492" s="973" t="n"/>
      <c r="I492" s="973" t="n"/>
      <c r="J492" s="973" t="n"/>
      <c r="K492" s="973" t="n"/>
      <c r="L492" s="253" t="n"/>
      <c r="M492" s="254" t="n"/>
      <c r="N492" s="254" t="n"/>
      <c r="O492" s="1183" t="n"/>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73"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75" t="n"/>
      <c r="E494" s="975" t="n"/>
      <c r="F494" s="998" t="n"/>
      <c r="G494" s="998" t="n"/>
      <c r="H494" s="975" t="n"/>
      <c r="I494" s="975" t="n"/>
      <c r="J494" s="975" t="n"/>
      <c r="K494" s="1189">
        <f>K489=L494</f>
        <v/>
      </c>
      <c r="L494" s="491">
        <f>SUM(L489:L493)</f>
        <v/>
      </c>
      <c r="M494" s="1190" t="inlineStr">
        <is>
          <t xml:space="preserve">“Verdadero” indica que la cantidad por lote, coincide con el saldo que inicia al mes siguiente. "Falso" no coinicide. </t>
        </is>
      </c>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413">
        <f>SEPTIEMBRE!K495</f>
        <v/>
      </c>
      <c r="E495" s="339">
        <f>H91</f>
        <v/>
      </c>
      <c r="F495" s="338" t="n"/>
      <c r="G495" s="338" t="n"/>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c r="AA495" s="648" t="n"/>
      <c r="AB495" s="649">
        <f>+Z495+AA495</f>
        <v/>
      </c>
      <c r="AC495" s="648" t="n"/>
      <c r="AD495" s="648" t="n"/>
      <c r="AE495" s="648" t="n"/>
      <c r="AF495" s="648" t="n"/>
      <c r="AG495" s="648" t="n"/>
      <c r="AH495" s="648" t="n"/>
      <c r="AI495" s="648" t="n"/>
      <c r="AJ495" s="648" t="n"/>
      <c r="AK495" s="648" t="n"/>
      <c r="AL495" s="648" t="n"/>
      <c r="AM495" s="421">
        <f>SUM(AB495:AL499)</f>
        <v/>
      </c>
      <c r="AN495" s="726" t="n"/>
      <c r="AQ495" s="1238">
        <f>IFERROR(I495/J495*100,"0")</f>
        <v/>
      </c>
      <c r="AR495" s="343">
        <f>IFERROR(1/(1-(AQ495/100)),"0")</f>
        <v/>
      </c>
      <c r="AS495" s="1239" t="n">
        <v>25</v>
      </c>
      <c r="AT495" s="345" t="n">
        <v>5</v>
      </c>
      <c r="AU495" s="1240" t="n"/>
      <c r="AV495" s="1241" t="n"/>
      <c r="AW495" s="1242">
        <f>+H495-AV495</f>
        <v/>
      </c>
    </row>
    <row r="496" ht="17.25" customHeight="1">
      <c r="A496" s="973" t="n"/>
      <c r="B496" s="971" t="n"/>
      <c r="C496" s="972" t="n"/>
      <c r="D496" s="973"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73"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73"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73"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75" t="n"/>
      <c r="E500" s="975" t="n"/>
      <c r="F500" s="998" t="n"/>
      <c r="G500" s="998" t="n"/>
      <c r="H500" s="975" t="n"/>
      <c r="I500" s="975" t="n"/>
      <c r="J500" s="975" t="n"/>
      <c r="K500" s="1189">
        <f>K495=L500</f>
        <v/>
      </c>
      <c r="L500" s="491">
        <f>SUM(L495:L499)</f>
        <v/>
      </c>
      <c r="M500" s="1190" t="inlineStr">
        <is>
          <t xml:space="preserve">“Verdadero” indica que la cantidad por lote, coincide con el saldo que inicia al mes siguiente. "Falso" no coinicide. </t>
        </is>
      </c>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413">
        <f>SEPTIEMBRE!K501</f>
        <v/>
      </c>
      <c r="E501" s="339">
        <f>H97</f>
        <v/>
      </c>
      <c r="F501" s="338" t="n"/>
      <c r="G501" s="338" t="n"/>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c r="AA501" s="648" t="n"/>
      <c r="AB501" s="649">
        <f>+Z501+AA501</f>
        <v/>
      </c>
      <c r="AC501" s="648" t="n"/>
      <c r="AD501" s="648" t="n"/>
      <c r="AE501" s="648" t="n"/>
      <c r="AF501" s="648" t="n"/>
      <c r="AG501" s="648" t="n"/>
      <c r="AH501" s="648" t="n"/>
      <c r="AI501" s="648" t="n"/>
      <c r="AJ501" s="648" t="n"/>
      <c r="AK501" s="648" t="n"/>
      <c r="AL501" s="648" t="n"/>
      <c r="AM501" s="421">
        <f>SUM(AB501:AL505)</f>
        <v/>
      </c>
      <c r="AN501" s="726" t="n"/>
      <c r="AQ501" s="1238">
        <f>IFERROR(I501/J501*100,"0")</f>
        <v/>
      </c>
      <c r="AR501" s="343">
        <f>IFERROR(1/(1-(AQ501/100)),"0")</f>
        <v/>
      </c>
      <c r="AS501" s="1239" t="n">
        <v>30</v>
      </c>
      <c r="AT501" s="345" t="n">
        <v>10</v>
      </c>
      <c r="AU501" s="1240" t="n"/>
      <c r="AV501" s="1241" t="n"/>
      <c r="AW501" s="1242">
        <f>+H501-AV501</f>
        <v/>
      </c>
    </row>
    <row r="502" ht="17.25" customHeight="1">
      <c r="A502" s="973" t="n"/>
      <c r="B502" s="971" t="n"/>
      <c r="C502" s="972" t="n"/>
      <c r="D502" s="973"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73"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73"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73"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75" t="n"/>
      <c r="E506" s="975" t="n"/>
      <c r="F506" s="998" t="n"/>
      <c r="G506" s="998" t="n"/>
      <c r="H506" s="975" t="n"/>
      <c r="I506" s="975" t="n"/>
      <c r="J506" s="975" t="n"/>
      <c r="K506" s="1189">
        <f>K501=L506</f>
        <v/>
      </c>
      <c r="L506" s="491">
        <f>SUM(L501:L505)</f>
        <v/>
      </c>
      <c r="M506" s="1190" t="inlineStr">
        <is>
          <t xml:space="preserve">“Verdadero” indica que la cantidad por lote, coincide con el saldo que inicia al mes siguiente. "Falso" no coinicide. </t>
        </is>
      </c>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413">
        <f>SEPTIEMBRE!K507</f>
        <v/>
      </c>
      <c r="E507" s="339">
        <f>H103</f>
        <v/>
      </c>
      <c r="F507" s="338" t="n"/>
      <c r="G507" s="338" t="n"/>
      <c r="H507" s="1235">
        <f>+F507+G507</f>
        <v/>
      </c>
      <c r="I507" s="340">
        <f>+AM507</f>
        <v/>
      </c>
      <c r="J507" s="341">
        <f>+H507+I507</f>
        <v/>
      </c>
      <c r="K507" s="583">
        <f>+(D507+E507)-(J507)</f>
        <v/>
      </c>
      <c r="L507" s="253" t="n"/>
      <c r="M507" s="254" t="n"/>
      <c r="N507" s="254" t="n"/>
      <c r="O507" s="1183" t="n"/>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c r="AA507" s="648" t="n"/>
      <c r="AB507" s="649">
        <f>+Z507+AA507</f>
        <v/>
      </c>
      <c r="AC507" s="648" t="n"/>
      <c r="AD507" s="648" t="n"/>
      <c r="AE507" s="648" t="n"/>
      <c r="AF507" s="648" t="n"/>
      <c r="AG507" s="648" t="n"/>
      <c r="AH507" s="648" t="n"/>
      <c r="AI507" s="648" t="n"/>
      <c r="AJ507" s="648" t="n"/>
      <c r="AK507" s="648" t="n"/>
      <c r="AL507" s="648" t="n"/>
      <c r="AM507" s="421">
        <f>SUM(AB507:AL511)</f>
        <v/>
      </c>
      <c r="AN507" s="726" t="n"/>
      <c r="AQ507" s="1238">
        <f>IFERROR(I507/J507*100,"0")</f>
        <v/>
      </c>
      <c r="AR507" s="343">
        <f>IFERROR(1/(1-(AQ507/100)),"0")</f>
        <v/>
      </c>
      <c r="AS507" s="1239" t="n">
        <v>0</v>
      </c>
      <c r="AT507" s="345" t="n">
        <v>1</v>
      </c>
      <c r="AU507" s="1240" t="n"/>
      <c r="AV507" s="1241" t="n"/>
      <c r="AW507" s="1242">
        <f>+H507-AV507</f>
        <v/>
      </c>
    </row>
    <row r="508" ht="17.25" customHeight="1">
      <c r="A508" s="973" t="n"/>
      <c r="B508" s="971" t="n"/>
      <c r="C508" s="972" t="n"/>
      <c r="D508" s="973" t="n"/>
      <c r="E508" s="973" t="n"/>
      <c r="F508" s="994" t="n"/>
      <c r="G508" s="994" t="n"/>
      <c r="H508" s="973" t="n"/>
      <c r="I508" s="973" t="n"/>
      <c r="J508" s="973" t="n"/>
      <c r="K508" s="973" t="n"/>
      <c r="L508" s="253" t="n"/>
      <c r="M508" s="254" t="n"/>
      <c r="N508" s="254" t="n"/>
      <c r="O508" s="1183" t="n"/>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73" t="n"/>
      <c r="E509" s="973" t="n"/>
      <c r="F509" s="994" t="n"/>
      <c r="G509" s="994" t="n"/>
      <c r="H509" s="973" t="n"/>
      <c r="I509" s="973" t="n"/>
      <c r="J509" s="973" t="n"/>
      <c r="K509" s="973" t="n"/>
      <c r="L509" s="253" t="n"/>
      <c r="M509" s="254" t="n"/>
      <c r="N509" s="254" t="n"/>
      <c r="O509" s="1183" t="n"/>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73" t="n"/>
      <c r="E510" s="973" t="n"/>
      <c r="F510" s="994" t="n"/>
      <c r="G510" s="994" t="n"/>
      <c r="H510" s="973" t="n"/>
      <c r="I510" s="973" t="n"/>
      <c r="J510" s="973" t="n"/>
      <c r="K510" s="973" t="n"/>
      <c r="L510" s="253" t="n"/>
      <c r="M510" s="254" t="n"/>
      <c r="N510" s="254" t="n"/>
      <c r="O510" s="1183" t="n"/>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73" t="n"/>
      <c r="E511" s="973" t="n"/>
      <c r="F511" s="994" t="n"/>
      <c r="G511" s="994" t="n"/>
      <c r="H511" s="973" t="n"/>
      <c r="I511" s="973" t="n"/>
      <c r="J511" s="973" t="n"/>
      <c r="K511" s="975" t="n"/>
      <c r="L511" s="253" t="n"/>
      <c r="M511" s="254" t="n"/>
      <c r="N511" s="254" t="n"/>
      <c r="O511" s="1183" t="n"/>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75" t="n"/>
      <c r="E512" s="975" t="n"/>
      <c r="F512" s="998" t="n"/>
      <c r="G512" s="998" t="n"/>
      <c r="H512" s="975" t="n"/>
      <c r="I512" s="975" t="n"/>
      <c r="J512" s="975" t="n"/>
      <c r="K512" s="1189">
        <f>K507=L512</f>
        <v/>
      </c>
      <c r="L512" s="491">
        <f>SUM(L507:L511)</f>
        <v/>
      </c>
      <c r="M512" s="1190" t="inlineStr">
        <is>
          <t xml:space="preserve">“Verdadero” indica que la cantidad por lote, coincide con el saldo que inicia al mes siguiente. "Falso" no coinicide. </t>
        </is>
      </c>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413">
        <f>SEPTIEMBRE!K513</f>
        <v/>
      </c>
      <c r="E513" s="339">
        <f>H109</f>
        <v/>
      </c>
      <c r="F513" s="338" t="n"/>
      <c r="G513" s="338" t="n"/>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c r="AA513" s="648" t="n"/>
      <c r="AB513" s="649">
        <f>+Z513+AA513</f>
        <v/>
      </c>
      <c r="AC513" s="648" t="n"/>
      <c r="AD513" s="648" t="n"/>
      <c r="AE513" s="648" t="n"/>
      <c r="AF513" s="648" t="n"/>
      <c r="AG513" s="648" t="n"/>
      <c r="AH513" s="648" t="n"/>
      <c r="AI513" s="648" t="n"/>
      <c r="AJ513" s="648" t="n"/>
      <c r="AK513" s="648" t="n"/>
      <c r="AL513" s="648" t="n"/>
      <c r="AM513" s="421">
        <f>SUM(AB513:AL517)</f>
        <v/>
      </c>
      <c r="AN513" s="726" t="n"/>
      <c r="AQ513" s="1238">
        <f>IFERROR(I513/J513*100,"0")</f>
        <v/>
      </c>
      <c r="AR513" s="343">
        <f>IFERROR(1/(1-(AQ513/100)),"0")</f>
        <v/>
      </c>
      <c r="AS513" s="1239" t="n">
        <v>30</v>
      </c>
      <c r="AT513" s="345" t="n">
        <v>10</v>
      </c>
      <c r="AU513" s="1240" t="n"/>
      <c r="AV513" s="1241" t="n"/>
      <c r="AW513" s="1242">
        <f>+H513-AV513</f>
        <v/>
      </c>
    </row>
    <row r="514" ht="17.25" customHeight="1">
      <c r="A514" s="973" t="n"/>
      <c r="B514" s="971" t="n"/>
      <c r="C514" s="972" t="n"/>
      <c r="D514" s="973"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73"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73"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73"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75" t="n"/>
      <c r="E518" s="975" t="n"/>
      <c r="F518" s="998" t="n"/>
      <c r="G518" s="998" t="n"/>
      <c r="H518" s="975" t="n"/>
      <c r="I518" s="975" t="n"/>
      <c r="J518" s="975" t="n"/>
      <c r="K518" s="1189">
        <f>K513=L518</f>
        <v/>
      </c>
      <c r="L518" s="491">
        <f>SUM(L513:L517)</f>
        <v/>
      </c>
      <c r="M518" s="1190" t="inlineStr">
        <is>
          <t xml:space="preserve">“Verdadero” indica que la cantidad por lote, coincide con el saldo que inicia al mes siguiente. "Falso" no coinicide. </t>
        </is>
      </c>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413">
        <f>SEPTIEMBRE!K519</f>
        <v/>
      </c>
      <c r="E519" s="339">
        <f>H115</f>
        <v/>
      </c>
      <c r="F519" s="338" t="n"/>
      <c r="G519" s="338" t="n"/>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c r="AA519" s="648" t="n"/>
      <c r="AB519" s="649">
        <f>+Z519+AA519</f>
        <v/>
      </c>
      <c r="AC519" s="648" t="n"/>
      <c r="AD519" s="648" t="n"/>
      <c r="AE519" s="648" t="n"/>
      <c r="AF519" s="648" t="n"/>
      <c r="AG519" s="648" t="n"/>
      <c r="AH519" s="648" t="n"/>
      <c r="AI519" s="648" t="n"/>
      <c r="AJ519" s="648" t="n"/>
      <c r="AK519" s="648" t="n"/>
      <c r="AL519" s="648" t="n"/>
      <c r="AM519" s="421">
        <f>SUM(AB519:AL523)</f>
        <v/>
      </c>
      <c r="AN519" s="726" t="n"/>
      <c r="AQ519" s="1238">
        <f>IFERROR(I519/J519*100,"0")</f>
        <v/>
      </c>
      <c r="AR519" s="343">
        <f>IFERROR(1/(1-(AQ519/100)),"0")</f>
        <v/>
      </c>
      <c r="AS519" s="1239" t="n">
        <v>0</v>
      </c>
      <c r="AT519" s="345" t="n">
        <v>1</v>
      </c>
      <c r="AU519" s="1240" t="n"/>
      <c r="AV519" s="1241" t="n"/>
      <c r="AW519" s="1242">
        <f>+H519-AV519</f>
        <v/>
      </c>
    </row>
    <row r="520" ht="17.25" customHeight="1">
      <c r="A520" s="973" t="n"/>
      <c r="B520" s="971" t="n"/>
      <c r="C520" s="972" t="n"/>
      <c r="D520" s="973"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73"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73"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73"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75" t="n"/>
      <c r="E524" s="975" t="n"/>
      <c r="F524" s="998" t="n"/>
      <c r="G524" s="998" t="n"/>
      <c r="H524" s="975" t="n"/>
      <c r="I524" s="975" t="n"/>
      <c r="J524" s="975" t="n"/>
      <c r="K524" s="1189">
        <f>K519=L524</f>
        <v/>
      </c>
      <c r="L524" s="491">
        <f>SUM(L519:L523)</f>
        <v/>
      </c>
      <c r="M524" s="1190" t="inlineStr">
        <is>
          <t xml:space="preserve">“Verdadero” indica que la cantidad por lote, coincide con el saldo que inicia al mes siguiente. "Falso" no coinicide. </t>
        </is>
      </c>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413">
        <f>SEPTIEMBRE!K525</f>
        <v/>
      </c>
      <c r="E525" s="339">
        <f>H121</f>
        <v/>
      </c>
      <c r="F525" s="338" t="n"/>
      <c r="G525" s="338" t="n"/>
      <c r="H525" s="1235">
        <f>+F525+G525</f>
        <v/>
      </c>
      <c r="I525" s="340">
        <f>+AM525</f>
        <v/>
      </c>
      <c r="J525" s="341">
        <f>+H525+I525</f>
        <v/>
      </c>
      <c r="K525" s="583">
        <f>+(D525+E525)-(J525)</f>
        <v/>
      </c>
      <c r="L525" s="253" t="n"/>
      <c r="M525" s="254" t="n"/>
      <c r="N525" s="254" t="n"/>
      <c r="O525" s="1183" t="n"/>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c r="AA525" s="648" t="n"/>
      <c r="AB525" s="649">
        <f>+Z525+AA525</f>
        <v/>
      </c>
      <c r="AC525" s="648" t="n"/>
      <c r="AD525" s="648" t="n"/>
      <c r="AE525" s="648" t="n"/>
      <c r="AF525" s="648" t="n"/>
      <c r="AG525" s="648" t="n"/>
      <c r="AH525" s="648" t="n"/>
      <c r="AI525" s="648" t="n"/>
      <c r="AJ525" s="648" t="n"/>
      <c r="AK525" s="648" t="n"/>
      <c r="AL525" s="648" t="n"/>
      <c r="AM525" s="421">
        <f>SUM(AB525:AL529)</f>
        <v/>
      </c>
      <c r="AN525" s="726" t="n"/>
      <c r="AQ525" s="1238">
        <f>IFERROR(I525/J525*100,"0")</f>
        <v/>
      </c>
      <c r="AR525" s="343">
        <f>IFERROR(1/(1-(AQ525/100)),"0")</f>
        <v/>
      </c>
      <c r="AS525" s="1239" t="n">
        <v>70</v>
      </c>
      <c r="AT525" s="345" t="n">
        <v>10</v>
      </c>
      <c r="AU525" s="1240" t="n"/>
      <c r="AV525" s="1241" t="n"/>
      <c r="AW525" s="1242">
        <f>+H525-AV525</f>
        <v/>
      </c>
    </row>
    <row r="526" ht="17.25" customHeight="1">
      <c r="A526" s="973" t="n"/>
      <c r="B526" s="971" t="n"/>
      <c r="C526" s="972" t="n"/>
      <c r="D526" s="973" t="n"/>
      <c r="E526" s="973" t="n"/>
      <c r="F526" s="994" t="n"/>
      <c r="G526" s="994" t="n"/>
      <c r="H526" s="973" t="n"/>
      <c r="I526" s="973" t="n"/>
      <c r="J526" s="973" t="n"/>
      <c r="K526" s="973" t="n"/>
      <c r="L526" s="253" t="n"/>
      <c r="M526" s="254" t="n"/>
      <c r="N526" s="254" t="n"/>
      <c r="O526" s="1183" t="n"/>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73" t="n"/>
      <c r="E527" s="973" t="n"/>
      <c r="F527" s="994" t="n"/>
      <c r="G527" s="994" t="n"/>
      <c r="H527" s="973" t="n"/>
      <c r="I527" s="973" t="n"/>
      <c r="J527" s="973" t="n"/>
      <c r="K527" s="973" t="n"/>
      <c r="L527" s="253" t="n"/>
      <c r="M527" s="254" t="n"/>
      <c r="N527" s="254" t="n"/>
      <c r="O527" s="1183" t="n"/>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73" t="n"/>
      <c r="E528" s="973" t="n"/>
      <c r="F528" s="994" t="n"/>
      <c r="G528" s="994" t="n"/>
      <c r="H528" s="973" t="n"/>
      <c r="I528" s="973" t="n"/>
      <c r="J528" s="973" t="n"/>
      <c r="K528" s="973" t="n"/>
      <c r="L528" s="253" t="n"/>
      <c r="M528" s="254" t="n"/>
      <c r="N528" s="254" t="n"/>
      <c r="O528" s="1183" t="n"/>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73" t="n"/>
      <c r="E529" s="973" t="n"/>
      <c r="F529" s="994" t="n"/>
      <c r="G529" s="994" t="n"/>
      <c r="H529" s="973" t="n"/>
      <c r="I529" s="973" t="n"/>
      <c r="J529" s="973" t="n"/>
      <c r="K529" s="975" t="n"/>
      <c r="L529" s="253" t="n"/>
      <c r="M529" s="254" t="n"/>
      <c r="N529" s="254" t="n"/>
      <c r="O529" s="1183" t="n"/>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75" t="n"/>
      <c r="E530" s="975" t="n"/>
      <c r="F530" s="998" t="n"/>
      <c r="G530" s="998" t="n"/>
      <c r="H530" s="975" t="n"/>
      <c r="I530" s="975" t="n"/>
      <c r="J530" s="975" t="n"/>
      <c r="K530" s="1189">
        <f>K525=L530</f>
        <v/>
      </c>
      <c r="L530" s="491">
        <f>SUM(L525:L529)</f>
        <v/>
      </c>
      <c r="M530" s="1190" t="inlineStr">
        <is>
          <t xml:space="preserve">“Verdadero” indica que la cantidad por lote, coincide con el saldo que inicia al mes siguiente. "Falso" no coinicide. </t>
        </is>
      </c>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413">
        <f>SEPTIEMBRE!K531</f>
        <v/>
      </c>
      <c r="E531" s="339">
        <f>H127</f>
        <v/>
      </c>
      <c r="F531" s="338" t="n"/>
      <c r="G531" s="338" t="n"/>
      <c r="H531" s="1235">
        <f>+F531+G531</f>
        <v/>
      </c>
      <c r="I531" s="340">
        <f>+AM531</f>
        <v/>
      </c>
      <c r="J531" s="341">
        <f>+H531+I531</f>
        <v/>
      </c>
      <c r="K531" s="583">
        <f>+(D531+E531)-(J531)</f>
        <v/>
      </c>
      <c r="L531" s="253" t="n"/>
      <c r="M531" s="254" t="n"/>
      <c r="N531" s="254" t="n"/>
      <c r="O531" s="1183" t="n"/>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c r="AA531" s="648" t="n"/>
      <c r="AB531" s="649">
        <f>+Z531+AA531</f>
        <v/>
      </c>
      <c r="AC531" s="648" t="n"/>
      <c r="AD531" s="648" t="n"/>
      <c r="AE531" s="648" t="n"/>
      <c r="AF531" s="648" t="n"/>
      <c r="AG531" s="648" t="n"/>
      <c r="AH531" s="648" t="n"/>
      <c r="AI531" s="648" t="n"/>
      <c r="AJ531" s="648" t="n"/>
      <c r="AK531" s="648" t="n"/>
      <c r="AL531" s="648" t="n"/>
      <c r="AM531" s="421">
        <f>SUM(AB531:AL535)</f>
        <v/>
      </c>
      <c r="AN531" s="726" t="n"/>
      <c r="AQ531" s="1238">
        <f>IFERROR(I531/J531*100,"0")</f>
        <v/>
      </c>
      <c r="AR531" s="343">
        <f>IFERROR(1/(1-(AQ531/100)),"0")</f>
        <v/>
      </c>
      <c r="AS531" s="1239" t="n">
        <v>0</v>
      </c>
      <c r="AT531" s="345" t="n">
        <v>1</v>
      </c>
      <c r="AU531" s="1240" t="n"/>
      <c r="AV531" s="1241" t="n"/>
      <c r="AW531" s="1242">
        <f>+H531-AV531</f>
        <v/>
      </c>
    </row>
    <row r="532" ht="17.25" customHeight="1">
      <c r="A532" s="973" t="n"/>
      <c r="B532" s="971" t="n"/>
      <c r="C532" s="972" t="n"/>
      <c r="D532" s="973" t="n"/>
      <c r="E532" s="973" t="n"/>
      <c r="F532" s="994" t="n"/>
      <c r="G532" s="994" t="n"/>
      <c r="H532" s="973" t="n"/>
      <c r="I532" s="973" t="n"/>
      <c r="J532" s="973" t="n"/>
      <c r="K532" s="973" t="n"/>
      <c r="L532" s="253" t="n"/>
      <c r="M532" s="254" t="n"/>
      <c r="N532" s="254" t="n"/>
      <c r="O532" s="1183" t="n"/>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73" t="n"/>
      <c r="E533" s="973" t="n"/>
      <c r="F533" s="994" t="n"/>
      <c r="G533" s="994" t="n"/>
      <c r="H533" s="973" t="n"/>
      <c r="I533" s="973" t="n"/>
      <c r="J533" s="973" t="n"/>
      <c r="K533" s="973" t="n"/>
      <c r="L533" s="253" t="n"/>
      <c r="M533" s="254" t="n"/>
      <c r="N533" s="254" t="n"/>
      <c r="O533" s="1183" t="n"/>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73" t="n"/>
      <c r="E534" s="973" t="n"/>
      <c r="F534" s="994" t="n"/>
      <c r="G534" s="994" t="n"/>
      <c r="H534" s="973" t="n"/>
      <c r="I534" s="973" t="n"/>
      <c r="J534" s="973" t="n"/>
      <c r="K534" s="973" t="n"/>
      <c r="L534" s="253" t="n"/>
      <c r="M534" s="254" t="n"/>
      <c r="N534" s="254" t="n"/>
      <c r="O534" s="1183" t="n"/>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73" t="n"/>
      <c r="E535" s="973" t="n"/>
      <c r="F535" s="994" t="n"/>
      <c r="G535" s="994" t="n"/>
      <c r="H535" s="973" t="n"/>
      <c r="I535" s="973" t="n"/>
      <c r="J535" s="973" t="n"/>
      <c r="K535" s="975" t="n"/>
      <c r="L535" s="253" t="n"/>
      <c r="M535" s="254" t="n"/>
      <c r="N535" s="254" t="n"/>
      <c r="O535" s="1183" t="n"/>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75" t="n"/>
      <c r="E536" s="975" t="n"/>
      <c r="F536" s="998" t="n"/>
      <c r="G536" s="998" t="n"/>
      <c r="H536" s="975" t="n"/>
      <c r="I536" s="975" t="n"/>
      <c r="J536" s="975" t="n"/>
      <c r="K536" s="1189">
        <f>K531=L536</f>
        <v/>
      </c>
      <c r="L536" s="491">
        <f>SUM(L531:L535)</f>
        <v/>
      </c>
      <c r="M536" s="1190" t="inlineStr">
        <is>
          <t xml:space="preserve">“Verdadero” indica que la cantidad por lote, coincide con el saldo que inicia al mes siguiente. "Falso" no coinicide. </t>
        </is>
      </c>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413">
        <f>SEPTIEMBRE!K537</f>
        <v/>
      </c>
      <c r="E537" s="339">
        <f>H133</f>
        <v/>
      </c>
      <c r="F537" s="338" t="n"/>
      <c r="G537" s="338" t="n"/>
      <c r="H537" s="1235">
        <f>+F537+G537</f>
        <v/>
      </c>
      <c r="I537" s="340">
        <f>+AM537</f>
        <v/>
      </c>
      <c r="J537" s="341">
        <f>+H537+I537</f>
        <v/>
      </c>
      <c r="K537" s="583">
        <f>+(D537+E537)-(J537)</f>
        <v/>
      </c>
      <c r="L537" s="253" t="n"/>
      <c r="M537" s="254" t="n"/>
      <c r="N537" s="254" t="n"/>
      <c r="O537" s="1183" t="n"/>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c r="AA537" s="648" t="n"/>
      <c r="AB537" s="649">
        <f>+Z537+AA537</f>
        <v/>
      </c>
      <c r="AC537" s="648" t="n"/>
      <c r="AD537" s="648" t="n"/>
      <c r="AE537" s="648" t="n"/>
      <c r="AF537" s="648" t="n"/>
      <c r="AG537" s="648" t="n"/>
      <c r="AH537" s="648" t="n"/>
      <c r="AI537" s="648" t="n"/>
      <c r="AJ537" s="648" t="n"/>
      <c r="AK537" s="648" t="n"/>
      <c r="AL537" s="648" t="n"/>
      <c r="AM537" s="421">
        <f>SUM(AB537:AL541)</f>
        <v/>
      </c>
      <c r="AN537" s="726" t="n"/>
      <c r="AQ537" s="1238">
        <f>IFERROR(I537/J537*100,"0")</f>
        <v/>
      </c>
      <c r="AR537" s="343">
        <f>IFERROR(1/(1-(AQ537/100)),"0")</f>
        <v/>
      </c>
      <c r="AS537" s="1239" t="n">
        <v>0</v>
      </c>
      <c r="AT537" s="345" t="n">
        <v>1</v>
      </c>
      <c r="AU537" s="1240" t="n"/>
      <c r="AV537" s="1241" t="n"/>
      <c r="AW537" s="1242">
        <f>+H537-AV537</f>
        <v/>
      </c>
    </row>
    <row r="538" ht="17.25" customHeight="1">
      <c r="A538" s="973" t="n"/>
      <c r="B538" s="971" t="n"/>
      <c r="C538" s="972" t="n"/>
      <c r="D538" s="973" t="n"/>
      <c r="E538" s="973" t="n"/>
      <c r="F538" s="994" t="n"/>
      <c r="G538" s="994" t="n"/>
      <c r="H538" s="973" t="n"/>
      <c r="I538" s="973" t="n"/>
      <c r="J538" s="973" t="n"/>
      <c r="K538" s="973" t="n"/>
      <c r="L538" s="253" t="n"/>
      <c r="M538" s="254" t="n"/>
      <c r="N538" s="254" t="n"/>
      <c r="O538" s="1183" t="n"/>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73" t="n"/>
      <c r="E539" s="973" t="n"/>
      <c r="F539" s="994" t="n"/>
      <c r="G539" s="994" t="n"/>
      <c r="H539" s="973" t="n"/>
      <c r="I539" s="973" t="n"/>
      <c r="J539" s="973" t="n"/>
      <c r="K539" s="973" t="n"/>
      <c r="L539" s="253" t="n"/>
      <c r="M539" s="254" t="n"/>
      <c r="N539" s="254" t="n"/>
      <c r="O539" s="1183" t="n"/>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73" t="n"/>
      <c r="E540" s="973" t="n"/>
      <c r="F540" s="994" t="n"/>
      <c r="G540" s="994" t="n"/>
      <c r="H540" s="973" t="n"/>
      <c r="I540" s="973" t="n"/>
      <c r="J540" s="973" t="n"/>
      <c r="K540" s="973" t="n"/>
      <c r="L540" s="253" t="n"/>
      <c r="M540" s="254" t="n"/>
      <c r="N540" s="254" t="n"/>
      <c r="O540" s="1183" t="n"/>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73" t="n"/>
      <c r="E541" s="973" t="n"/>
      <c r="F541" s="994" t="n"/>
      <c r="G541" s="994" t="n"/>
      <c r="H541" s="973" t="n"/>
      <c r="I541" s="973" t="n"/>
      <c r="J541" s="973" t="n"/>
      <c r="K541" s="975" t="n"/>
      <c r="L541" s="253" t="n"/>
      <c r="M541" s="254" t="n"/>
      <c r="N541" s="254" t="n"/>
      <c r="O541" s="1183" t="n"/>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75" t="n"/>
      <c r="E542" s="975" t="n"/>
      <c r="F542" s="998" t="n"/>
      <c r="G542" s="998" t="n"/>
      <c r="H542" s="975" t="n"/>
      <c r="I542" s="975" t="n"/>
      <c r="J542" s="975" t="n"/>
      <c r="K542" s="1189">
        <f>K537=L542</f>
        <v/>
      </c>
      <c r="L542" s="491">
        <f>SUM(L537:L541)</f>
        <v/>
      </c>
      <c r="M542" s="1190" t="inlineStr">
        <is>
          <t xml:space="preserve">“Verdadero” indica que la cantidad por lote, coincide con el saldo que inicia al mes siguiente. "Falso" no coinicide. </t>
        </is>
      </c>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413">
        <f>SEPTIEMBRE!K543</f>
        <v/>
      </c>
      <c r="E543" s="339">
        <f>H139</f>
        <v/>
      </c>
      <c r="F543" s="338" t="n"/>
      <c r="G543" s="338" t="n"/>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c r="AA543" s="648" t="n"/>
      <c r="AB543" s="649">
        <f>+Z543+AA543</f>
        <v/>
      </c>
      <c r="AC543" s="648" t="n"/>
      <c r="AD543" s="648" t="n"/>
      <c r="AE543" s="648" t="n"/>
      <c r="AF543" s="648" t="n"/>
      <c r="AG543" s="648" t="n"/>
      <c r="AH543" s="648" t="n"/>
      <c r="AI543" s="648" t="n"/>
      <c r="AJ543" s="648" t="n"/>
      <c r="AK543" s="648" t="n"/>
      <c r="AL543" s="648" t="n"/>
      <c r="AM543" s="421">
        <f>SUM(AB543:AL547)</f>
        <v/>
      </c>
      <c r="AN543" s="726" t="n"/>
      <c r="AQ543" s="1238">
        <f>IFERROR(I543/J543*100,"0")</f>
        <v/>
      </c>
      <c r="AR543" s="343">
        <f>IFERROR(1/(1-(AQ543/100)),"0")</f>
        <v/>
      </c>
      <c r="AS543" s="1239" t="n">
        <v>0</v>
      </c>
      <c r="AT543" s="345" t="n">
        <v>1</v>
      </c>
      <c r="AU543" s="1240" t="n"/>
      <c r="AV543" s="1241" t="n"/>
      <c r="AW543" s="1242">
        <f>+H543-AV543</f>
        <v/>
      </c>
    </row>
    <row r="544" ht="17.25" customHeight="1">
      <c r="A544" s="973" t="n"/>
      <c r="B544" s="971" t="n"/>
      <c r="C544" s="972" t="n"/>
      <c r="D544" s="973"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73"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73"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73"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75" t="n"/>
      <c r="E548" s="975" t="n"/>
      <c r="F548" s="998" t="n"/>
      <c r="G548" s="998" t="n"/>
      <c r="H548" s="975" t="n"/>
      <c r="I548" s="975" t="n"/>
      <c r="J548" s="975" t="n"/>
      <c r="K548" s="1189">
        <f>K543=L548</f>
        <v/>
      </c>
      <c r="L548" s="491">
        <f>SUM(L543:L547)</f>
        <v/>
      </c>
      <c r="M548" s="1190" t="inlineStr">
        <is>
          <t xml:space="preserve">“Verdadero” indica que la cantidad por lote, coincide con el saldo que inicia al mes siguiente. "Falso" no coinicide. </t>
        </is>
      </c>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413">
        <f>SEPTIEMBRE!K549</f>
        <v/>
      </c>
      <c r="E549" s="339">
        <f>H145</f>
        <v/>
      </c>
      <c r="F549" s="338" t="n"/>
      <c r="G549" s="338" t="n"/>
      <c r="H549" s="1235">
        <f>+F549+G549</f>
        <v/>
      </c>
      <c r="I549" s="340">
        <f>+AM549</f>
        <v/>
      </c>
      <c r="J549" s="341">
        <f>+H549+I549</f>
        <v/>
      </c>
      <c r="K549" s="583">
        <f>+(D549+E549)-(J549)</f>
        <v/>
      </c>
      <c r="L549" s="253" t="n"/>
      <c r="M549" s="254" t="n"/>
      <c r="N549" s="254" t="n"/>
      <c r="O549" s="1183" t="n"/>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c r="AA549" s="648" t="n"/>
      <c r="AB549" s="649">
        <f>+Z549+AA549</f>
        <v/>
      </c>
      <c r="AC549" s="648" t="n"/>
      <c r="AD549" s="648" t="n"/>
      <c r="AE549" s="648" t="n"/>
      <c r="AF549" s="648" t="n"/>
      <c r="AG549" s="648" t="n"/>
      <c r="AH549" s="648" t="n"/>
      <c r="AI549" s="648" t="n"/>
      <c r="AJ549" s="648" t="n"/>
      <c r="AK549" s="648" t="n"/>
      <c r="AL549" s="648" t="n"/>
      <c r="AM549" s="421">
        <f>SUM(AB549:AL553)</f>
        <v/>
      </c>
      <c r="AN549" s="726" t="n"/>
      <c r="AQ549" s="1238">
        <f>IFERROR(I549/J549*100,"0")</f>
        <v/>
      </c>
      <c r="AR549" s="343">
        <f>IFERROR(1/(1-(AQ549/100)),"0")</f>
        <v/>
      </c>
      <c r="AS549" s="1239" t="n">
        <v>15</v>
      </c>
      <c r="AT549" s="345" t="n">
        <v>10</v>
      </c>
      <c r="AU549" s="1240" t="n"/>
      <c r="AV549" s="1241" t="n"/>
      <c r="AW549" s="1242">
        <f>+H549-AV549</f>
        <v/>
      </c>
    </row>
    <row r="550" ht="17.25" customHeight="1">
      <c r="A550" s="973" t="n"/>
      <c r="B550" s="971" t="n"/>
      <c r="C550" s="972" t="n"/>
      <c r="D550" s="973" t="n"/>
      <c r="E550" s="973" t="n"/>
      <c r="F550" s="994" t="n"/>
      <c r="G550" s="994" t="n"/>
      <c r="H550" s="973" t="n"/>
      <c r="I550" s="973" t="n"/>
      <c r="J550" s="973" t="n"/>
      <c r="K550" s="973" t="n"/>
      <c r="L550" s="253" t="n"/>
      <c r="M550" s="254" t="n"/>
      <c r="N550" s="254" t="n"/>
      <c r="O550" s="1183" t="n"/>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73" t="n"/>
      <c r="E551" s="973" t="n"/>
      <c r="F551" s="994" t="n"/>
      <c r="G551" s="994" t="n"/>
      <c r="H551" s="973" t="n"/>
      <c r="I551" s="973" t="n"/>
      <c r="J551" s="973" t="n"/>
      <c r="K551" s="973" t="n"/>
      <c r="L551" s="253" t="n"/>
      <c r="M551" s="254" t="n"/>
      <c r="N551" s="254" t="n"/>
      <c r="O551" s="1183" t="n"/>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73" t="n"/>
      <c r="E552" s="973" t="n"/>
      <c r="F552" s="994" t="n"/>
      <c r="G552" s="994" t="n"/>
      <c r="H552" s="973" t="n"/>
      <c r="I552" s="973" t="n"/>
      <c r="J552" s="973" t="n"/>
      <c r="K552" s="973" t="n"/>
      <c r="L552" s="253" t="n"/>
      <c r="M552" s="254" t="n"/>
      <c r="N552" s="254" t="n"/>
      <c r="O552" s="1183" t="n"/>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73" t="n"/>
      <c r="E553" s="973" t="n"/>
      <c r="F553" s="994" t="n"/>
      <c r="G553" s="994" t="n"/>
      <c r="H553" s="973" t="n"/>
      <c r="I553" s="973" t="n"/>
      <c r="J553" s="973" t="n"/>
      <c r="K553" s="975" t="n"/>
      <c r="L553" s="253" t="n"/>
      <c r="M553" s="254" t="n"/>
      <c r="N553" s="254" t="n"/>
      <c r="O553" s="1183" t="n"/>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75" t="n"/>
      <c r="E554" s="975" t="n"/>
      <c r="F554" s="998" t="n"/>
      <c r="G554" s="998" t="n"/>
      <c r="H554" s="975" t="n"/>
      <c r="I554" s="975" t="n"/>
      <c r="J554" s="975" t="n"/>
      <c r="K554" s="1189">
        <f>K549=L554</f>
        <v/>
      </c>
      <c r="L554" s="491">
        <f>SUM(L549:L553)</f>
        <v/>
      </c>
      <c r="M554" s="1190" t="inlineStr">
        <is>
          <t xml:space="preserve">“Verdadero” indica que la cantidad por lote, coincide con el saldo que inicia al mes siguiente. "Falso" no coinicide. </t>
        </is>
      </c>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413">
        <f>SEPTIEMBRE!K555</f>
        <v/>
      </c>
      <c r="E555" s="339">
        <f>H151</f>
        <v/>
      </c>
      <c r="F555" s="338" t="n"/>
      <c r="G555" s="338" t="n"/>
      <c r="H555" s="1235">
        <f>+F555+G555</f>
        <v/>
      </c>
      <c r="I555" s="340">
        <f>+AM555</f>
        <v/>
      </c>
      <c r="J555" s="341">
        <f>+H555+I555</f>
        <v/>
      </c>
      <c r="K555" s="583">
        <f>+(D555+E555)-(J555)</f>
        <v/>
      </c>
      <c r="L555" s="253" t="n"/>
      <c r="M555" s="254" t="n"/>
      <c r="N555" s="254" t="n"/>
      <c r="O555" s="1183" t="n"/>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c r="AA555" s="648" t="n"/>
      <c r="AB555" s="649">
        <f>+Z555+AA555</f>
        <v/>
      </c>
      <c r="AC555" s="648" t="n"/>
      <c r="AD555" s="648" t="n"/>
      <c r="AE555" s="648" t="n"/>
      <c r="AF555" s="648" t="n"/>
      <c r="AG555" s="648" t="n"/>
      <c r="AH555" s="648" t="n"/>
      <c r="AI555" s="648" t="n"/>
      <c r="AJ555" s="648" t="n"/>
      <c r="AK555" s="648" t="n"/>
      <c r="AL555" s="648" t="n"/>
      <c r="AM555" s="421">
        <f>SUM(AB555:AL559)</f>
        <v/>
      </c>
      <c r="AN555" s="726" t="n"/>
      <c r="AQ555" s="1238">
        <f>IFERROR(I555/J555*100,"0")</f>
        <v/>
      </c>
      <c r="AR555" s="343">
        <f>IFERROR(1/(1-(AQ555/100)),"0")</f>
        <v/>
      </c>
      <c r="AS555" s="1239" t="n">
        <v>0</v>
      </c>
      <c r="AT555" s="345" t="n">
        <v>1</v>
      </c>
      <c r="AU555" s="1240" t="n"/>
      <c r="AV555" s="1241" t="n"/>
      <c r="AW555" s="1242">
        <f>+H555-AV555</f>
        <v/>
      </c>
    </row>
    <row r="556" ht="17.25" customHeight="1">
      <c r="A556" s="973" t="n"/>
      <c r="B556" s="971" t="n"/>
      <c r="C556" s="972" t="n"/>
      <c r="D556" s="973" t="n"/>
      <c r="E556" s="973" t="n"/>
      <c r="F556" s="994" t="n"/>
      <c r="G556" s="994" t="n"/>
      <c r="H556" s="973" t="n"/>
      <c r="I556" s="973" t="n"/>
      <c r="J556" s="973" t="n"/>
      <c r="K556" s="973" t="n"/>
      <c r="L556" s="253" t="n"/>
      <c r="M556" s="254" t="n"/>
      <c r="N556" s="254" t="n"/>
      <c r="O556" s="1183" t="n"/>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73" t="n"/>
      <c r="E557" s="973" t="n"/>
      <c r="F557" s="994" t="n"/>
      <c r="G557" s="994" t="n"/>
      <c r="H557" s="973" t="n"/>
      <c r="I557" s="973" t="n"/>
      <c r="J557" s="973" t="n"/>
      <c r="K557" s="973" t="n"/>
      <c r="L557" s="253" t="n"/>
      <c r="M557" s="254" t="n"/>
      <c r="N557" s="254" t="n"/>
      <c r="O557" s="1183" t="n"/>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73" t="n"/>
      <c r="E558" s="973" t="n"/>
      <c r="F558" s="994" t="n"/>
      <c r="G558" s="994" t="n"/>
      <c r="H558" s="973" t="n"/>
      <c r="I558" s="973" t="n"/>
      <c r="J558" s="973" t="n"/>
      <c r="K558" s="973" t="n"/>
      <c r="L558" s="253" t="n"/>
      <c r="M558" s="254" t="n"/>
      <c r="N558" s="254" t="n"/>
      <c r="O558" s="1183" t="n"/>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73"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75" t="n"/>
      <c r="E560" s="975" t="n"/>
      <c r="F560" s="998" t="n"/>
      <c r="G560" s="998" t="n"/>
      <c r="H560" s="975" t="n"/>
      <c r="I560" s="975" t="n"/>
      <c r="J560" s="975" t="n"/>
      <c r="K560" s="1189">
        <f>K555=L560</f>
        <v/>
      </c>
      <c r="L560" s="491">
        <f>SUM(L555:L559)</f>
        <v/>
      </c>
      <c r="M560" s="1190" t="inlineStr">
        <is>
          <t xml:space="preserve">“Verdadero” indica que la cantidad por lote, coincide con el saldo que inicia al mes siguiente. "Falso" no coinicide. </t>
        </is>
      </c>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66">
        <f>SEPTIEMBRE!K561</f>
        <v/>
      </c>
      <c r="E561" s="339">
        <f>H157</f>
        <v/>
      </c>
      <c r="F561" s="338" t="n"/>
      <c r="G561" s="338" t="n"/>
      <c r="H561" s="1235">
        <f>+F561+G561</f>
        <v/>
      </c>
      <c r="I561" s="340">
        <f>+AM561</f>
        <v/>
      </c>
      <c r="J561" s="341">
        <f>+H561+I561</f>
        <v/>
      </c>
      <c r="K561" s="583">
        <f>+(D561-D564+D565)+E561-J561</f>
        <v/>
      </c>
      <c r="L561" s="253" t="n"/>
      <c r="M561" s="254" t="n"/>
      <c r="N561" s="254" t="n"/>
      <c r="O561" s="1183" t="n"/>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c r="AA561" s="648" t="n"/>
      <c r="AB561" s="649">
        <f>+Z561+AA561</f>
        <v/>
      </c>
      <c r="AC561" s="648" t="n"/>
      <c r="AD561" s="648" t="n"/>
      <c r="AE561" s="648" t="n"/>
      <c r="AF561" s="648" t="n"/>
      <c r="AG561" s="648" t="n"/>
      <c r="AH561" s="648" t="n"/>
      <c r="AI561" s="648" t="n"/>
      <c r="AJ561" s="648" t="n"/>
      <c r="AK561" s="648" t="n"/>
      <c r="AL561" s="648" t="n"/>
      <c r="AM561" s="421">
        <f>SUM(AB561:AL565)</f>
        <v/>
      </c>
      <c r="AN561" s="726" t="n"/>
      <c r="AQ561" s="1238">
        <f>IFERROR(I561/J561*100,"0")</f>
        <v/>
      </c>
      <c r="AR561" s="343">
        <f>IFERROR(1/(1-(AQ561/100)),"0")</f>
        <v/>
      </c>
      <c r="AS561" s="1239" t="n">
        <v>15</v>
      </c>
      <c r="AT561" s="345" t="n">
        <v>20</v>
      </c>
      <c r="AU561" s="1240" t="n"/>
      <c r="AV561" s="1241" t="n"/>
      <c r="AW561" s="1242">
        <f>+H561-AV561</f>
        <v/>
      </c>
    </row>
    <row r="562" ht="19.5" customHeight="1">
      <c r="A562" s="973" t="n"/>
      <c r="B562" s="971" t="n"/>
      <c r="C562" s="972" t="n"/>
      <c r="D562" s="973" t="n"/>
      <c r="E562" s="973" t="n"/>
      <c r="F562" s="994" t="n"/>
      <c r="G562" s="994" t="n"/>
      <c r="H562" s="973" t="n"/>
      <c r="I562" s="973" t="n"/>
      <c r="J562" s="973" t="n"/>
      <c r="K562" s="973" t="n"/>
      <c r="L562" s="253" t="n"/>
      <c r="M562" s="254" t="n"/>
      <c r="N562" s="254" t="n"/>
      <c r="O562" s="1183" t="n"/>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75" t="n"/>
      <c r="E563" s="973" t="n"/>
      <c r="F563" s="994" t="n"/>
      <c r="G563" s="994" t="n"/>
      <c r="H563" s="973" t="n"/>
      <c r="I563" s="973" t="n"/>
      <c r="J563" s="973" t="n"/>
      <c r="K563" s="973" t="n"/>
      <c r="L563" s="253" t="n"/>
      <c r="M563" s="254" t="n"/>
      <c r="N563" s="254" t="n"/>
      <c r="O563" s="1183" t="n"/>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c r="M564" s="254" t="n"/>
      <c r="N564" s="254" t="n"/>
      <c r="O564" s="1183" t="n"/>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inlineStr">
        <is>
          <t xml:space="preserve">“Verdadero” indica que la cantidad por lote, coincide con el saldo que inicia al mes siguiente. "Falso" no coinicide. </t>
        </is>
      </c>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66">
        <f>SEPTIEMBRE!K567</f>
        <v/>
      </c>
      <c r="E567" s="1244">
        <f>H163</f>
        <v/>
      </c>
      <c r="F567" s="338" t="n"/>
      <c r="G567" s="338" t="n"/>
      <c r="H567" s="1235">
        <f>+F567+G567</f>
        <v/>
      </c>
      <c r="I567" s="340">
        <f>+AM567</f>
        <v/>
      </c>
      <c r="J567" s="341">
        <f>+H567+I567</f>
        <v/>
      </c>
      <c r="K567" s="583">
        <f>(D567-D570+D571+E567)-(J567)</f>
        <v/>
      </c>
      <c r="L567" s="253" t="n"/>
      <c r="M567" s="254" t="n"/>
      <c r="N567" s="254" t="n"/>
      <c r="O567" s="1183" t="n"/>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c r="AA567" s="648" t="n"/>
      <c r="AB567" s="649">
        <f>+Z567+AA567</f>
        <v/>
      </c>
      <c r="AC567" s="648" t="n"/>
      <c r="AD567" s="648" t="n"/>
      <c r="AE567" s="648" t="n"/>
      <c r="AF567" s="648" t="n"/>
      <c r="AG567" s="648" t="n"/>
      <c r="AH567" s="648" t="n"/>
      <c r="AI567" s="648" t="n"/>
      <c r="AJ567" s="648" t="n"/>
      <c r="AK567" s="648" t="n"/>
      <c r="AL567" s="648" t="n"/>
      <c r="AM567" s="421">
        <f>SUM(AB567:AL571)</f>
        <v/>
      </c>
      <c r="AN567" s="726" t="n"/>
      <c r="AQ567" s="1238">
        <f>IFERROR(I567/J567*100,"0")</f>
        <v/>
      </c>
      <c r="AR567" s="343">
        <f>IFERROR(1/(1-(AQ567/100)),"0")</f>
        <v/>
      </c>
      <c r="AS567" s="1239" t="n">
        <v>10</v>
      </c>
      <c r="AT567" s="345" t="n">
        <v>10</v>
      </c>
      <c r="AU567" s="1240" t="n"/>
      <c r="AV567" s="1241" t="n"/>
      <c r="AW567" s="1242">
        <f>+H567-AV567</f>
        <v/>
      </c>
    </row>
    <row r="568" ht="19.5" customHeight="1">
      <c r="A568" s="973" t="n"/>
      <c r="B568" s="971" t="n"/>
      <c r="C568" s="972" t="n"/>
      <c r="D568" s="973" t="n"/>
      <c r="E568" s="973" t="n"/>
      <c r="F568" s="994" t="n"/>
      <c r="G568" s="994" t="n"/>
      <c r="H568" s="973" t="n"/>
      <c r="I568" s="973" t="n"/>
      <c r="J568" s="973" t="n"/>
      <c r="K568" s="973" t="n"/>
      <c r="L568" s="253" t="n"/>
      <c r="M568" s="254" t="n"/>
      <c r="N568" s="254" t="n"/>
      <c r="O568" s="1183" t="n"/>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75" t="n"/>
      <c r="E569" s="973" t="n"/>
      <c r="F569" s="994" t="n"/>
      <c r="G569" s="994" t="n"/>
      <c r="H569" s="973" t="n"/>
      <c r="I569" s="973" t="n"/>
      <c r="J569" s="973" t="n"/>
      <c r="K569" s="973" t="n"/>
      <c r="L569" s="253" t="n"/>
      <c r="M569" s="254" t="n"/>
      <c r="N569" s="254" t="n"/>
      <c r="O569" s="1183" t="n"/>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c r="M570" s="254" t="n"/>
      <c r="N570" s="254" t="n"/>
      <c r="O570" s="1183" t="n"/>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inlineStr">
        <is>
          <t xml:space="preserve">“Verdadero” indica que la cantidad por lote, coincide con el saldo que inicia al mes siguiente. "Falso" no coinicide. </t>
        </is>
      </c>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413">
        <f>SEPTIEMBRE!K573</f>
        <v/>
      </c>
      <c r="E573" s="339">
        <f>H169</f>
        <v/>
      </c>
      <c r="F573" s="338" t="n"/>
      <c r="G573" s="338" t="n"/>
      <c r="H573" s="1235">
        <f>+F573+G573</f>
        <v/>
      </c>
      <c r="I573" s="340">
        <f>+AM573</f>
        <v/>
      </c>
      <c r="J573" s="341">
        <f>+H573+I573</f>
        <v/>
      </c>
      <c r="K573" s="583">
        <f>+(D573+E573)-(J573)</f>
        <v/>
      </c>
      <c r="L573" s="253" t="n"/>
      <c r="M573" s="254" t="n"/>
      <c r="N573" s="254" t="n"/>
      <c r="O573" s="1183" t="n"/>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c r="AA573" s="648" t="n"/>
      <c r="AB573" s="649">
        <f>+Z573+AA573</f>
        <v/>
      </c>
      <c r="AC573" s="648" t="n"/>
      <c r="AD573" s="648" t="n"/>
      <c r="AE573" s="648" t="n"/>
      <c r="AF573" s="648" t="n"/>
      <c r="AG573" s="648" t="n"/>
      <c r="AH573" s="648" t="n"/>
      <c r="AI573" s="648" t="n"/>
      <c r="AJ573" s="648" t="n"/>
      <c r="AK573" s="648" t="n"/>
      <c r="AL573" s="648" t="n"/>
      <c r="AM573" s="421">
        <f>SUM(AB573:AL577)</f>
        <v/>
      </c>
      <c r="AN573" s="726" t="n"/>
      <c r="AQ573" s="1238">
        <f>IFERROR(I573/J573*100,"0")</f>
        <v/>
      </c>
      <c r="AR573" s="343">
        <f>IFERROR(1/(1-(AQ573/100)),"0")</f>
        <v/>
      </c>
      <c r="AS573" s="1239" t="n">
        <v>0</v>
      </c>
      <c r="AT573" s="345" t="n">
        <v>1</v>
      </c>
      <c r="AU573" s="1240" t="n"/>
      <c r="AV573" s="1241" t="n"/>
      <c r="AW573" s="1242">
        <f>+H573-AV573</f>
        <v/>
      </c>
    </row>
    <row r="574" ht="17.25" customHeight="1">
      <c r="A574" s="973" t="n"/>
      <c r="B574" s="971" t="n"/>
      <c r="C574" s="972" t="n"/>
      <c r="D574" s="973" t="n"/>
      <c r="E574" s="973" t="n"/>
      <c r="F574" s="994" t="n"/>
      <c r="G574" s="994" t="n"/>
      <c r="H574" s="973" t="n"/>
      <c r="I574" s="973" t="n"/>
      <c r="J574" s="973" t="n"/>
      <c r="K574" s="973" t="n"/>
      <c r="L574" s="253" t="n"/>
      <c r="M574" s="254" t="n"/>
      <c r="N574" s="254" t="n"/>
      <c r="O574" s="1183" t="n"/>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73" t="n"/>
      <c r="E575" s="973" t="n"/>
      <c r="F575" s="994" t="n"/>
      <c r="G575" s="994" t="n"/>
      <c r="H575" s="973" t="n"/>
      <c r="I575" s="973" t="n"/>
      <c r="J575" s="973" t="n"/>
      <c r="K575" s="973" t="n"/>
      <c r="L575" s="253" t="n"/>
      <c r="M575" s="254" t="n"/>
      <c r="N575" s="254" t="n"/>
      <c r="O575" s="1183" t="n"/>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73" t="n"/>
      <c r="E576" s="973" t="n"/>
      <c r="F576" s="994" t="n"/>
      <c r="G576" s="994" t="n"/>
      <c r="H576" s="973" t="n"/>
      <c r="I576" s="973" t="n"/>
      <c r="J576" s="973" t="n"/>
      <c r="K576" s="973" t="n"/>
      <c r="L576" s="253" t="n"/>
      <c r="M576" s="254" t="n"/>
      <c r="N576" s="254" t="n"/>
      <c r="O576" s="1183" t="n"/>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73" t="n"/>
      <c r="E577" s="973" t="n"/>
      <c r="F577" s="994" t="n"/>
      <c r="G577" s="994" t="n"/>
      <c r="H577" s="973" t="n"/>
      <c r="I577" s="973" t="n"/>
      <c r="J577" s="973" t="n"/>
      <c r="K577" s="975" t="n"/>
      <c r="L577" s="253" t="n"/>
      <c r="M577" s="254" t="n"/>
      <c r="N577" s="254" t="n"/>
      <c r="O577" s="1183" t="n"/>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75" t="n"/>
      <c r="E578" s="975" t="n"/>
      <c r="F578" s="998" t="n"/>
      <c r="G578" s="998" t="n"/>
      <c r="H578" s="975" t="n"/>
      <c r="I578" s="975" t="n"/>
      <c r="J578" s="975" t="n"/>
      <c r="K578" s="1189">
        <f>K573=L578</f>
        <v/>
      </c>
      <c r="L578" s="491">
        <f>SUM(L573:L577)</f>
        <v/>
      </c>
      <c r="M578" s="1190" t="inlineStr">
        <is>
          <t xml:space="preserve">“Verdadero” indica que la cantidad por lote, coincide con el saldo que inicia al mes siguiente. "Falso" no coinicide. </t>
        </is>
      </c>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413">
        <f>SEPTIEMBRE!K579</f>
        <v/>
      </c>
      <c r="E579" s="339">
        <f>H175</f>
        <v/>
      </c>
      <c r="F579" s="338" t="n"/>
      <c r="G579" s="338" t="n"/>
      <c r="H579" s="1235">
        <f>+F579+G579</f>
        <v/>
      </c>
      <c r="I579" s="340">
        <f>+AM579</f>
        <v/>
      </c>
      <c r="J579" s="341">
        <f>+H579+I579</f>
        <v/>
      </c>
      <c r="K579" s="583">
        <f>+(D579+E579)-(J579)</f>
        <v/>
      </c>
      <c r="L579" s="253" t="n"/>
      <c r="M579" s="254" t="n"/>
      <c r="N579" s="254" t="n"/>
      <c r="O579" s="1183" t="n"/>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c r="AA579" s="648" t="n"/>
      <c r="AB579" s="649">
        <f>+Z579+AA579</f>
        <v/>
      </c>
      <c r="AC579" s="648" t="n"/>
      <c r="AD579" s="648" t="n"/>
      <c r="AE579" s="648" t="n"/>
      <c r="AF579" s="648" t="n"/>
      <c r="AG579" s="648" t="n"/>
      <c r="AH579" s="648" t="n"/>
      <c r="AI579" s="648" t="n"/>
      <c r="AJ579" s="648" t="n"/>
      <c r="AK579" s="648" t="n"/>
      <c r="AL579" s="648" t="n"/>
      <c r="AM579" s="421">
        <f>SUM(AB579:AL583)</f>
        <v/>
      </c>
      <c r="AN579" s="726" t="n"/>
      <c r="AQ579" s="1238">
        <f>IFERROR(I579/J579*100,"0")</f>
        <v/>
      </c>
      <c r="AR579" s="343">
        <f>IFERROR(1/(1-(AQ579/100)),"0")</f>
        <v/>
      </c>
      <c r="AS579" s="1239" t="n">
        <v>0</v>
      </c>
      <c r="AT579" s="345" t="n">
        <v>1</v>
      </c>
      <c r="AU579" s="1240" t="n"/>
      <c r="AV579" s="1241" t="n"/>
      <c r="AW579" s="1242">
        <f>+H579-AV579</f>
        <v/>
      </c>
    </row>
    <row r="580" ht="17.25" customHeight="1">
      <c r="A580" s="973" t="n"/>
      <c r="B580" s="971" t="n"/>
      <c r="C580" s="972" t="n"/>
      <c r="D580" s="973" t="n"/>
      <c r="E580" s="973" t="n"/>
      <c r="F580" s="994" t="n"/>
      <c r="G580" s="994" t="n"/>
      <c r="H580" s="973" t="n"/>
      <c r="I580" s="973" t="n"/>
      <c r="J580" s="973" t="n"/>
      <c r="K580" s="973" t="n"/>
      <c r="L580" s="253" t="n"/>
      <c r="M580" s="254" t="n"/>
      <c r="N580" s="254" t="n"/>
      <c r="O580" s="1183" t="n"/>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73" t="n"/>
      <c r="E581" s="973" t="n"/>
      <c r="F581" s="994" t="n"/>
      <c r="G581" s="994" t="n"/>
      <c r="H581" s="973" t="n"/>
      <c r="I581" s="973" t="n"/>
      <c r="J581" s="973" t="n"/>
      <c r="K581" s="973" t="n"/>
      <c r="L581" s="253" t="n"/>
      <c r="M581" s="254" t="n"/>
      <c r="N581" s="254" t="n"/>
      <c r="O581" s="1183" t="n"/>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73" t="n"/>
      <c r="E582" s="973" t="n"/>
      <c r="F582" s="994" t="n"/>
      <c r="G582" s="994" t="n"/>
      <c r="H582" s="973" t="n"/>
      <c r="I582" s="973" t="n"/>
      <c r="J582" s="973" t="n"/>
      <c r="K582" s="973" t="n"/>
      <c r="L582" s="253" t="n"/>
      <c r="M582" s="254" t="n"/>
      <c r="N582" s="254" t="n"/>
      <c r="O582" s="1183" t="n"/>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73"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75" t="n"/>
      <c r="E584" s="975" t="n"/>
      <c r="F584" s="998" t="n"/>
      <c r="G584" s="998" t="n"/>
      <c r="H584" s="975" t="n"/>
      <c r="I584" s="975" t="n"/>
      <c r="J584" s="975" t="n"/>
      <c r="K584" s="1189">
        <f>K579=L584</f>
        <v/>
      </c>
      <c r="L584" s="491">
        <f>SUM(L579:L583)</f>
        <v/>
      </c>
      <c r="M584" s="1190" t="inlineStr">
        <is>
          <t xml:space="preserve">“Verdadero” indica que la cantidad por lote, coincide con el saldo que inicia al mes siguiente. "Falso" no coinicide. </t>
        </is>
      </c>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413">
        <f>SEPTIEMBRE!K585</f>
        <v/>
      </c>
      <c r="E585" s="339">
        <f>H181</f>
        <v/>
      </c>
      <c r="F585" s="338" t="n"/>
      <c r="G585" s="338" t="n"/>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c r="AA585" s="648" t="n"/>
      <c r="AB585" s="649">
        <f>+Z585+AA585</f>
        <v/>
      </c>
      <c r="AC585" s="648" t="n"/>
      <c r="AD585" s="648" t="n"/>
      <c r="AE585" s="648" t="n"/>
      <c r="AF585" s="648" t="n"/>
      <c r="AG585" s="648" t="n"/>
      <c r="AH585" s="648" t="n"/>
      <c r="AI585" s="648" t="n"/>
      <c r="AJ585" s="648" t="n"/>
      <c r="AK585" s="648" t="n"/>
      <c r="AL585" s="648" t="n"/>
      <c r="AM585" s="421">
        <f>SUM(AB585:AL589)</f>
        <v/>
      </c>
      <c r="AN585" s="726" t="n"/>
      <c r="AQ585" s="1238">
        <f>IFERROR(I585/J585*100,"0")</f>
        <v/>
      </c>
      <c r="AR585" s="343">
        <f>IFERROR(1/(1-(AQ585/100)),"0")</f>
        <v/>
      </c>
      <c r="AS585" s="1239" t="n">
        <v>0</v>
      </c>
      <c r="AT585" s="345" t="n">
        <v>1</v>
      </c>
      <c r="AU585" s="1240" t="n"/>
      <c r="AV585" s="1241" t="n"/>
      <c r="AW585" s="1242">
        <f>+H585-AV585</f>
        <v/>
      </c>
    </row>
    <row r="586" ht="17.25" customHeight="1">
      <c r="A586" s="973" t="n"/>
      <c r="B586" s="971" t="n"/>
      <c r="C586" s="972" t="n"/>
      <c r="D586" s="973"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73"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73"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73"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75" t="n"/>
      <c r="E590" s="975" t="n"/>
      <c r="F590" s="998" t="n"/>
      <c r="G590" s="998" t="n"/>
      <c r="H590" s="975" t="n"/>
      <c r="I590" s="975" t="n"/>
      <c r="J590" s="975" t="n"/>
      <c r="K590" s="1189">
        <f>K585=L590</f>
        <v/>
      </c>
      <c r="L590" s="491">
        <f>SUM(L585:L589)</f>
        <v/>
      </c>
      <c r="M590" s="1190" t="inlineStr">
        <is>
          <t xml:space="preserve">“Verdadero” indica que la cantidad por lote, coincide con el saldo que inicia al mes siguiente. "Falso" no coinicide. </t>
        </is>
      </c>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413">
        <f>SEPTIEMBRE!K591</f>
        <v/>
      </c>
      <c r="E591" s="339">
        <f>H187</f>
        <v/>
      </c>
      <c r="F591" s="338" t="n"/>
      <c r="G591" s="338" t="n"/>
      <c r="H591" s="1235">
        <f>+F591+G591</f>
        <v/>
      </c>
      <c r="I591" s="340">
        <f>+AM591</f>
        <v/>
      </c>
      <c r="J591" s="341">
        <f>+H591+I591</f>
        <v/>
      </c>
      <c r="K591" s="583">
        <f>+(D591+E591)-(J591)</f>
        <v/>
      </c>
      <c r="L591" s="253" t="n"/>
      <c r="M591" s="254" t="n"/>
      <c r="N591" s="254" t="n"/>
      <c r="O591" s="1183" t="n"/>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c r="AA591" s="648" t="n"/>
      <c r="AB591" s="649">
        <f>+Z591+AA591</f>
        <v/>
      </c>
      <c r="AC591" s="648" t="n"/>
      <c r="AD591" s="648" t="n"/>
      <c r="AE591" s="648" t="n"/>
      <c r="AF591" s="648" t="n"/>
      <c r="AG591" s="648" t="n"/>
      <c r="AH591" s="648" t="n"/>
      <c r="AI591" s="648" t="n"/>
      <c r="AJ591" s="648" t="n"/>
      <c r="AK591" s="648" t="n"/>
      <c r="AL591" s="648" t="n"/>
      <c r="AM591" s="421">
        <f>SUM(AB591:AL595)</f>
        <v/>
      </c>
      <c r="AN591" s="726" t="n"/>
      <c r="AQ591" s="1238">
        <f>IFERROR(I591/J591*100,"0")</f>
        <v/>
      </c>
      <c r="AR591" s="343">
        <f>IFERROR(1/(1-(AQ591/100)),"0")</f>
        <v/>
      </c>
      <c r="AS591" s="1239" t="n">
        <v>0</v>
      </c>
      <c r="AT591" s="345" t="n">
        <v>1</v>
      </c>
      <c r="AU591" s="1240" t="n"/>
      <c r="AV591" s="1241" t="n"/>
      <c r="AW591" s="1242">
        <f>+H591-AV591</f>
        <v/>
      </c>
    </row>
    <row r="592" ht="17.25" customHeight="1">
      <c r="A592" s="973" t="n"/>
      <c r="B592" s="971" t="n"/>
      <c r="C592" s="972" t="n"/>
      <c r="D592" s="973" t="n"/>
      <c r="E592" s="973" t="n"/>
      <c r="F592" s="994" t="n"/>
      <c r="G592" s="994" t="n"/>
      <c r="H592" s="973" t="n"/>
      <c r="I592" s="973" t="n"/>
      <c r="J592" s="973" t="n"/>
      <c r="K592" s="973" t="n"/>
      <c r="L592" s="253" t="n"/>
      <c r="M592" s="254" t="n"/>
      <c r="N592" s="254" t="n"/>
      <c r="O592" s="1183" t="n"/>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73" t="n"/>
      <c r="E593" s="973" t="n"/>
      <c r="F593" s="994" t="n"/>
      <c r="G593" s="994" t="n"/>
      <c r="H593" s="973" t="n"/>
      <c r="I593" s="973" t="n"/>
      <c r="J593" s="973" t="n"/>
      <c r="K593" s="973" t="n"/>
      <c r="L593" s="253" t="n"/>
      <c r="M593" s="254" t="n"/>
      <c r="N593" s="254" t="n"/>
      <c r="O593" s="1183" t="n"/>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73" t="n"/>
      <c r="E594" s="973" t="n"/>
      <c r="F594" s="994" t="n"/>
      <c r="G594" s="994" t="n"/>
      <c r="H594" s="973" t="n"/>
      <c r="I594" s="973" t="n"/>
      <c r="J594" s="973" t="n"/>
      <c r="K594" s="973" t="n"/>
      <c r="L594" s="253" t="n"/>
      <c r="M594" s="254" t="n"/>
      <c r="N594" s="254" t="n"/>
      <c r="O594" s="1183" t="n"/>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73" t="n"/>
      <c r="E595" s="973" t="n"/>
      <c r="F595" s="994" t="n"/>
      <c r="G595" s="994" t="n"/>
      <c r="H595" s="973" t="n"/>
      <c r="I595" s="973" t="n"/>
      <c r="J595" s="973" t="n"/>
      <c r="K595" s="975" t="n"/>
      <c r="L595" s="253" t="n"/>
      <c r="M595" s="254" t="n"/>
      <c r="N595" s="254" t="n"/>
      <c r="O595" s="1183" t="n"/>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75" t="n"/>
      <c r="E596" s="975" t="n"/>
      <c r="F596" s="998" t="n"/>
      <c r="G596" s="998" t="n"/>
      <c r="H596" s="975" t="n"/>
      <c r="I596" s="975" t="n"/>
      <c r="J596" s="975" t="n"/>
      <c r="K596" s="1189">
        <f>K591=L596</f>
        <v/>
      </c>
      <c r="L596" s="491">
        <f>SUM(L591:L595)</f>
        <v/>
      </c>
      <c r="M596" s="1190" t="inlineStr">
        <is>
          <t xml:space="preserve">“Verdadero” indica que la cantidad por lote, coincide con el saldo que inicia al mes siguiente. "Falso" no coinicide. </t>
        </is>
      </c>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413">
        <f>SEPTIEMBRE!K597</f>
        <v/>
      </c>
      <c r="E597" s="339">
        <f>H193</f>
        <v/>
      </c>
      <c r="F597" s="338" t="n"/>
      <c r="G597" s="338" t="n"/>
      <c r="H597" s="1235">
        <f>+F597+G597</f>
        <v/>
      </c>
      <c r="I597" s="340">
        <f>+AM597</f>
        <v/>
      </c>
      <c r="J597" s="341">
        <f>+H597+I597</f>
        <v/>
      </c>
      <c r="K597" s="583">
        <f>+(D597+E597)-(J597)</f>
        <v/>
      </c>
      <c r="L597" s="253" t="n"/>
      <c r="M597" s="254" t="n"/>
      <c r="N597" s="254" t="n"/>
      <c r="O597" s="1183" t="n"/>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c r="AA597" s="648" t="n"/>
      <c r="AB597" s="649">
        <f>+Z597+AA597</f>
        <v/>
      </c>
      <c r="AC597" s="648" t="n"/>
      <c r="AD597" s="648" t="n"/>
      <c r="AE597" s="648" t="n"/>
      <c r="AF597" s="648" t="n"/>
      <c r="AG597" s="648" t="n"/>
      <c r="AH597" s="648" t="n"/>
      <c r="AI597" s="648" t="n"/>
      <c r="AJ597" s="648" t="n"/>
      <c r="AK597" s="648" t="n"/>
      <c r="AL597" s="648" t="n"/>
      <c r="AM597" s="421">
        <f>SUM(AB597:AL601)</f>
        <v/>
      </c>
      <c r="AN597" s="726" t="n"/>
      <c r="AQ597" s="1238">
        <f>IFERROR(I597/J597*100,"0")</f>
        <v/>
      </c>
      <c r="AR597" s="343">
        <f>IFERROR(1/(1-(AQ597/100)),"0")</f>
        <v/>
      </c>
      <c r="AS597" s="1239" t="n">
        <v>0</v>
      </c>
      <c r="AT597" s="345" t="n">
        <v>1</v>
      </c>
      <c r="AU597" s="1240" t="n"/>
      <c r="AV597" s="1241" t="n"/>
      <c r="AW597" s="1242">
        <f>+H597-AV597</f>
        <v/>
      </c>
    </row>
    <row r="598" ht="17.25" customHeight="1">
      <c r="A598" s="973" t="n"/>
      <c r="B598" s="971" t="n"/>
      <c r="C598" s="972" t="n"/>
      <c r="D598" s="973" t="n"/>
      <c r="E598" s="973" t="n"/>
      <c r="F598" s="994" t="n"/>
      <c r="G598" s="994" t="n"/>
      <c r="H598" s="973" t="n"/>
      <c r="I598" s="973" t="n"/>
      <c r="J598" s="973" t="n"/>
      <c r="K598" s="973" t="n"/>
      <c r="L598" s="253" t="n"/>
      <c r="M598" s="254" t="n"/>
      <c r="N598" s="254" t="n"/>
      <c r="O598" s="1183" t="n"/>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73" t="n"/>
      <c r="E599" s="973" t="n"/>
      <c r="F599" s="994" t="n"/>
      <c r="G599" s="994" t="n"/>
      <c r="H599" s="973" t="n"/>
      <c r="I599" s="973" t="n"/>
      <c r="J599" s="973" t="n"/>
      <c r="K599" s="973" t="n"/>
      <c r="L599" s="253" t="n"/>
      <c r="M599" s="254" t="n"/>
      <c r="N599" s="254" t="n"/>
      <c r="O599" s="1183" t="n"/>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73"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73"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75" t="n"/>
      <c r="E602" s="975" t="n"/>
      <c r="F602" s="998" t="n"/>
      <c r="G602" s="998" t="n"/>
      <c r="H602" s="975" t="n"/>
      <c r="I602" s="975" t="n"/>
      <c r="J602" s="975" t="n"/>
      <c r="K602" s="1189">
        <f>K597=L602</f>
        <v/>
      </c>
      <c r="L602" s="491">
        <f>SUM(L597:L601)</f>
        <v/>
      </c>
      <c r="M602" s="1190" t="inlineStr">
        <is>
          <t xml:space="preserve">“Verdadero” indica que la cantidad por lote, coincide con el saldo que inicia al mes siguiente. "Falso" no coinicide. </t>
        </is>
      </c>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413">
        <f>SEPTIEMBRE!K603</f>
        <v/>
      </c>
      <c r="E603" s="339">
        <f>H199</f>
        <v/>
      </c>
      <c r="F603" s="338" t="n"/>
      <c r="G603" s="338" t="n"/>
      <c r="H603" s="1235">
        <f>+F603+G603</f>
        <v/>
      </c>
      <c r="I603" s="340">
        <f>+AM603</f>
        <v/>
      </c>
      <c r="J603" s="341">
        <f>+H603+I603</f>
        <v/>
      </c>
      <c r="K603" s="583">
        <f>+(D603+E603)-(J603)</f>
        <v/>
      </c>
      <c r="L603" s="253" t="n"/>
      <c r="M603" s="254" t="n"/>
      <c r="N603" s="254" t="n"/>
      <c r="O603" s="1183" t="n"/>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c r="AA603" s="648" t="n"/>
      <c r="AB603" s="649">
        <f>+Z603+AA603</f>
        <v/>
      </c>
      <c r="AC603" s="648" t="n"/>
      <c r="AD603" s="648" t="n"/>
      <c r="AE603" s="648" t="n"/>
      <c r="AF603" s="648" t="n"/>
      <c r="AG603" s="648" t="n"/>
      <c r="AH603" s="648" t="n"/>
      <c r="AI603" s="648" t="n"/>
      <c r="AJ603" s="648" t="n"/>
      <c r="AK603" s="648" t="n"/>
      <c r="AL603" s="648" t="n"/>
      <c r="AM603" s="421">
        <f>SUM(AB603:AL607)</f>
        <v/>
      </c>
      <c r="AN603" s="726" t="n"/>
      <c r="AQ603" s="1238">
        <f>IFERROR(I603/J603*100,"0")</f>
        <v/>
      </c>
      <c r="AR603" s="343">
        <f>IFERROR(1/(1-(AQ603/100)),"0")</f>
        <v/>
      </c>
      <c r="AS603" s="1239" t="n">
        <v>0</v>
      </c>
      <c r="AT603" s="345" t="n">
        <v>1</v>
      </c>
      <c r="AU603" s="1240" t="n"/>
      <c r="AV603" s="1241" t="n"/>
      <c r="AW603" s="1242">
        <f>+H603-AV603</f>
        <v/>
      </c>
    </row>
    <row r="604" ht="17.25" customHeight="1">
      <c r="A604" s="973" t="n"/>
      <c r="B604" s="971" t="n"/>
      <c r="C604" s="972" t="n"/>
      <c r="D604" s="973" t="n"/>
      <c r="E604" s="973" t="n"/>
      <c r="F604" s="994" t="n"/>
      <c r="G604" s="994" t="n"/>
      <c r="H604" s="973" t="n"/>
      <c r="I604" s="973" t="n"/>
      <c r="J604" s="973" t="n"/>
      <c r="K604" s="973" t="n"/>
      <c r="L604" s="253" t="n"/>
      <c r="M604" s="254" t="n"/>
      <c r="N604" s="254" t="n"/>
      <c r="O604" s="1183" t="n"/>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73" t="n"/>
      <c r="E605" s="973" t="n"/>
      <c r="F605" s="994" t="n"/>
      <c r="G605" s="994" t="n"/>
      <c r="H605" s="973" t="n"/>
      <c r="I605" s="973" t="n"/>
      <c r="J605" s="973" t="n"/>
      <c r="K605" s="973" t="n"/>
      <c r="L605" s="253" t="n"/>
      <c r="M605" s="254" t="n"/>
      <c r="N605" s="254" t="n"/>
      <c r="O605" s="1183" t="n"/>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73" t="n"/>
      <c r="E606" s="973" t="n"/>
      <c r="F606" s="994" t="n"/>
      <c r="G606" s="994" t="n"/>
      <c r="H606" s="973" t="n"/>
      <c r="I606" s="973" t="n"/>
      <c r="J606" s="973" t="n"/>
      <c r="K606" s="973" t="n"/>
      <c r="L606" s="253" t="n"/>
      <c r="M606" s="254" t="n"/>
      <c r="N606" s="254" t="n"/>
      <c r="O606" s="1183" t="n"/>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73"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75" t="n"/>
      <c r="E608" s="975" t="n"/>
      <c r="F608" s="998" t="n"/>
      <c r="G608" s="998" t="n"/>
      <c r="H608" s="975" t="n"/>
      <c r="I608" s="975" t="n"/>
      <c r="J608" s="975" t="n"/>
      <c r="K608" s="1189">
        <f>K603=L608</f>
        <v/>
      </c>
      <c r="L608" s="491">
        <f>SUM(L603:L607)</f>
        <v/>
      </c>
      <c r="M608" s="1190" t="inlineStr">
        <is>
          <t xml:space="preserve">“Verdadero” indica que la cantidad por lote, coincide con el saldo que inicia al mes siguiente. "Falso" no coinicide. </t>
        </is>
      </c>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413">
        <f>SEPTIEMBRE!K609</f>
        <v/>
      </c>
      <c r="E609" s="339">
        <f>H205</f>
        <v/>
      </c>
      <c r="F609" s="338" t="n"/>
      <c r="G609" s="338" t="n"/>
      <c r="H609" s="1235">
        <f>+F609+G609</f>
        <v/>
      </c>
      <c r="I609" s="340">
        <f>+AM609</f>
        <v/>
      </c>
      <c r="J609" s="341">
        <f>+H609+I609</f>
        <v/>
      </c>
      <c r="K609" s="583">
        <f>+(D609+E609)-(J609)</f>
        <v/>
      </c>
      <c r="L609" s="253" t="n"/>
      <c r="M609" s="254" t="n"/>
      <c r="N609" s="254" t="n"/>
      <c r="O609" s="1183" t="n"/>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c r="AA609" s="648" t="n"/>
      <c r="AB609" s="649">
        <f>+Z609+AA609</f>
        <v/>
      </c>
      <c r="AC609" s="648" t="n"/>
      <c r="AD609" s="648" t="n"/>
      <c r="AE609" s="648" t="n"/>
      <c r="AF609" s="648" t="n"/>
      <c r="AG609" s="648" t="n"/>
      <c r="AH609" s="648" t="n"/>
      <c r="AI609" s="648" t="n"/>
      <c r="AJ609" s="648" t="n"/>
      <c r="AK609" s="648" t="n"/>
      <c r="AL609" s="648" t="n"/>
      <c r="AM609" s="421">
        <f>SUM(AB609:AL613)</f>
        <v/>
      </c>
      <c r="AN609" s="726" t="n"/>
      <c r="AQ609" s="1238">
        <f>IFERROR(I609/J609*100,"0")</f>
        <v/>
      </c>
      <c r="AR609" s="343">
        <f>IFERROR(1/(1-(AQ609/100)),"0")</f>
        <v/>
      </c>
      <c r="AS609" s="1239" t="n">
        <v>0</v>
      </c>
      <c r="AT609" s="345" t="n">
        <v>1</v>
      </c>
      <c r="AU609" s="1240" t="n"/>
      <c r="AV609" s="1241" t="n"/>
      <c r="AW609" s="1242">
        <f>+H609-AV609</f>
        <v/>
      </c>
    </row>
    <row r="610" ht="17.25" customHeight="1">
      <c r="A610" s="973" t="n"/>
      <c r="B610" s="971" t="n"/>
      <c r="C610" s="972" t="n"/>
      <c r="D610" s="973" t="n"/>
      <c r="E610" s="973" t="n"/>
      <c r="F610" s="994" t="n"/>
      <c r="G610" s="994" t="n"/>
      <c r="H610" s="973" t="n"/>
      <c r="I610" s="973" t="n"/>
      <c r="J610" s="973" t="n"/>
      <c r="K610" s="973" t="n"/>
      <c r="L610" s="253" t="n"/>
      <c r="M610" s="254" t="n"/>
      <c r="N610" s="254" t="n"/>
      <c r="O610" s="1183" t="n"/>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73" t="n"/>
      <c r="E611" s="973" t="n"/>
      <c r="F611" s="994" t="n"/>
      <c r="G611" s="994" t="n"/>
      <c r="H611" s="973" t="n"/>
      <c r="I611" s="973" t="n"/>
      <c r="J611" s="973" t="n"/>
      <c r="K611" s="973" t="n"/>
      <c r="L611" s="253" t="n"/>
      <c r="M611" s="254" t="n"/>
      <c r="N611" s="254" t="n"/>
      <c r="O611" s="1183" t="n"/>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73" t="n"/>
      <c r="E612" s="973" t="n"/>
      <c r="F612" s="994" t="n"/>
      <c r="G612" s="994" t="n"/>
      <c r="H612" s="973" t="n"/>
      <c r="I612" s="973" t="n"/>
      <c r="J612" s="973" t="n"/>
      <c r="K612" s="973" t="n"/>
      <c r="L612" s="253" t="n"/>
      <c r="M612" s="254" t="n"/>
      <c r="N612" s="254" t="n"/>
      <c r="O612" s="1183" t="n"/>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73" t="n"/>
      <c r="E613" s="973" t="n"/>
      <c r="F613" s="994" t="n"/>
      <c r="G613" s="994" t="n"/>
      <c r="H613" s="973" t="n"/>
      <c r="I613" s="973" t="n"/>
      <c r="J613" s="973" t="n"/>
      <c r="K613" s="975" t="n"/>
      <c r="L613" s="253" t="n"/>
      <c r="M613" s="254" t="n"/>
      <c r="N613" s="254" t="n"/>
      <c r="O613" s="1183" t="n"/>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75" t="n"/>
      <c r="E614" s="975" t="n"/>
      <c r="F614" s="998" t="n"/>
      <c r="G614" s="998" t="n"/>
      <c r="H614" s="975" t="n"/>
      <c r="I614" s="975" t="n"/>
      <c r="J614" s="975" t="n"/>
      <c r="K614" s="1189">
        <f>K609=L614</f>
        <v/>
      </c>
      <c r="L614" s="491">
        <f>SUM(L609:L613)</f>
        <v/>
      </c>
      <c r="M614" s="1190" t="inlineStr">
        <is>
          <t xml:space="preserve">“Verdadero” indica que la cantidad por lote, coincide con el saldo que inicia al mes siguiente. "Falso" no coinicide. </t>
        </is>
      </c>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413">
        <f>SEPTIEMBRE!K615</f>
        <v/>
      </c>
      <c r="E615" s="339">
        <f>H211</f>
        <v/>
      </c>
      <c r="F615" s="338" t="n"/>
      <c r="G615" s="338" t="n"/>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c r="AA615" s="648" t="n"/>
      <c r="AB615" s="649">
        <f>+Z615+AA615</f>
        <v/>
      </c>
      <c r="AC615" s="648" t="n"/>
      <c r="AD615" s="648" t="n"/>
      <c r="AE615" s="648" t="n"/>
      <c r="AF615" s="648" t="n"/>
      <c r="AG615" s="648" t="n"/>
      <c r="AH615" s="648" t="n"/>
      <c r="AI615" s="648" t="n"/>
      <c r="AJ615" s="648" t="n"/>
      <c r="AK615" s="648" t="n"/>
      <c r="AL615" s="648" t="n"/>
      <c r="AM615" s="421">
        <f>SUM(AB615:AL619)</f>
        <v/>
      </c>
      <c r="AN615" s="726" t="n"/>
      <c r="AQ615" s="1238">
        <f>IFERROR(I615/J615*100,"0")</f>
        <v/>
      </c>
      <c r="AR615" s="343">
        <f>IFERROR(1/(1-(AQ615/100)),"0")</f>
        <v/>
      </c>
      <c r="AS615" s="1239" t="n">
        <v>0</v>
      </c>
      <c r="AT615" s="345" t="n">
        <v>1</v>
      </c>
      <c r="AU615" s="1240" t="n"/>
      <c r="AV615" s="1241" t="n"/>
      <c r="AW615" s="1242">
        <f>+H615-AV615</f>
        <v/>
      </c>
    </row>
    <row r="616" ht="17.25" customHeight="1">
      <c r="A616" s="973" t="n"/>
      <c r="B616" s="971" t="n"/>
      <c r="C616" s="972" t="n"/>
      <c r="D616" s="973"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73"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73"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73"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75" t="n"/>
      <c r="E620" s="975" t="n"/>
      <c r="F620" s="998" t="n"/>
      <c r="G620" s="998" t="n"/>
      <c r="H620" s="975" t="n"/>
      <c r="I620" s="975" t="n"/>
      <c r="J620" s="975" t="n"/>
      <c r="K620" s="1189">
        <f>K615=L620</f>
        <v/>
      </c>
      <c r="L620" s="491">
        <f>SUM(L615:L619)</f>
        <v/>
      </c>
      <c r="M620" s="1190" t="inlineStr">
        <is>
          <t xml:space="preserve">“Verdadero” indica que la cantidad por lote, coincide con el saldo que inicia al mes siguiente. "Falso" no coinicide. </t>
        </is>
      </c>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413">
        <f>SEPTIEMBRE!K621</f>
        <v/>
      </c>
      <c r="E621" s="339">
        <f>H217</f>
        <v/>
      </c>
      <c r="F621" s="338" t="n"/>
      <c r="G621" s="338" t="n"/>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c r="AA621" s="648" t="n"/>
      <c r="AB621" s="649">
        <f>+Z621+AA621</f>
        <v/>
      </c>
      <c r="AC621" s="648" t="n"/>
      <c r="AD621" s="648" t="n"/>
      <c r="AE621" s="648" t="n"/>
      <c r="AF621" s="648" t="n"/>
      <c r="AG621" s="648" t="n"/>
      <c r="AH621" s="648" t="n"/>
      <c r="AI621" s="648" t="n"/>
      <c r="AJ621" s="648" t="n"/>
      <c r="AK621" s="648" t="n"/>
      <c r="AL621" s="648" t="n"/>
      <c r="AM621" s="421">
        <f>SUM(AB621:AL625)</f>
        <v/>
      </c>
      <c r="AN621" s="726" t="n"/>
      <c r="AQ621" s="1238">
        <f>IFERROR(I621/J621*100,"0")</f>
        <v/>
      </c>
      <c r="AR621" s="343">
        <f>IFERROR(1/(1-(AQ621/100)),"0")</f>
        <v/>
      </c>
      <c r="AS621" s="1239" t="n">
        <v>0</v>
      </c>
      <c r="AT621" s="345" t="n">
        <v>1</v>
      </c>
      <c r="AU621" s="1240" t="n"/>
      <c r="AV621" s="1241" t="n"/>
      <c r="AW621" s="1242">
        <f>+H621-AV621</f>
        <v/>
      </c>
    </row>
    <row r="622" ht="17.25" customHeight="1">
      <c r="A622" s="973" t="n"/>
      <c r="B622" s="971" t="n"/>
      <c r="C622" s="972" t="n"/>
      <c r="D622" s="973"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73"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73"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73"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75" t="n"/>
      <c r="E626" s="975" t="n"/>
      <c r="F626" s="998" t="n"/>
      <c r="G626" s="998" t="n"/>
      <c r="H626" s="975" t="n"/>
      <c r="I626" s="975" t="n"/>
      <c r="J626" s="975" t="n"/>
      <c r="K626" s="1189">
        <f>K621=L626</f>
        <v/>
      </c>
      <c r="L626" s="491">
        <f>SUM(L621:L625)</f>
        <v/>
      </c>
      <c r="M626" s="1190" t="inlineStr">
        <is>
          <t xml:space="preserve">“Verdadero” indica que la cantidad por lote, coincide con el saldo que inicia al mes siguiente. "Falso" no coinicide. </t>
        </is>
      </c>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413">
        <f>SEPTIEMBRE!K627</f>
        <v/>
      </c>
      <c r="E627" s="339">
        <f>H223</f>
        <v/>
      </c>
      <c r="F627" s="338" t="n"/>
      <c r="G627" s="338" t="n"/>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c r="AA627" s="648" t="n"/>
      <c r="AB627" s="649">
        <f>+Z627+AA627</f>
        <v/>
      </c>
      <c r="AC627" s="648" t="n"/>
      <c r="AD627" s="648" t="n"/>
      <c r="AE627" s="648" t="n"/>
      <c r="AF627" s="648" t="n"/>
      <c r="AG627" s="648" t="n"/>
      <c r="AH627" s="648" t="n"/>
      <c r="AI627" s="648" t="n"/>
      <c r="AJ627" s="648" t="n"/>
      <c r="AK627" s="648" t="n"/>
      <c r="AL627" s="648" t="n"/>
      <c r="AM627" s="421">
        <f>SUM(AB627:AL631)</f>
        <v/>
      </c>
      <c r="AN627" s="726" t="n"/>
      <c r="AQ627" s="1238">
        <f>IFERROR(I627/J627*100,"0")</f>
        <v/>
      </c>
      <c r="AR627" s="343">
        <f>IFERROR(1/(1-(AQ627/100)),"0")</f>
        <v/>
      </c>
      <c r="AS627" s="1239" t="n">
        <v>0</v>
      </c>
      <c r="AT627" s="345" t="n">
        <v>1</v>
      </c>
      <c r="AU627" s="1240" t="n"/>
      <c r="AV627" s="1241" t="n"/>
      <c r="AW627" s="1242">
        <f>+H627-AV627</f>
        <v/>
      </c>
    </row>
    <row r="628" ht="17.25" customHeight="1">
      <c r="A628" s="973" t="n"/>
      <c r="B628" s="971" t="n"/>
      <c r="C628" s="972" t="n"/>
      <c r="D628" s="973"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73"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73"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73"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75" t="n"/>
      <c r="E632" s="975" t="n"/>
      <c r="F632" s="998" t="n"/>
      <c r="G632" s="998" t="n"/>
      <c r="H632" s="975" t="n"/>
      <c r="I632" s="975" t="n"/>
      <c r="J632" s="975" t="n"/>
      <c r="K632" s="1189">
        <f>K627=L632</f>
        <v/>
      </c>
      <c r="L632" s="491">
        <f>SUM(L627:L631)</f>
        <v/>
      </c>
      <c r="M632" s="1190" t="inlineStr">
        <is>
          <t xml:space="preserve">“Verdadero” indica que la cantidad por lote, coincide con el saldo que inicia al mes siguiente. "Falso" no coinicide. </t>
        </is>
      </c>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647"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413">
        <f>SEPTIEMBRE!K634</f>
        <v/>
      </c>
      <c r="E634" s="339">
        <f>H230</f>
        <v/>
      </c>
      <c r="F634" s="338" t="n"/>
      <c r="G634" s="338" t="n"/>
      <c r="H634" s="1235">
        <f>+F634+G634</f>
        <v/>
      </c>
      <c r="I634" s="340">
        <f>+AM634</f>
        <v/>
      </c>
      <c r="J634" s="341">
        <f>+H634+I634</f>
        <v/>
      </c>
      <c r="K634" s="583">
        <f>+(D634+E634)-(J634)</f>
        <v/>
      </c>
      <c r="L634" s="253" t="n"/>
      <c r="M634" s="254" t="n"/>
      <c r="N634" s="254" t="n"/>
      <c r="O634" s="1183" t="n"/>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c r="AA634" s="648" t="n"/>
      <c r="AB634" s="649">
        <f>+Z634+AA634</f>
        <v/>
      </c>
      <c r="AC634" s="648" t="n"/>
      <c r="AD634" s="648" t="n"/>
      <c r="AE634" s="648" t="n"/>
      <c r="AF634" s="648" t="n"/>
      <c r="AG634" s="648" t="n"/>
      <c r="AH634" s="648" t="n"/>
      <c r="AI634" s="648" t="n"/>
      <c r="AJ634" s="648" t="n"/>
      <c r="AK634" s="648" t="n"/>
      <c r="AL634" s="648" t="n"/>
      <c r="AM634" s="421">
        <f>SUM(AB634:AL638)</f>
        <v/>
      </c>
      <c r="AN634" s="726" t="n"/>
      <c r="AU634" s="1240" t="n"/>
      <c r="AV634" s="1240" t="n"/>
    </row>
    <row r="635" ht="17.1" customHeight="1">
      <c r="A635" s="973" t="n"/>
      <c r="B635" s="971" t="n"/>
      <c r="C635" s="972" t="n"/>
      <c r="D635" s="973" t="n"/>
      <c r="E635" s="973" t="n"/>
      <c r="F635" s="994" t="n"/>
      <c r="G635" s="994" t="n"/>
      <c r="H635" s="973" t="n"/>
      <c r="I635" s="973" t="n"/>
      <c r="J635" s="973" t="n"/>
      <c r="K635" s="973" t="n"/>
      <c r="L635" s="253" t="n"/>
      <c r="M635" s="254" t="n"/>
      <c r="N635" s="254" t="n"/>
      <c r="O635" s="1183" t="n"/>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73" t="n"/>
      <c r="E636" s="973" t="n"/>
      <c r="F636" s="994" t="n"/>
      <c r="G636" s="994" t="n"/>
      <c r="H636" s="973" t="n"/>
      <c r="I636" s="973" t="n"/>
      <c r="J636" s="973" t="n"/>
      <c r="K636" s="973" t="n"/>
      <c r="L636" s="253" t="n"/>
      <c r="M636" s="254" t="n"/>
      <c r="N636" s="254" t="n"/>
      <c r="O636" s="1183" t="n"/>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73" t="n"/>
      <c r="E637" s="973" t="n"/>
      <c r="F637" s="994" t="n"/>
      <c r="G637" s="994" t="n"/>
      <c r="H637" s="973" t="n"/>
      <c r="I637" s="973" t="n"/>
      <c r="J637" s="973" t="n"/>
      <c r="K637" s="973" t="n"/>
      <c r="L637" s="253" t="n"/>
      <c r="M637" s="254" t="n"/>
      <c r="N637" s="254" t="n"/>
      <c r="O637" s="1183" t="n"/>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73" t="n"/>
      <c r="E638" s="973" t="n"/>
      <c r="F638" s="994" t="n"/>
      <c r="G638" s="994" t="n"/>
      <c r="H638" s="973" t="n"/>
      <c r="I638" s="973" t="n"/>
      <c r="J638" s="973" t="n"/>
      <c r="K638" s="975" t="n"/>
      <c r="L638" s="253" t="n"/>
      <c r="M638" s="254" t="n"/>
      <c r="N638" s="254" t="n"/>
      <c r="O638" s="1183" t="n"/>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75" t="n"/>
      <c r="E639" s="975" t="n"/>
      <c r="F639" s="998" t="n"/>
      <c r="G639" s="998" t="n"/>
      <c r="H639" s="975" t="n"/>
      <c r="I639" s="975" t="n"/>
      <c r="J639" s="975" t="n"/>
      <c r="K639" s="1189">
        <f>K634=L639</f>
        <v/>
      </c>
      <c r="L639" s="491">
        <f>SUM(L634:L638)</f>
        <v/>
      </c>
      <c r="M639" s="1190" t="inlineStr">
        <is>
          <t xml:space="preserve">“Verdadero” indica que la cantidad por lote, coincide con el saldo que inicia al mes siguiente. "Falso" no coinicide. </t>
        </is>
      </c>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413">
        <f>SEPTIEMBRE!K640</f>
        <v/>
      </c>
      <c r="E640" s="339">
        <f>H236</f>
        <v/>
      </c>
      <c r="F640" s="338" t="n"/>
      <c r="G640" s="338" t="n"/>
      <c r="H640" s="1235">
        <f>+F640+G640</f>
        <v/>
      </c>
      <c r="I640" s="340">
        <f>+AM640</f>
        <v/>
      </c>
      <c r="J640" s="341">
        <f>+H640+I640</f>
        <v/>
      </c>
      <c r="K640" s="583">
        <f>+(D640+E640)-(J640)</f>
        <v/>
      </c>
      <c r="L640" s="253" t="n"/>
      <c r="M640" s="254" t="n"/>
      <c r="N640" s="254" t="n"/>
      <c r="O640" s="1183" t="n"/>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c r="AA640" s="648" t="n"/>
      <c r="AB640" s="649">
        <f>+Z640+AA640</f>
        <v/>
      </c>
      <c r="AC640" s="648" t="n"/>
      <c r="AD640" s="648" t="n"/>
      <c r="AE640" s="648" t="n"/>
      <c r="AF640" s="648" t="n"/>
      <c r="AG640" s="648" t="n"/>
      <c r="AH640" s="648" t="n"/>
      <c r="AI640" s="648" t="n"/>
      <c r="AJ640" s="648" t="n"/>
      <c r="AK640" s="648" t="n"/>
      <c r="AL640" s="648" t="n"/>
      <c r="AM640" s="421">
        <f>SUM(AB640:AL644)</f>
        <v/>
      </c>
      <c r="AN640" s="726" t="n"/>
      <c r="AU640" s="1240" t="n"/>
      <c r="AV640" s="1240" t="n"/>
    </row>
    <row r="641" ht="17.1" customHeight="1">
      <c r="A641" s="973" t="n"/>
      <c r="B641" s="971" t="n"/>
      <c r="C641" s="972" t="n"/>
      <c r="D641" s="973" t="n"/>
      <c r="E641" s="973" t="n"/>
      <c r="F641" s="994" t="n"/>
      <c r="G641" s="994" t="n"/>
      <c r="H641" s="973" t="n"/>
      <c r="I641" s="973" t="n"/>
      <c r="J641" s="973" t="n"/>
      <c r="K641" s="973" t="n"/>
      <c r="L641" s="253" t="n"/>
      <c r="M641" s="254" t="n"/>
      <c r="N641" s="254" t="n"/>
      <c r="O641" s="1183" t="n"/>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73" t="n"/>
      <c r="E642" s="973" t="n"/>
      <c r="F642" s="994" t="n"/>
      <c r="G642" s="994" t="n"/>
      <c r="H642" s="973" t="n"/>
      <c r="I642" s="973" t="n"/>
      <c r="J642" s="973" t="n"/>
      <c r="K642" s="973" t="n"/>
      <c r="L642" s="253" t="n"/>
      <c r="M642" s="254" t="n"/>
      <c r="N642" s="254" t="n"/>
      <c r="O642" s="1183" t="n"/>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73" t="n"/>
      <c r="E643" s="973" t="n"/>
      <c r="F643" s="994" t="n"/>
      <c r="G643" s="994" t="n"/>
      <c r="H643" s="973" t="n"/>
      <c r="I643" s="973" t="n"/>
      <c r="J643" s="973" t="n"/>
      <c r="K643" s="973" t="n"/>
      <c r="L643" s="253" t="n"/>
      <c r="M643" s="254" t="n"/>
      <c r="N643" s="254" t="n"/>
      <c r="O643" s="1183" t="n"/>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73"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75" t="n"/>
      <c r="E645" s="975" t="n"/>
      <c r="F645" s="998" t="n"/>
      <c r="G645" s="998" t="n"/>
      <c r="H645" s="975" t="n"/>
      <c r="I645" s="975" t="n"/>
      <c r="J645" s="975" t="n"/>
      <c r="K645" s="1189">
        <f>K640=L645</f>
        <v/>
      </c>
      <c r="L645" s="491">
        <f>SUM(L640:L644)</f>
        <v/>
      </c>
      <c r="M645" s="1190" t="inlineStr">
        <is>
          <t xml:space="preserve">“Verdadero” indica que la cantidad por lote, coincide con el saldo que inicia al mes siguiente. "Falso" no coinicide. </t>
        </is>
      </c>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413">
        <f>SEPTIEMBRE!K646</f>
        <v/>
      </c>
      <c r="E646" s="339">
        <f>H242</f>
        <v/>
      </c>
      <c r="F646" s="338" t="n"/>
      <c r="G646" s="338" t="n"/>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c r="AA646" s="648" t="n"/>
      <c r="AB646" s="649">
        <f>+Z646+AA646</f>
        <v/>
      </c>
      <c r="AC646" s="648" t="n"/>
      <c r="AD646" s="648" t="n"/>
      <c r="AE646" s="648" t="n"/>
      <c r="AF646" s="648" t="n"/>
      <c r="AG646" s="648" t="n"/>
      <c r="AH646" s="648" t="n"/>
      <c r="AI646" s="648" t="n"/>
      <c r="AJ646" s="648" t="n"/>
      <c r="AK646" s="648" t="n"/>
      <c r="AL646" s="648" t="n"/>
      <c r="AM646" s="421">
        <f>SUM(AB646:AL650)</f>
        <v/>
      </c>
      <c r="AN646" s="726" t="n"/>
      <c r="AU646" s="1240" t="n"/>
      <c r="AV646" s="1240" t="n"/>
    </row>
    <row r="647" ht="17.1" customHeight="1">
      <c r="A647" s="973" t="n"/>
      <c r="B647" s="971" t="n"/>
      <c r="C647" s="972" t="n"/>
      <c r="D647" s="973"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73"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73"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73"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75" t="n"/>
      <c r="E651" s="975" t="n"/>
      <c r="F651" s="998" t="n"/>
      <c r="G651" s="998" t="n"/>
      <c r="H651" s="975" t="n"/>
      <c r="I651" s="975" t="n"/>
      <c r="J651" s="975" t="n"/>
      <c r="K651" s="1189">
        <f>K646=L651</f>
        <v/>
      </c>
      <c r="L651" s="491">
        <f>SUM(L646:L650)</f>
        <v/>
      </c>
      <c r="M651" s="1190" t="inlineStr">
        <is>
          <t xml:space="preserve">“Verdadero” indica que la cantidad por lote, coincide con el saldo que inicia al mes siguiente. "Falso" no coinicide. </t>
        </is>
      </c>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413">
        <f>SEPTIEMBRE!K652</f>
        <v/>
      </c>
      <c r="E652" s="339">
        <f>H248</f>
        <v/>
      </c>
      <c r="F652" s="338" t="n"/>
      <c r="G652" s="338" t="n"/>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c r="AA652" s="648" t="n"/>
      <c r="AB652" s="649">
        <f>+Z652+AA652</f>
        <v/>
      </c>
      <c r="AC652" s="648" t="n"/>
      <c r="AD652" s="648" t="n"/>
      <c r="AE652" s="648" t="n"/>
      <c r="AF652" s="648" t="n"/>
      <c r="AG652" s="648" t="n"/>
      <c r="AH652" s="648" t="n"/>
      <c r="AI652" s="648" t="n"/>
      <c r="AJ652" s="648" t="n"/>
      <c r="AK652" s="648" t="n"/>
      <c r="AL652" s="648" t="n"/>
      <c r="AM652" s="421">
        <f>SUM(AB652:AL656)</f>
        <v/>
      </c>
      <c r="AN652" s="726" t="n"/>
      <c r="AU652" s="1240" t="n"/>
      <c r="AV652" s="1240" t="n"/>
    </row>
    <row r="653" ht="17.1" customHeight="1">
      <c r="A653" s="973" t="n"/>
      <c r="B653" s="971" t="n"/>
      <c r="C653" s="972" t="n"/>
      <c r="D653" s="973"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73"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73"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73"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75" t="n"/>
      <c r="E657" s="975" t="n"/>
      <c r="F657" s="998" t="n"/>
      <c r="G657" s="998" t="n"/>
      <c r="H657" s="975" t="n"/>
      <c r="I657" s="975" t="n"/>
      <c r="J657" s="975" t="n"/>
      <c r="K657" s="1189">
        <f>K652=L657</f>
        <v/>
      </c>
      <c r="L657" s="491">
        <f>SUM(L652:L656)</f>
        <v/>
      </c>
      <c r="M657" s="1190" t="inlineStr">
        <is>
          <t xml:space="preserve">“Verdadero” indica que la cantidad por lote, coincide con el saldo que inicia al mes siguiente. "Falso" no coinicide. </t>
        </is>
      </c>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413">
        <f>SEPTIEMBRE!K658</f>
        <v/>
      </c>
      <c r="E658" s="339">
        <f>H254</f>
        <v/>
      </c>
      <c r="F658" s="338" t="n"/>
      <c r="G658" s="338" t="n"/>
      <c r="H658" s="1235">
        <f>+F658+G658</f>
        <v/>
      </c>
      <c r="I658" s="340">
        <f>+AM658</f>
        <v/>
      </c>
      <c r="J658" s="341">
        <f>+H658+I658</f>
        <v/>
      </c>
      <c r="K658" s="583">
        <f>+(D658+E658)-(J658)</f>
        <v/>
      </c>
      <c r="L658" s="253" t="n"/>
      <c r="M658" s="254" t="n"/>
      <c r="N658" s="254" t="n"/>
      <c r="O658" s="1183" t="n"/>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c r="AA658" s="648" t="n"/>
      <c r="AB658" s="649">
        <f>+Z658+AA658</f>
        <v/>
      </c>
      <c r="AC658" s="648" t="n"/>
      <c r="AD658" s="648" t="n"/>
      <c r="AE658" s="648" t="n"/>
      <c r="AF658" s="648" t="n"/>
      <c r="AG658" s="648" t="n"/>
      <c r="AH658" s="648" t="n"/>
      <c r="AI658" s="648" t="n"/>
      <c r="AJ658" s="648" t="n"/>
      <c r="AK658" s="648" t="n"/>
      <c r="AL658" s="648" t="n"/>
      <c r="AM658" s="421">
        <f>SUM(AB658:AL662)</f>
        <v/>
      </c>
      <c r="AN658" s="726" t="n"/>
      <c r="AU658" s="1240" t="n"/>
      <c r="AV658" s="1240" t="n"/>
    </row>
    <row r="659" ht="17.1" customHeight="1">
      <c r="A659" s="973" t="n"/>
      <c r="B659" s="971" t="n"/>
      <c r="C659" s="972" t="n"/>
      <c r="D659" s="973" t="n"/>
      <c r="E659" s="973" t="n"/>
      <c r="F659" s="994" t="n"/>
      <c r="G659" s="994" t="n"/>
      <c r="H659" s="973" t="n"/>
      <c r="I659" s="973" t="n"/>
      <c r="J659" s="973" t="n"/>
      <c r="K659" s="973" t="n"/>
      <c r="L659" s="253" t="n"/>
      <c r="M659" s="254" t="n"/>
      <c r="N659" s="254" t="n"/>
      <c r="O659" s="1183" t="n"/>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73" t="n"/>
      <c r="E660" s="973" t="n"/>
      <c r="F660" s="994" t="n"/>
      <c r="G660" s="994" t="n"/>
      <c r="H660" s="973" t="n"/>
      <c r="I660" s="973" t="n"/>
      <c r="J660" s="973" t="n"/>
      <c r="K660" s="973" t="n"/>
      <c r="L660" s="253" t="n"/>
      <c r="M660" s="254" t="n"/>
      <c r="N660" s="254" t="n"/>
      <c r="O660" s="1183" t="n"/>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73" t="n"/>
      <c r="E661" s="973" t="n"/>
      <c r="F661" s="994" t="n"/>
      <c r="G661" s="994" t="n"/>
      <c r="H661" s="973" t="n"/>
      <c r="I661" s="973" t="n"/>
      <c r="J661" s="973" t="n"/>
      <c r="K661" s="973" t="n"/>
      <c r="L661" s="253" t="n"/>
      <c r="M661" s="254" t="n"/>
      <c r="N661" s="254" t="n"/>
      <c r="O661" s="1183" t="n"/>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73"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75" t="n"/>
      <c r="E663" s="975" t="n"/>
      <c r="F663" s="998" t="n"/>
      <c r="G663" s="998" t="n"/>
      <c r="H663" s="975" t="n"/>
      <c r="I663" s="975" t="n"/>
      <c r="J663" s="975" t="n"/>
      <c r="K663" s="1189">
        <f>K658=L663</f>
        <v/>
      </c>
      <c r="L663" s="491">
        <f>SUM(L658:L662)</f>
        <v/>
      </c>
      <c r="M663" s="1190" t="inlineStr">
        <is>
          <t xml:space="preserve">“Verdadero” indica que la cantidad por lote, coincide con el saldo que inicia al mes siguiente. "Falso" no coinicide. </t>
        </is>
      </c>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413">
        <f>SEPTIEMBRE!K664</f>
        <v/>
      </c>
      <c r="E664" s="339">
        <f>H260</f>
        <v/>
      </c>
      <c r="F664" s="338" t="n"/>
      <c r="G664" s="338" t="n"/>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c r="AA664" s="648" t="n"/>
      <c r="AB664" s="649">
        <f>+Z664+AA664</f>
        <v/>
      </c>
      <c r="AC664" s="648" t="n"/>
      <c r="AD664" s="648" t="n"/>
      <c r="AE664" s="648" t="n"/>
      <c r="AF664" s="648" t="n"/>
      <c r="AG664" s="648" t="n"/>
      <c r="AH664" s="648" t="n"/>
      <c r="AI664" s="648" t="n"/>
      <c r="AJ664" s="648" t="n"/>
      <c r="AK664" s="648" t="n"/>
      <c r="AL664" s="648" t="n"/>
      <c r="AM664" s="421">
        <f>SUM(AB664:AL668)</f>
        <v/>
      </c>
      <c r="AN664" s="726" t="n"/>
      <c r="AU664" s="1240" t="n"/>
      <c r="AV664" s="1240" t="n"/>
    </row>
    <row r="665" ht="17.1" customHeight="1">
      <c r="A665" s="973" t="n"/>
      <c r="B665" s="971" t="n"/>
      <c r="C665" s="972" t="n"/>
      <c r="D665" s="973"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73"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73"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73"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75" t="n"/>
      <c r="E669" s="975" t="n"/>
      <c r="F669" s="998" t="n"/>
      <c r="G669" s="998" t="n"/>
      <c r="H669" s="975" t="n"/>
      <c r="I669" s="975" t="n"/>
      <c r="J669" s="975" t="n"/>
      <c r="K669" s="1189">
        <f>K664=L669</f>
        <v/>
      </c>
      <c r="L669" s="491">
        <f>SUM(L664:L668)</f>
        <v/>
      </c>
      <c r="M669" s="1190" t="inlineStr">
        <is>
          <t xml:space="preserve">“Verdadero” indica que la cantidad por lote, coincide con el saldo que inicia al mes siguiente. "Falso" no coinicide. </t>
        </is>
      </c>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413">
        <f>SEPTIEMBRE!K670</f>
        <v/>
      </c>
      <c r="E670" s="339">
        <f>H266</f>
        <v/>
      </c>
      <c r="F670" s="338" t="n"/>
      <c r="G670" s="338" t="n"/>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c r="AA670" s="648" t="n"/>
      <c r="AB670" s="649">
        <f>+Z670+AA670</f>
        <v/>
      </c>
      <c r="AC670" s="648" t="n"/>
      <c r="AD670" s="648" t="n"/>
      <c r="AE670" s="648" t="n"/>
      <c r="AF670" s="648" t="n"/>
      <c r="AG670" s="648" t="n"/>
      <c r="AH670" s="648" t="n"/>
      <c r="AI670" s="648" t="n"/>
      <c r="AJ670" s="648" t="n"/>
      <c r="AK670" s="648" t="n"/>
      <c r="AL670" s="648" t="n"/>
      <c r="AM670" s="421">
        <f>SUM(AB670:AL674)</f>
        <v/>
      </c>
      <c r="AN670" s="726" t="n"/>
      <c r="AU670" s="1240" t="n"/>
      <c r="AV670" s="1240" t="n"/>
    </row>
    <row r="671" ht="17.1" customHeight="1">
      <c r="A671" s="973" t="n"/>
      <c r="B671" s="971" t="n"/>
      <c r="C671" s="972" t="n"/>
      <c r="D671" s="973"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73"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73"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73"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75" t="n"/>
      <c r="E675" s="975" t="n"/>
      <c r="F675" s="998" t="n"/>
      <c r="G675" s="998" t="n"/>
      <c r="H675" s="975" t="n"/>
      <c r="I675" s="975" t="n"/>
      <c r="J675" s="975" t="n"/>
      <c r="K675" s="1189">
        <f>K670=L675</f>
        <v/>
      </c>
      <c r="L675" s="491">
        <f>SUM(L670:L674)</f>
        <v/>
      </c>
      <c r="M675" s="1190" t="inlineStr">
        <is>
          <t xml:space="preserve">“Verdadero” indica que la cantidad por lote, coincide con el saldo que inicia al mes siguiente. "Falso" no coinicide. </t>
        </is>
      </c>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413">
        <f>SEPTIEMBRE!K676</f>
        <v/>
      </c>
      <c r="E676" s="339">
        <f>H272</f>
        <v/>
      </c>
      <c r="F676" s="338" t="n"/>
      <c r="G676" s="338" t="n"/>
      <c r="H676" s="1235">
        <f>+F676+G676</f>
        <v/>
      </c>
      <c r="I676" s="340">
        <f>+AM676</f>
        <v/>
      </c>
      <c r="J676" s="341">
        <f>+H676+I676</f>
        <v/>
      </c>
      <c r="K676" s="583">
        <f>+(D676+E676)-(J676)</f>
        <v/>
      </c>
      <c r="L676" s="253" t="n"/>
      <c r="M676" s="254" t="n"/>
      <c r="N676" s="254" t="n"/>
      <c r="O676" s="1183" t="n"/>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c r="AA676" s="648" t="n"/>
      <c r="AB676" s="649">
        <f>+Z676+AA676</f>
        <v/>
      </c>
      <c r="AC676" s="648" t="n"/>
      <c r="AD676" s="648" t="n"/>
      <c r="AE676" s="648" t="n"/>
      <c r="AF676" s="648" t="n"/>
      <c r="AG676" s="648" t="n"/>
      <c r="AH676" s="648" t="n"/>
      <c r="AI676" s="648" t="n"/>
      <c r="AJ676" s="648" t="n"/>
      <c r="AK676" s="648" t="n"/>
      <c r="AL676" s="648" t="n"/>
      <c r="AM676" s="421">
        <f>SUM(AB676:AL680)</f>
        <v/>
      </c>
      <c r="AN676" s="726" t="n"/>
      <c r="AU676" s="1240" t="n"/>
      <c r="AV676" s="1240" t="n"/>
    </row>
    <row r="677" ht="17.1" customHeight="1">
      <c r="A677" s="973" t="n"/>
      <c r="B677" s="971" t="n"/>
      <c r="C677" s="972" t="n"/>
      <c r="D677" s="973" t="n"/>
      <c r="E677" s="973" t="n"/>
      <c r="F677" s="994" t="n"/>
      <c r="G677" s="994" t="n"/>
      <c r="H677" s="973" t="n"/>
      <c r="I677" s="973" t="n"/>
      <c r="J677" s="973" t="n"/>
      <c r="K677" s="973" t="n"/>
      <c r="L677" s="253" t="n"/>
      <c r="M677" s="254" t="n"/>
      <c r="N677" s="254" t="n"/>
      <c r="O677" s="1183" t="n"/>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73" t="n"/>
      <c r="E678" s="973" t="n"/>
      <c r="F678" s="994" t="n"/>
      <c r="G678" s="994" t="n"/>
      <c r="H678" s="973" t="n"/>
      <c r="I678" s="973" t="n"/>
      <c r="J678" s="973" t="n"/>
      <c r="K678" s="973" t="n"/>
      <c r="L678" s="253" t="n"/>
      <c r="M678" s="254" t="n"/>
      <c r="N678" s="254" t="n"/>
      <c r="O678" s="1183" t="n"/>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73" t="n"/>
      <c r="E679" s="973" t="n"/>
      <c r="F679" s="994" t="n"/>
      <c r="G679" s="994" t="n"/>
      <c r="H679" s="973" t="n"/>
      <c r="I679" s="973" t="n"/>
      <c r="J679" s="973" t="n"/>
      <c r="K679" s="973" t="n"/>
      <c r="L679" s="253" t="n"/>
      <c r="M679" s="254" t="n"/>
      <c r="N679" s="254" t="n"/>
      <c r="O679" s="1183" t="n"/>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73" t="n"/>
      <c r="E680" s="973" t="n"/>
      <c r="F680" s="994" t="n"/>
      <c r="G680" s="994" t="n"/>
      <c r="H680" s="973" t="n"/>
      <c r="I680" s="973" t="n"/>
      <c r="J680" s="973" t="n"/>
      <c r="K680" s="975" t="n"/>
      <c r="L680" s="253" t="n"/>
      <c r="M680" s="254" t="n"/>
      <c r="N680" s="254" t="n"/>
      <c r="O680" s="1183" t="n"/>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75" t="n"/>
      <c r="E681" s="975" t="n"/>
      <c r="F681" s="998" t="n"/>
      <c r="G681" s="998" t="n"/>
      <c r="H681" s="975" t="n"/>
      <c r="I681" s="975" t="n"/>
      <c r="J681" s="975" t="n"/>
      <c r="K681" s="1189">
        <f>K676=L681</f>
        <v/>
      </c>
      <c r="L681" s="491">
        <f>SUM(L676:L680)</f>
        <v/>
      </c>
      <c r="M681" s="1190" t="inlineStr">
        <is>
          <t xml:space="preserve">“Verdadero” indica que la cantidad por lote, coincide con el saldo que inicia al mes siguiente. "Falso" no coinicide. </t>
        </is>
      </c>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413">
        <f>SEPTIEMBRE!K682</f>
        <v/>
      </c>
      <c r="E682" s="339">
        <f>H278</f>
        <v/>
      </c>
      <c r="F682" s="338" t="n"/>
      <c r="G682" s="338" t="n"/>
      <c r="H682" s="1235">
        <f>+F682+G682</f>
        <v/>
      </c>
      <c r="I682" s="340">
        <f>+AM682</f>
        <v/>
      </c>
      <c r="J682" s="341">
        <f>+H682+I682</f>
        <v/>
      </c>
      <c r="K682" s="583">
        <f>+(D682+E682)-(J682)</f>
        <v/>
      </c>
      <c r="L682" s="253" t="n"/>
      <c r="M682" s="254" t="n"/>
      <c r="N682" s="254" t="n"/>
      <c r="O682" s="1183" t="n"/>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c r="AA682" s="648" t="n"/>
      <c r="AB682" s="649">
        <f>+Z682+AA682</f>
        <v/>
      </c>
      <c r="AC682" s="648" t="n"/>
      <c r="AD682" s="648" t="n"/>
      <c r="AE682" s="648" t="n"/>
      <c r="AF682" s="648" t="n"/>
      <c r="AG682" s="648" t="n"/>
      <c r="AH682" s="648" t="n"/>
      <c r="AI682" s="648" t="n"/>
      <c r="AJ682" s="648" t="n"/>
      <c r="AK682" s="648" t="n"/>
      <c r="AL682" s="648" t="n"/>
      <c r="AM682" s="421">
        <f>SUM(AB682:AL686)</f>
        <v/>
      </c>
      <c r="AN682" s="726" t="n"/>
      <c r="AU682" s="1240" t="n"/>
      <c r="AV682" s="1240" t="n"/>
    </row>
    <row r="683" ht="17.1" customHeight="1">
      <c r="A683" s="973" t="n"/>
      <c r="B683" s="971" t="n"/>
      <c r="C683" s="972" t="n"/>
      <c r="D683" s="973" t="n"/>
      <c r="E683" s="973" t="n"/>
      <c r="F683" s="994" t="n"/>
      <c r="G683" s="994" t="n"/>
      <c r="H683" s="973" t="n"/>
      <c r="I683" s="973" t="n"/>
      <c r="J683" s="973" t="n"/>
      <c r="K683" s="973" t="n"/>
      <c r="L683" s="253" t="n"/>
      <c r="M683" s="254" t="n"/>
      <c r="N683" s="254" t="n"/>
      <c r="O683" s="1183" t="n"/>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73" t="n"/>
      <c r="E684" s="973" t="n"/>
      <c r="F684" s="994" t="n"/>
      <c r="G684" s="994" t="n"/>
      <c r="H684" s="973" t="n"/>
      <c r="I684" s="973" t="n"/>
      <c r="J684" s="973" t="n"/>
      <c r="K684" s="973" t="n"/>
      <c r="L684" s="253" t="n"/>
      <c r="M684" s="254" t="n"/>
      <c r="N684" s="254" t="n"/>
      <c r="O684" s="1183" t="n"/>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73"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73"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75" t="n"/>
      <c r="E687" s="975" t="n"/>
      <c r="F687" s="998" t="n"/>
      <c r="G687" s="998" t="n"/>
      <c r="H687" s="975" t="n"/>
      <c r="I687" s="975" t="n"/>
      <c r="J687" s="975" t="n"/>
      <c r="K687" s="1189">
        <f>K682=L687</f>
        <v/>
      </c>
      <c r="L687" s="491">
        <f>SUM(L682:L686)</f>
        <v/>
      </c>
      <c r="M687" s="1190" t="inlineStr">
        <is>
          <t xml:space="preserve">“Verdadero” indica que la cantidad por lote, coincide con el saldo que inicia al mes siguiente. "Falso" no coinicide. </t>
        </is>
      </c>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413">
        <f>SEPTIEMBRE!K688</f>
        <v/>
      </c>
      <c r="E688" s="339">
        <f>H284</f>
        <v/>
      </c>
      <c r="F688" s="338" t="n"/>
      <c r="G688" s="338" t="n"/>
      <c r="H688" s="1235">
        <f>+F688+G688</f>
        <v/>
      </c>
      <c r="I688" s="340">
        <f>+AM688</f>
        <v/>
      </c>
      <c r="J688" s="341">
        <f>+H688+I688</f>
        <v/>
      </c>
      <c r="K688" s="583">
        <f>+(D688+E688)-(J688)</f>
        <v/>
      </c>
      <c r="L688" s="253" t="n"/>
      <c r="M688" s="254" t="n"/>
      <c r="N688" s="254" t="n"/>
      <c r="O688" s="1183" t="n"/>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c r="AA688" s="648" t="n"/>
      <c r="AB688" s="649">
        <f>+Z688+AA688</f>
        <v/>
      </c>
      <c r="AC688" s="648" t="n"/>
      <c r="AD688" s="648" t="n"/>
      <c r="AE688" s="648" t="n"/>
      <c r="AF688" s="648" t="n"/>
      <c r="AG688" s="648" t="n"/>
      <c r="AH688" s="648" t="n"/>
      <c r="AI688" s="648" t="n"/>
      <c r="AJ688" s="648" t="n"/>
      <c r="AK688" s="648" t="n"/>
      <c r="AL688" s="648" t="n"/>
      <c r="AM688" s="421">
        <f>SUM(AB688:AL692)</f>
        <v/>
      </c>
      <c r="AN688" s="726" t="n"/>
      <c r="AU688" s="1240" t="n"/>
      <c r="AV688" s="1240" t="n"/>
    </row>
    <row r="689" ht="17.1" customHeight="1">
      <c r="A689" s="973" t="n"/>
      <c r="B689" s="971" t="n"/>
      <c r="C689" s="972" t="n"/>
      <c r="D689" s="973" t="n"/>
      <c r="E689" s="973" t="n"/>
      <c r="F689" s="994" t="n"/>
      <c r="G689" s="994" t="n"/>
      <c r="H689" s="973" t="n"/>
      <c r="I689" s="973" t="n"/>
      <c r="J689" s="973" t="n"/>
      <c r="K689" s="973" t="n"/>
      <c r="L689" s="253" t="n"/>
      <c r="M689" s="254" t="n"/>
      <c r="N689" s="254" t="n"/>
      <c r="O689" s="1183" t="n"/>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73" t="n"/>
      <c r="E690" s="973" t="n"/>
      <c r="F690" s="994" t="n"/>
      <c r="G690" s="994" t="n"/>
      <c r="H690" s="973" t="n"/>
      <c r="I690" s="973" t="n"/>
      <c r="J690" s="973" t="n"/>
      <c r="K690" s="973" t="n"/>
      <c r="L690" s="253" t="n"/>
      <c r="M690" s="254" t="n"/>
      <c r="N690" s="254" t="n"/>
      <c r="O690" s="1183" t="n"/>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73" t="n"/>
      <c r="E691" s="973" t="n"/>
      <c r="F691" s="994" t="n"/>
      <c r="G691" s="994" t="n"/>
      <c r="H691" s="973" t="n"/>
      <c r="I691" s="973" t="n"/>
      <c r="J691" s="973" t="n"/>
      <c r="K691" s="973" t="n"/>
      <c r="L691" s="253" t="n"/>
      <c r="M691" s="254" t="n"/>
      <c r="N691" s="254" t="n"/>
      <c r="O691" s="1183" t="n"/>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73" t="n"/>
      <c r="E692" s="973" t="n"/>
      <c r="F692" s="994" t="n"/>
      <c r="G692" s="994" t="n"/>
      <c r="H692" s="973" t="n"/>
      <c r="I692" s="973" t="n"/>
      <c r="J692" s="973" t="n"/>
      <c r="K692" s="975" t="n"/>
      <c r="L692" s="253" t="n"/>
      <c r="M692" s="254" t="n"/>
      <c r="N692" s="254" t="n"/>
      <c r="O692" s="1183" t="n"/>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75" t="n"/>
      <c r="E693" s="975" t="n"/>
      <c r="F693" s="998" t="n"/>
      <c r="G693" s="998" t="n"/>
      <c r="H693" s="975" t="n"/>
      <c r="I693" s="975" t="n"/>
      <c r="J693" s="975" t="n"/>
      <c r="K693" s="1189">
        <f>K688=L693</f>
        <v/>
      </c>
      <c r="L693" s="491">
        <f>SUM(L688:L692)</f>
        <v/>
      </c>
      <c r="M693" s="1190" t="inlineStr">
        <is>
          <t xml:space="preserve">“Verdadero” indica que la cantidad por lote, coincide con el saldo que inicia al mes siguiente. "Falso" no coinicide. </t>
        </is>
      </c>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413">
        <f>SEPTIEMBRE!K694</f>
        <v/>
      </c>
      <c r="E694" s="339">
        <f>H290</f>
        <v/>
      </c>
      <c r="F694" s="338" t="n"/>
      <c r="G694" s="338" t="n"/>
      <c r="H694" s="1235">
        <f>+F694+G694</f>
        <v/>
      </c>
      <c r="I694" s="340">
        <f>+AM694</f>
        <v/>
      </c>
      <c r="J694" s="341">
        <f>+H694+I694</f>
        <v/>
      </c>
      <c r="K694" s="583">
        <f>+(D694+E694)-(J694)</f>
        <v/>
      </c>
      <c r="L694" s="253" t="n"/>
      <c r="M694" s="254" t="n"/>
      <c r="N694" s="254" t="n"/>
      <c r="O694" s="1183" t="n"/>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c r="AA694" s="648" t="n"/>
      <c r="AB694" s="649">
        <f>+Z694+AA694</f>
        <v/>
      </c>
      <c r="AC694" s="648" t="n"/>
      <c r="AD694" s="648" t="n"/>
      <c r="AE694" s="648" t="n"/>
      <c r="AF694" s="648" t="n"/>
      <c r="AG694" s="648" t="n"/>
      <c r="AH694" s="648" t="n"/>
      <c r="AI694" s="648" t="n"/>
      <c r="AJ694" s="648" t="n"/>
      <c r="AK694" s="648" t="n"/>
      <c r="AL694" s="648" t="n"/>
      <c r="AM694" s="421">
        <f>SUM(AB694:AL698)</f>
        <v/>
      </c>
      <c r="AN694" s="726" t="n"/>
      <c r="AU694" s="1240" t="n"/>
      <c r="AV694" s="1240" t="n"/>
    </row>
    <row r="695" ht="17.1" customHeight="1">
      <c r="A695" s="973" t="n"/>
      <c r="B695" s="971" t="n"/>
      <c r="C695" s="972" t="n"/>
      <c r="D695" s="973" t="n"/>
      <c r="E695" s="973" t="n"/>
      <c r="F695" s="994" t="n"/>
      <c r="G695" s="994" t="n"/>
      <c r="H695" s="973" t="n"/>
      <c r="I695" s="973" t="n"/>
      <c r="J695" s="973" t="n"/>
      <c r="K695" s="973" t="n"/>
      <c r="L695" s="253" t="n"/>
      <c r="M695" s="254" t="n"/>
      <c r="N695" s="254" t="n"/>
      <c r="O695" s="1183" t="n"/>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73" t="n"/>
      <c r="E696" s="973" t="n"/>
      <c r="F696" s="994" t="n"/>
      <c r="G696" s="994" t="n"/>
      <c r="H696" s="973" t="n"/>
      <c r="I696" s="973" t="n"/>
      <c r="J696" s="973" t="n"/>
      <c r="K696" s="973" t="n"/>
      <c r="L696" s="253" t="n"/>
      <c r="M696" s="254" t="n"/>
      <c r="N696" s="254" t="n"/>
      <c r="O696" s="1183" t="n"/>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73" t="n"/>
      <c r="E697" s="973" t="n"/>
      <c r="F697" s="994" t="n"/>
      <c r="G697" s="994" t="n"/>
      <c r="H697" s="973" t="n"/>
      <c r="I697" s="973" t="n"/>
      <c r="J697" s="973" t="n"/>
      <c r="K697" s="973" t="n"/>
      <c r="L697" s="253" t="n"/>
      <c r="M697" s="254" t="n"/>
      <c r="N697" s="254" t="n"/>
      <c r="O697" s="1183" t="n"/>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73" t="n"/>
      <c r="E698" s="973" t="n"/>
      <c r="F698" s="994" t="n"/>
      <c r="G698" s="994" t="n"/>
      <c r="H698" s="973" t="n"/>
      <c r="I698" s="973" t="n"/>
      <c r="J698" s="973" t="n"/>
      <c r="K698" s="975" t="n"/>
      <c r="L698" s="253" t="n"/>
      <c r="M698" s="254" t="n"/>
      <c r="N698" s="254" t="n"/>
      <c r="O698" s="1183" t="n"/>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75" t="n"/>
      <c r="E699" s="975" t="n"/>
      <c r="F699" s="998" t="n"/>
      <c r="G699" s="998" t="n"/>
      <c r="H699" s="975" t="n"/>
      <c r="I699" s="975" t="n"/>
      <c r="J699" s="975" t="n"/>
      <c r="K699" s="1189">
        <f>K694=L699</f>
        <v/>
      </c>
      <c r="L699" s="491">
        <f>SUM(L694:L698)</f>
        <v/>
      </c>
      <c r="M699" s="1190" t="inlineStr">
        <is>
          <t xml:space="preserve">“Verdadero” indica que la cantidad por lote, coincide con el saldo que inicia al mes siguiente. "Falso" no coinicide. </t>
        </is>
      </c>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413">
        <f>SEPTIEMBRE!K700</f>
        <v/>
      </c>
      <c r="E700" s="339">
        <f>H296</f>
        <v/>
      </c>
      <c r="F700" s="338" t="n"/>
      <c r="G700" s="338" t="n"/>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c r="AA700" s="648" t="n"/>
      <c r="AB700" s="649">
        <f>+Z700+AA700</f>
        <v/>
      </c>
      <c r="AC700" s="648" t="n"/>
      <c r="AD700" s="648" t="n"/>
      <c r="AE700" s="648" t="n"/>
      <c r="AF700" s="648" t="n"/>
      <c r="AG700" s="648" t="n"/>
      <c r="AH700" s="648" t="n"/>
      <c r="AI700" s="648" t="n"/>
      <c r="AJ700" s="648" t="n"/>
      <c r="AK700" s="648" t="n"/>
      <c r="AL700" s="648" t="n"/>
      <c r="AM700" s="421">
        <f>SUM(AB700:AL704)</f>
        <v/>
      </c>
      <c r="AN700" s="726" t="n"/>
      <c r="AU700" s="1240" t="n"/>
      <c r="AV700" s="1240" t="n"/>
    </row>
    <row r="701" ht="17.1" customHeight="1">
      <c r="A701" s="973" t="n"/>
      <c r="B701" s="971" t="n"/>
      <c r="C701" s="972" t="n"/>
      <c r="D701" s="973"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73"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73"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73"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75" t="n"/>
      <c r="E705" s="975" t="n"/>
      <c r="F705" s="998" t="n"/>
      <c r="G705" s="998" t="n"/>
      <c r="H705" s="975" t="n"/>
      <c r="I705" s="975" t="n"/>
      <c r="J705" s="975" t="n"/>
      <c r="K705" s="1189">
        <f>K700=L705</f>
        <v/>
      </c>
      <c r="L705" s="491">
        <f>SUM(L700:L704)</f>
        <v/>
      </c>
      <c r="M705" s="1190" t="inlineStr">
        <is>
          <t xml:space="preserve">“Verdadero” indica que la cantidad por lote, coincide con el saldo que inicia al mes siguiente. "Falso" no coinicide. </t>
        </is>
      </c>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647"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413">
        <f>SEPTIEMBRE!K707</f>
        <v/>
      </c>
      <c r="E707" s="339">
        <f>H303</f>
        <v/>
      </c>
      <c r="F707" s="338" t="n"/>
      <c r="G707" s="338" t="n"/>
      <c r="H707" s="1235">
        <f>+F707+G707</f>
        <v/>
      </c>
      <c r="I707" s="340">
        <f>+AM707</f>
        <v/>
      </c>
      <c r="J707" s="341">
        <f>+H707+I707</f>
        <v/>
      </c>
      <c r="K707" s="583">
        <f>+(D707+E707)-(J707)</f>
        <v/>
      </c>
      <c r="L707" s="253" t="n"/>
      <c r="M707" s="254" t="n"/>
      <c r="N707" s="254" t="n"/>
      <c r="O707" s="1183" t="n"/>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c r="AA707" s="648" t="n"/>
      <c r="AB707" s="649">
        <f>+Z707+AA707</f>
        <v/>
      </c>
      <c r="AC707" s="648" t="n"/>
      <c r="AD707" s="648" t="n"/>
      <c r="AE707" s="648" t="n"/>
      <c r="AF707" s="648" t="n"/>
      <c r="AG707" s="648" t="n"/>
      <c r="AH707" s="648" t="n"/>
      <c r="AI707" s="648" t="n"/>
      <c r="AJ707" s="648" t="n"/>
      <c r="AK707" s="648" t="n"/>
      <c r="AL707" s="648" t="n"/>
      <c r="AM707" s="421">
        <f>SUM(AB707:AL712)</f>
        <v/>
      </c>
      <c r="AN707" s="726" t="n"/>
      <c r="AU707" s="1240" t="n"/>
      <c r="AV707" s="1240" t="n"/>
    </row>
    <row r="708" ht="17.1" customHeight="1">
      <c r="A708" s="973" t="n"/>
      <c r="B708" s="971" t="n"/>
      <c r="C708" s="972" t="n"/>
      <c r="D708" s="973" t="n"/>
      <c r="E708" s="973" t="n"/>
      <c r="F708" s="994" t="n"/>
      <c r="G708" s="994" t="n"/>
      <c r="H708" s="973" t="n"/>
      <c r="I708" s="973" t="n"/>
      <c r="J708" s="973" t="n"/>
      <c r="K708" s="973" t="n"/>
      <c r="L708" s="253" t="n"/>
      <c r="M708" s="254" t="n"/>
      <c r="N708" s="254" t="n"/>
      <c r="O708" s="1183" t="n"/>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73" t="n"/>
      <c r="E709" s="973" t="n"/>
      <c r="F709" s="994" t="n"/>
      <c r="G709" s="994" t="n"/>
      <c r="H709" s="973" t="n"/>
      <c r="I709" s="973" t="n"/>
      <c r="J709" s="973" t="n"/>
      <c r="K709" s="973" t="n"/>
      <c r="L709" s="253" t="n"/>
      <c r="M709" s="254" t="n"/>
      <c r="N709" s="254" t="n"/>
      <c r="O709" s="1183" t="n"/>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73"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73" t="n"/>
      <c r="E711" s="973" t="n"/>
      <c r="F711" s="994" t="n"/>
      <c r="G711" s="994" t="n"/>
      <c r="H711" s="973" t="n"/>
      <c r="I711" s="973" t="n"/>
      <c r="J711" s="973" t="n"/>
      <c r="K711" s="973" t="n"/>
      <c r="L711" s="253" t="n"/>
      <c r="M711" s="254" t="n"/>
      <c r="N711" s="254" t="n"/>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73"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75" t="n"/>
      <c r="E713" s="975" t="n"/>
      <c r="F713" s="998" t="n"/>
      <c r="G713" s="998" t="n"/>
      <c r="H713" s="975" t="n"/>
      <c r="I713" s="975" t="n"/>
      <c r="J713" s="975" t="n"/>
      <c r="K713" s="1189">
        <f>K707=L713</f>
        <v/>
      </c>
      <c r="L713" s="491">
        <f>SUM(L707:L712)</f>
        <v/>
      </c>
      <c r="M713" s="1190" t="inlineStr">
        <is>
          <t xml:space="preserve">“Verdadero” indica que la cantidad por lote, coincide con el saldo que inicia al mes siguiente. "Falso" no coinicide. </t>
        </is>
      </c>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413">
        <f>SEPTIEMBRE!K714</f>
        <v/>
      </c>
      <c r="E714" s="339">
        <f>H310</f>
        <v/>
      </c>
      <c r="F714" s="338" t="n"/>
      <c r="G714" s="338" t="n"/>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c r="AA714" s="648" t="n"/>
      <c r="AB714" s="649">
        <f>+Z714+AA714</f>
        <v/>
      </c>
      <c r="AC714" s="648" t="n"/>
      <c r="AD714" s="648" t="n"/>
      <c r="AE714" s="648" t="n"/>
      <c r="AF714" s="648" t="n"/>
      <c r="AG714" s="648" t="n"/>
      <c r="AH714" s="648" t="n"/>
      <c r="AI714" s="648" t="n"/>
      <c r="AJ714" s="648" t="n"/>
      <c r="AK714" s="648" t="n"/>
      <c r="AL714" s="648" t="n"/>
      <c r="AM714" s="421">
        <f>SUM(AB714:AL719)</f>
        <v/>
      </c>
      <c r="AN714" s="726" t="n"/>
      <c r="AU714" s="1240" t="n"/>
      <c r="AV714" s="1240" t="n"/>
    </row>
    <row r="715" ht="17.1" customHeight="1">
      <c r="A715" s="973" t="n"/>
      <c r="B715" s="971" t="n"/>
      <c r="C715" s="972" t="n"/>
      <c r="D715" s="973"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73"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73"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73"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73"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75"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413">
        <f>SEPTIEMBRE!K721</f>
        <v/>
      </c>
      <c r="E721" s="339">
        <f>H317</f>
        <v/>
      </c>
      <c r="F721" s="338" t="n"/>
      <c r="G721" s="338" t="n"/>
      <c r="H721" s="1235">
        <f>+F721+G721</f>
        <v/>
      </c>
      <c r="I721" s="340">
        <f>+AM721</f>
        <v/>
      </c>
      <c r="J721" s="341">
        <f>+H721+I721</f>
        <v/>
      </c>
      <c r="K721" s="583">
        <f>+(D721+E721)-(J721)</f>
        <v/>
      </c>
      <c r="L721" s="253" t="n"/>
      <c r="M721" s="254" t="n"/>
      <c r="N721" s="254" t="n"/>
      <c r="O721" s="1183" t="n"/>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c r="AA721" s="648" t="n"/>
      <c r="AB721" s="649">
        <f>+Z721+AA721</f>
        <v/>
      </c>
      <c r="AC721" s="648" t="n"/>
      <c r="AD721" s="648" t="n"/>
      <c r="AE721" s="648" t="n"/>
      <c r="AF721" s="648" t="n"/>
      <c r="AG721" s="648" t="n"/>
      <c r="AH721" s="648" t="n"/>
      <c r="AI721" s="648" t="n"/>
      <c r="AJ721" s="648" t="n"/>
      <c r="AK721" s="648" t="n"/>
      <c r="AL721" s="648" t="n"/>
      <c r="AM721" s="421">
        <f>SUM(AB721:AL726)</f>
        <v/>
      </c>
      <c r="AN721" s="726" t="n"/>
      <c r="AU721" s="1240" t="n"/>
      <c r="AV721" s="1240" t="n"/>
    </row>
    <row r="722" ht="17.1" customHeight="1">
      <c r="A722" s="973" t="n"/>
      <c r="B722" s="971" t="n"/>
      <c r="C722" s="972" t="n"/>
      <c r="D722" s="973" t="n"/>
      <c r="E722" s="973" t="n"/>
      <c r="F722" s="994" t="n"/>
      <c r="G722" s="994" t="n"/>
      <c r="H722" s="973" t="n"/>
      <c r="I722" s="973" t="n"/>
      <c r="J722" s="973" t="n"/>
      <c r="K722" s="973" t="n"/>
      <c r="L722" s="253" t="n"/>
      <c r="M722" s="254" t="n"/>
      <c r="N722" s="254" t="n"/>
      <c r="O722" s="1183" t="n"/>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73" t="n"/>
      <c r="E723" s="973" t="n"/>
      <c r="F723" s="994" t="n"/>
      <c r="G723" s="994" t="n"/>
      <c r="H723" s="973" t="n"/>
      <c r="I723" s="973" t="n"/>
      <c r="J723" s="973" t="n"/>
      <c r="K723" s="973" t="n"/>
      <c r="L723" s="253" t="n"/>
      <c r="M723" s="254" t="n"/>
      <c r="N723" s="254" t="n"/>
      <c r="O723" s="1183" t="n"/>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73" t="n"/>
      <c r="E724" s="973" t="n"/>
      <c r="F724" s="994" t="n"/>
      <c r="G724" s="994" t="n"/>
      <c r="H724" s="973" t="n"/>
      <c r="I724" s="973" t="n"/>
      <c r="J724" s="973" t="n"/>
      <c r="K724" s="973" t="n"/>
      <c r="L724" s="253" t="n"/>
      <c r="M724" s="254" t="n"/>
      <c r="N724" s="254" t="n"/>
      <c r="O724" s="1183" t="n"/>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73" t="n"/>
      <c r="E725" s="973" t="n"/>
      <c r="F725" s="994" t="n"/>
      <c r="G725" s="994" t="n"/>
      <c r="H725" s="973" t="n"/>
      <c r="I725" s="973" t="n"/>
      <c r="J725" s="973" t="n"/>
      <c r="K725" s="973" t="n"/>
      <c r="L725" s="253" t="n"/>
      <c r="M725" s="254" t="n"/>
      <c r="N725" s="254" t="n"/>
      <c r="O725" s="1183" t="n"/>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73" t="n"/>
      <c r="E726" s="973" t="n"/>
      <c r="F726" s="994" t="n"/>
      <c r="G726" s="994" t="n"/>
      <c r="H726" s="973" t="n"/>
      <c r="I726" s="973" t="n"/>
      <c r="J726" s="973" t="n"/>
      <c r="K726" s="975" t="n"/>
      <c r="L726" s="253" t="n"/>
      <c r="M726" s="254" t="n"/>
      <c r="N726" s="254" t="n"/>
      <c r="O726" s="1183" t="n"/>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75" t="n"/>
      <c r="E727" s="975" t="n"/>
      <c r="F727" s="998" t="n"/>
      <c r="G727" s="998" t="n"/>
      <c r="H727" s="975" t="n"/>
      <c r="I727" s="975" t="n"/>
      <c r="J727" s="975" t="n"/>
      <c r="K727" s="1189">
        <f>K721=L727</f>
        <v/>
      </c>
      <c r="L727" s="491">
        <f>SUM(L721:L726)</f>
        <v/>
      </c>
      <c r="M727" s="1190" t="inlineStr">
        <is>
          <t xml:space="preserve">“Verdadero” indica que la cantidad por lote, coincide con el saldo que inicia al mes siguiente. "Falso" no coinicide. </t>
        </is>
      </c>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413">
        <f>SEPTIEMBRE!K728</f>
        <v/>
      </c>
      <c r="E728" s="339">
        <f>H324</f>
        <v/>
      </c>
      <c r="F728" s="338" t="n"/>
      <c r="G728" s="338" t="n"/>
      <c r="H728" s="1235">
        <f>+F728+G728</f>
        <v/>
      </c>
      <c r="I728" s="340">
        <f>+AM728</f>
        <v/>
      </c>
      <c r="J728" s="341">
        <f>+H728+I728</f>
        <v/>
      </c>
      <c r="K728" s="583">
        <f>+(D728+E728)-(J728)</f>
        <v/>
      </c>
      <c r="L728" s="253" t="n"/>
      <c r="M728" s="254" t="n"/>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c r="AA728" s="648" t="n"/>
      <c r="AB728" s="649">
        <f>+Z728+AA728</f>
        <v/>
      </c>
      <c r="AC728" s="648" t="n"/>
      <c r="AD728" s="648" t="n"/>
      <c r="AE728" s="648" t="n"/>
      <c r="AF728" s="648" t="n"/>
      <c r="AG728" s="648" t="n"/>
      <c r="AH728" s="648" t="n"/>
      <c r="AI728" s="648" t="n"/>
      <c r="AJ728" s="648" t="n"/>
      <c r="AK728" s="648" t="n"/>
      <c r="AL728" s="648" t="n"/>
      <c r="AM728" s="421">
        <f>SUM(AB728:AL733)</f>
        <v/>
      </c>
      <c r="AN728" s="726" t="n"/>
      <c r="AU728" s="1240" t="n"/>
      <c r="AV728" s="1240" t="n"/>
    </row>
    <row r="729" ht="17.1" customHeight="1">
      <c r="A729" s="973" t="n"/>
      <c r="B729" s="971" t="n"/>
      <c r="C729" s="972" t="n"/>
      <c r="D729" s="973" t="n"/>
      <c r="E729" s="973" t="n"/>
      <c r="F729" s="994" t="n"/>
      <c r="G729" s="994" t="n"/>
      <c r="H729" s="973" t="n"/>
      <c r="I729" s="973" t="n"/>
      <c r="J729" s="973" t="n"/>
      <c r="K729" s="973" t="n"/>
      <c r="L729" s="253" t="n"/>
      <c r="M729" s="254" t="n"/>
      <c r="N729" s="254" t="n"/>
      <c r="O729" s="1183" t="n"/>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73"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73"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73"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73"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75" t="n"/>
      <c r="E734" s="975" t="n"/>
      <c r="F734" s="998" t="n"/>
      <c r="G734" s="998" t="n"/>
      <c r="H734" s="975" t="n"/>
      <c r="I734" s="975" t="n"/>
      <c r="J734" s="975" t="n"/>
      <c r="K734" s="1189">
        <f>K728=L734</f>
        <v/>
      </c>
      <c r="L734" s="491">
        <f>SUM(L728:L733)</f>
        <v/>
      </c>
      <c r="M734" s="1190" t="inlineStr">
        <is>
          <t xml:space="preserve">“Verdadero” indica que la cantidad por lote, coincide con el saldo que inicia al mes siguiente. "Falso" no coinicide. </t>
        </is>
      </c>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413">
        <f>SEPTIEMBRE!K735</f>
        <v/>
      </c>
      <c r="E735" s="339">
        <f>H331</f>
        <v/>
      </c>
      <c r="F735" s="338" t="n"/>
      <c r="G735" s="338" t="n"/>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c r="AA735" s="648" t="n"/>
      <c r="AB735" s="649">
        <f>+Z735+AA735</f>
        <v/>
      </c>
      <c r="AC735" s="648" t="n"/>
      <c r="AD735" s="648" t="n"/>
      <c r="AE735" s="648" t="n"/>
      <c r="AF735" s="648" t="n"/>
      <c r="AG735" s="648" t="n"/>
      <c r="AH735" s="648" t="n"/>
      <c r="AI735" s="648" t="n"/>
      <c r="AJ735" s="648" t="n"/>
      <c r="AK735" s="648" t="n"/>
      <c r="AL735" s="648" t="n"/>
      <c r="AM735" s="421">
        <f>SUM(AB735:AL740)</f>
        <v/>
      </c>
      <c r="AN735" s="726" t="n"/>
      <c r="AU735" s="1240" t="n"/>
      <c r="AV735" s="1240" t="n"/>
    </row>
    <row r="736" ht="17.1" customHeight="1">
      <c r="A736" s="973" t="n"/>
      <c r="B736" s="971" t="n"/>
      <c r="C736" s="972" t="n"/>
      <c r="D736" s="973"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73"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73"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73"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73"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75" t="n"/>
      <c r="E741" s="975" t="n"/>
      <c r="F741" s="998" t="n"/>
      <c r="G741" s="998" t="n"/>
      <c r="H741" s="975" t="n"/>
      <c r="I741" s="975" t="n"/>
      <c r="J741" s="975" t="n"/>
      <c r="K741" s="1189">
        <f>K735=L741</f>
        <v/>
      </c>
      <c r="L741" s="491">
        <f>SUM(L735:L740)</f>
        <v/>
      </c>
      <c r="M741" s="1190" t="inlineStr">
        <is>
          <t xml:space="preserve">“Verdadero” indica que la cantidad por lote, coincide con el saldo que inicia al mes siguiente. "Falso" no coinicide. </t>
        </is>
      </c>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413">
        <f>SEPTIEMBRE!K742</f>
        <v/>
      </c>
      <c r="E742" s="339">
        <f>H338</f>
        <v/>
      </c>
      <c r="F742" s="338" t="n"/>
      <c r="G742" s="338" t="n"/>
      <c r="H742" s="1235">
        <f>+F742+G742</f>
        <v/>
      </c>
      <c r="I742" s="340">
        <f>+AM742</f>
        <v/>
      </c>
      <c r="J742" s="341">
        <f>+H742+I742</f>
        <v/>
      </c>
      <c r="K742" s="583">
        <f>+(D742+E742)-(J742)</f>
        <v/>
      </c>
      <c r="L742" s="253" t="n"/>
      <c r="M742" s="254" t="n"/>
      <c r="N742" s="254" t="n"/>
      <c r="O742" s="1183" t="n"/>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c r="AA742" s="648" t="n"/>
      <c r="AB742" s="649">
        <f>+Z742+AA742</f>
        <v/>
      </c>
      <c r="AC742" s="648" t="n"/>
      <c r="AD742" s="648" t="n"/>
      <c r="AE742" s="648" t="n"/>
      <c r="AF742" s="648" t="n"/>
      <c r="AG742" s="648" t="n"/>
      <c r="AH742" s="648" t="n"/>
      <c r="AI742" s="648" t="n"/>
      <c r="AJ742" s="648" t="n"/>
      <c r="AK742" s="648" t="n"/>
      <c r="AL742" s="648" t="n"/>
      <c r="AM742" s="421">
        <f>SUM(AB742:AL747)</f>
        <v/>
      </c>
      <c r="AN742" s="726" t="n"/>
      <c r="AU742" s="1240" t="n"/>
      <c r="AV742" s="1240" t="n"/>
    </row>
    <row r="743" ht="17.1" customHeight="1">
      <c r="A743" s="973" t="n"/>
      <c r="B743" s="971" t="n"/>
      <c r="C743" s="972" t="n"/>
      <c r="D743" s="973" t="n"/>
      <c r="E743" s="973" t="n"/>
      <c r="F743" s="994" t="n"/>
      <c r="G743" s="994" t="n"/>
      <c r="H743" s="973" t="n"/>
      <c r="I743" s="973" t="n"/>
      <c r="J743" s="973" t="n"/>
      <c r="K743" s="973" t="n"/>
      <c r="L743" s="253" t="n"/>
      <c r="M743" s="254" t="n"/>
      <c r="N743" s="254" t="n"/>
      <c r="O743" s="1183" t="n"/>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73" t="n"/>
      <c r="E744" s="973" t="n"/>
      <c r="F744" s="994" t="n"/>
      <c r="G744" s="994" t="n"/>
      <c r="H744" s="973" t="n"/>
      <c r="I744" s="973" t="n"/>
      <c r="J744" s="973" t="n"/>
      <c r="K744" s="973" t="n"/>
      <c r="L744" s="253" t="n"/>
      <c r="M744" s="254" t="n"/>
      <c r="N744" s="254" t="n"/>
      <c r="O744" s="1183" t="n"/>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73" t="n"/>
      <c r="E745" s="973" t="n"/>
      <c r="F745" s="994" t="n"/>
      <c r="G745" s="994" t="n"/>
      <c r="H745" s="973" t="n"/>
      <c r="I745" s="973" t="n"/>
      <c r="J745" s="973" t="n"/>
      <c r="K745" s="973" t="n"/>
      <c r="L745" s="253" t="n"/>
      <c r="M745" s="254" t="n"/>
      <c r="N745" s="254" t="n"/>
      <c r="O745" s="1183" t="n"/>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73" t="n"/>
      <c r="E746" s="973" t="n"/>
      <c r="F746" s="994" t="n"/>
      <c r="G746" s="994" t="n"/>
      <c r="H746" s="973" t="n"/>
      <c r="I746" s="973" t="n"/>
      <c r="J746" s="973" t="n"/>
      <c r="K746" s="973" t="n"/>
      <c r="L746" s="253" t="n"/>
      <c r="M746" s="254" t="n"/>
      <c r="N746" s="254" t="n"/>
      <c r="O746" s="1183" t="n"/>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73" t="n"/>
      <c r="E747" s="973" t="n"/>
      <c r="F747" s="994" t="n"/>
      <c r="G747" s="994" t="n"/>
      <c r="H747" s="973" t="n"/>
      <c r="I747" s="973" t="n"/>
      <c r="J747" s="973" t="n"/>
      <c r="K747" s="975" t="n"/>
      <c r="L747" s="253" t="n"/>
      <c r="M747" s="254" t="n"/>
      <c r="N747" s="254" t="n"/>
      <c r="O747" s="1183" t="n"/>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75" t="n"/>
      <c r="E748" s="975" t="n"/>
      <c r="F748" s="998" t="n"/>
      <c r="G748" s="998" t="n"/>
      <c r="H748" s="975" t="n"/>
      <c r="I748" s="975" t="n"/>
      <c r="J748" s="975" t="n"/>
      <c r="K748" s="1189">
        <f>K742=L748</f>
        <v/>
      </c>
      <c r="L748" s="491">
        <f>SUM(L742:L747)</f>
        <v/>
      </c>
      <c r="M748" s="1190" t="inlineStr">
        <is>
          <t xml:space="preserve">“Verdadero” indica que la cantidad por lote, coincide con el saldo que inicia al mes siguiente. "Falso" no coinicide. </t>
        </is>
      </c>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413">
        <f>SEPTIEMBRE!K749</f>
        <v/>
      </c>
      <c r="E749" s="339">
        <f>H345</f>
        <v/>
      </c>
      <c r="F749" s="338" t="n"/>
      <c r="G749" s="338" t="n"/>
      <c r="H749" s="1235">
        <f>+F749+G749</f>
        <v/>
      </c>
      <c r="I749" s="340">
        <f>+AM749</f>
        <v/>
      </c>
      <c r="J749" s="341">
        <f>+H749+I749</f>
        <v/>
      </c>
      <c r="K749" s="583">
        <f>+(D749+E749)-(J749)</f>
        <v/>
      </c>
      <c r="L749" s="253" t="n"/>
      <c r="M749" s="254" t="n"/>
      <c r="N749" s="254" t="n"/>
      <c r="O749" s="1183" t="n"/>
      <c r="P749" s="256">
        <f>IF(O749=0," ",IFERROR(IF(DATEDIF(TODAY(),O749,"M")&lt;=5,"ROJO",IF(DATEDIF(TODAY(),O749,"M")&gt;=12,"VERDE",IF(AND(DATEDIF(TODAY(),O749,"M")&gt;=6,DATEDIF(TODAY(),O749,"M")&lt;=11),"AMARILLO"))),Q749))</f>
        <v/>
      </c>
      <c r="Q749" s="256">
        <f>IF(O749=0," ",IF(O749&lt;=$L$6,"VENCIDO","NO VENCIDO"))</f>
        <v/>
      </c>
      <c r="R749" s="257" t="n"/>
      <c r="S749" s="258" t="n"/>
      <c r="T749" s="258" t="n"/>
      <c r="U749" s="1184" t="n"/>
      <c r="V749" s="1184" t="n"/>
      <c r="W749" s="1236">
        <f>+AR749</f>
        <v/>
      </c>
      <c r="X749" s="1237" t="n"/>
      <c r="Y749" s="232" t="n"/>
      <c r="Z749" s="648" t="n"/>
      <c r="AA749" s="648" t="n"/>
      <c r="AB749" s="649">
        <f>+Z749+AA749</f>
        <v/>
      </c>
      <c r="AC749" s="648" t="n"/>
      <c r="AD749" s="648" t="n"/>
      <c r="AE749" s="648" t="n"/>
      <c r="AF749" s="648" t="n"/>
      <c r="AG749" s="648" t="n"/>
      <c r="AH749" s="648" t="n"/>
      <c r="AI749" s="648" t="n"/>
      <c r="AJ749" s="648" t="n"/>
      <c r="AK749" s="648" t="n"/>
      <c r="AL749" s="648" t="n"/>
      <c r="AM749" s="421">
        <f>SUM(AB749:AL754)</f>
        <v/>
      </c>
      <c r="AN749" s="726" t="n"/>
      <c r="AU749" s="1240" t="n"/>
      <c r="AV749" s="1240" t="n"/>
    </row>
    <row r="750" ht="17.1" customHeight="1">
      <c r="A750" s="973" t="n"/>
      <c r="B750" s="971" t="n"/>
      <c r="C750" s="972" t="n"/>
      <c r="D750" s="973"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73"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73"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73"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73"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75" t="n"/>
      <c r="E755" s="975" t="n"/>
      <c r="F755" s="998" t="n"/>
      <c r="G755" s="998" t="n"/>
      <c r="H755" s="975" t="n"/>
      <c r="I755" s="975" t="n"/>
      <c r="J755" s="975" t="n"/>
      <c r="K755" s="1189">
        <f>K749=L755</f>
        <v/>
      </c>
      <c r="L755" s="491">
        <f>SUM(L749:L754)</f>
        <v/>
      </c>
      <c r="M755" s="1190" t="inlineStr">
        <is>
          <t xml:space="preserve">“Verdadero” indica que la cantidad por lote, coincide con el saldo que inicia al mes siguiente. "Falso" no coinicide. </t>
        </is>
      </c>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413">
        <f>SEPTIEMBRE!K756</f>
        <v/>
      </c>
      <c r="E756" s="339">
        <f>H352</f>
        <v/>
      </c>
      <c r="F756" s="338" t="n"/>
      <c r="G756" s="338" t="n"/>
      <c r="H756" s="1235">
        <f>+F756+G756</f>
        <v/>
      </c>
      <c r="I756" s="340">
        <f>+AM756</f>
        <v/>
      </c>
      <c r="J756" s="341">
        <f>+H756+I756</f>
        <v/>
      </c>
      <c r="K756" s="583">
        <f>+(D756+E756)-(J756)</f>
        <v/>
      </c>
      <c r="L756" s="253" t="n"/>
      <c r="M756" s="254" t="n"/>
      <c r="N756" s="254" t="n"/>
      <c r="O756" s="1183" t="n"/>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c r="AA756" s="648" t="n"/>
      <c r="AB756" s="649">
        <f>+Z756+AA756</f>
        <v/>
      </c>
      <c r="AC756" s="648" t="n"/>
      <c r="AD756" s="648" t="n"/>
      <c r="AE756" s="648" t="n"/>
      <c r="AF756" s="648" t="n"/>
      <c r="AG756" s="648" t="n"/>
      <c r="AH756" s="648" t="n"/>
      <c r="AI756" s="648" t="n"/>
      <c r="AJ756" s="648" t="n"/>
      <c r="AK756" s="648" t="n"/>
      <c r="AL756" s="648" t="n"/>
      <c r="AM756" s="421">
        <f>SUM(AB756:AL761)</f>
        <v/>
      </c>
      <c r="AN756" s="726" t="n"/>
      <c r="AU756" s="1240" t="n"/>
      <c r="AV756" s="1240" t="n"/>
    </row>
    <row r="757" ht="17.1" customHeight="1">
      <c r="A757" s="973" t="n"/>
      <c r="B757" s="971" t="n"/>
      <c r="C757" s="972" t="n"/>
      <c r="D757" s="973" t="n"/>
      <c r="E757" s="973" t="n"/>
      <c r="F757" s="994" t="n"/>
      <c r="G757" s="994" t="n"/>
      <c r="H757" s="973" t="n"/>
      <c r="I757" s="973" t="n"/>
      <c r="J757" s="973" t="n"/>
      <c r="K757" s="973" t="n"/>
      <c r="L757" s="253" t="n"/>
      <c r="M757" s="254" t="n"/>
      <c r="N757" s="254" t="n"/>
      <c r="O757" s="1183" t="n"/>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73" t="n"/>
      <c r="E758" s="973" t="n"/>
      <c r="F758" s="994" t="n"/>
      <c r="G758" s="994" t="n"/>
      <c r="H758" s="973" t="n"/>
      <c r="I758" s="973" t="n"/>
      <c r="J758" s="973" t="n"/>
      <c r="K758" s="973" t="n"/>
      <c r="L758" s="253" t="n"/>
      <c r="M758" s="254" t="n"/>
      <c r="N758" s="254" t="n"/>
      <c r="O758" s="1183" t="n"/>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73" t="n"/>
      <c r="E759" s="973" t="n"/>
      <c r="F759" s="994" t="n"/>
      <c r="G759" s="994" t="n"/>
      <c r="H759" s="973" t="n"/>
      <c r="I759" s="973" t="n"/>
      <c r="J759" s="973" t="n"/>
      <c r="K759" s="973" t="n"/>
      <c r="L759" s="253" t="n"/>
      <c r="M759" s="254" t="n"/>
      <c r="N759" s="254" t="n"/>
      <c r="O759" s="1183" t="n"/>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73" t="n"/>
      <c r="E760" s="973" t="n"/>
      <c r="F760" s="994" t="n"/>
      <c r="G760" s="994" t="n"/>
      <c r="H760" s="973" t="n"/>
      <c r="I760" s="973" t="n"/>
      <c r="J760" s="973" t="n"/>
      <c r="K760" s="973" t="n"/>
      <c r="L760" s="253" t="n"/>
      <c r="M760" s="254" t="n"/>
      <c r="N760" s="254" t="n"/>
      <c r="O760" s="1183" t="n"/>
      <c r="P760" s="256">
        <f>IF(O760=0," ",IFERROR(IF(DATEDIF(TODAY(),O760,"M")&lt;=5,"ROJO",IF(DATEDIF(TODAY(),O760,"M")&gt;=12,"VERDE",IF(AND(DATEDIF(TODAY(),O760,"M")&gt;=6,DATEDIF(TODAY(),O760,"M")&lt;=11),"AMARILLO"))),Q760))</f>
        <v/>
      </c>
      <c r="Q760" s="256">
        <f>IF(O760=0," ",IF(O760&lt;=$L$6,"VENCIDO","NO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73"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75"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413">
        <f>SEPTIEMBRE!K763</f>
        <v/>
      </c>
      <c r="E763" s="339">
        <f>H359</f>
        <v/>
      </c>
      <c r="F763" s="338" t="n"/>
      <c r="G763" s="338" t="n"/>
      <c r="H763" s="1235">
        <f>+F763+G763</f>
        <v/>
      </c>
      <c r="I763" s="340">
        <f>+AM763</f>
        <v/>
      </c>
      <c r="J763" s="341">
        <f>+H763+I763</f>
        <v/>
      </c>
      <c r="K763" s="583">
        <f>+(D763+E763)-(J763)</f>
        <v/>
      </c>
      <c r="L763" s="253" t="n"/>
      <c r="M763" s="254" t="n"/>
      <c r="N763" s="254" t="n"/>
      <c r="O763" s="1183" t="n"/>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c r="AA763" s="648" t="n"/>
      <c r="AB763" s="649">
        <f>+Z763+AA763</f>
        <v/>
      </c>
      <c r="AC763" s="648" t="n"/>
      <c r="AD763" s="648" t="n"/>
      <c r="AE763" s="648" t="n"/>
      <c r="AF763" s="648" t="n"/>
      <c r="AG763" s="648" t="n"/>
      <c r="AH763" s="648" t="n"/>
      <c r="AI763" s="648" t="n"/>
      <c r="AJ763" s="648" t="n"/>
      <c r="AK763" s="648" t="n"/>
      <c r="AL763" s="648" t="n"/>
      <c r="AM763" s="421">
        <f>SUM(AB763:AL768)</f>
        <v/>
      </c>
      <c r="AN763" s="726" t="n"/>
      <c r="AU763" s="1240" t="n"/>
      <c r="AV763" s="1240" t="n"/>
    </row>
    <row r="764" ht="17.1" customHeight="1">
      <c r="A764" s="973" t="n"/>
      <c r="B764" s="971" t="n"/>
      <c r="C764" s="972" t="n"/>
      <c r="D764" s="973" t="n"/>
      <c r="E764" s="973" t="n"/>
      <c r="F764" s="994" t="n"/>
      <c r="G764" s="994" t="n"/>
      <c r="H764" s="973" t="n"/>
      <c r="I764" s="973" t="n"/>
      <c r="J764" s="973" t="n"/>
      <c r="K764" s="973" t="n"/>
      <c r="L764" s="253" t="n"/>
      <c r="M764" s="254" t="n"/>
      <c r="N764" s="254" t="n"/>
      <c r="O764" s="1183" t="n"/>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73" t="n"/>
      <c r="E765" s="973" t="n"/>
      <c r="F765" s="994" t="n"/>
      <c r="G765" s="994" t="n"/>
      <c r="H765" s="973" t="n"/>
      <c r="I765" s="973" t="n"/>
      <c r="J765" s="973" t="n"/>
      <c r="K765" s="973" t="n"/>
      <c r="L765" s="253" t="n"/>
      <c r="M765" s="254" t="n"/>
      <c r="N765" s="254" t="n"/>
      <c r="O765" s="1183" t="n"/>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73" t="n"/>
      <c r="E766" s="973" t="n"/>
      <c r="F766" s="994" t="n"/>
      <c r="G766" s="994" t="n"/>
      <c r="H766" s="973" t="n"/>
      <c r="I766" s="973" t="n"/>
      <c r="J766" s="973" t="n"/>
      <c r="K766" s="973" t="n"/>
      <c r="L766" s="253" t="n"/>
      <c r="M766" s="254" t="n"/>
      <c r="N766" s="254" t="n"/>
      <c r="O766" s="1183" t="n"/>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73" t="n"/>
      <c r="E767" s="973" t="n"/>
      <c r="F767" s="994" t="n"/>
      <c r="G767" s="994" t="n"/>
      <c r="H767" s="973" t="n"/>
      <c r="I767" s="973" t="n"/>
      <c r="J767" s="973" t="n"/>
      <c r="K767" s="973" t="n"/>
      <c r="L767" s="253" t="n"/>
      <c r="M767" s="254" t="n"/>
      <c r="N767" s="254" t="n"/>
      <c r="O767" s="1183" t="n"/>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73"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75" t="n"/>
      <c r="E769" s="975" t="n"/>
      <c r="F769" s="998" t="n"/>
      <c r="G769" s="998" t="n"/>
      <c r="H769" s="975" t="n"/>
      <c r="I769" s="975" t="n"/>
      <c r="J769" s="975" t="n"/>
      <c r="K769" s="1189">
        <f>K763=L769</f>
        <v/>
      </c>
      <c r="L769" s="491">
        <f>SUM(L763:L768)</f>
        <v/>
      </c>
      <c r="M769" s="1190" t="inlineStr">
        <is>
          <t xml:space="preserve">“Verdadero” indica que la cantidad por lote, coincide con el saldo que inicia al mes siguiente. "Falso" no coinicide. </t>
        </is>
      </c>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413">
        <f>SEPTIEMBRE!K770</f>
        <v/>
      </c>
      <c r="E770" s="339">
        <f>H366</f>
        <v/>
      </c>
      <c r="F770" s="338" t="n"/>
      <c r="G770" s="338" t="n"/>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c r="AA770" s="648" t="n"/>
      <c r="AB770" s="649">
        <f>+Z770+AA770</f>
        <v/>
      </c>
      <c r="AC770" s="648" t="n"/>
      <c r="AD770" s="648" t="n"/>
      <c r="AE770" s="648" t="n"/>
      <c r="AF770" s="648" t="n"/>
      <c r="AG770" s="648" t="n"/>
      <c r="AH770" s="648" t="n"/>
      <c r="AI770" s="648" t="n"/>
      <c r="AJ770" s="648" t="n"/>
      <c r="AK770" s="648" t="n"/>
      <c r="AL770" s="648" t="n"/>
      <c r="AM770" s="421">
        <f>SUM(AB770:AL775)</f>
        <v/>
      </c>
      <c r="AN770" s="726" t="n"/>
      <c r="AU770" s="1240" t="n"/>
      <c r="AV770" s="1240" t="n"/>
    </row>
    <row r="771" ht="17.1" customHeight="1">
      <c r="A771" s="973" t="n"/>
      <c r="B771" s="971" t="n"/>
      <c r="C771" s="972" t="n"/>
      <c r="D771" s="973"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73"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73"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73"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73"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75" t="n"/>
      <c r="E776" s="975" t="n"/>
      <c r="F776" s="998" t="n"/>
      <c r="G776" s="998" t="n"/>
      <c r="H776" s="975" t="n"/>
      <c r="I776" s="975" t="n"/>
      <c r="J776" s="975" t="n"/>
      <c r="K776" s="1189">
        <f>K770=L776</f>
        <v/>
      </c>
      <c r="L776" s="491">
        <f>SUM(L770:L775)</f>
        <v/>
      </c>
      <c r="M776" s="1190" t="inlineStr">
        <is>
          <t xml:space="preserve">“Verdadero” indica que la cantidad por lote, coincide con el saldo que inicia al mes siguiente. "Falso" no coinicide. </t>
        </is>
      </c>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413">
        <f>SEPTIEMBRE!K777</f>
        <v/>
      </c>
      <c r="E777" s="339">
        <f>H373</f>
        <v/>
      </c>
      <c r="F777" s="338" t="n"/>
      <c r="G777" s="338" t="n"/>
      <c r="H777" s="576">
        <f>+F777+G777</f>
        <v/>
      </c>
      <c r="I777" s="340">
        <f>+AM777</f>
        <v/>
      </c>
      <c r="J777" s="341">
        <f>+H777+I777</f>
        <v/>
      </c>
      <c r="K777" s="584">
        <f>+(D777+E777)-(J777)</f>
        <v/>
      </c>
      <c r="L777" s="253" t="n"/>
      <c r="M777" s="254" t="n"/>
      <c r="N777" s="254" t="n"/>
      <c r="O777" s="1183" t="n"/>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c r="AA777" s="648" t="n"/>
      <c r="AB777" s="649">
        <f>+Z777+AA777</f>
        <v/>
      </c>
      <c r="AC777" s="648" t="n"/>
      <c r="AD777" s="648" t="n"/>
      <c r="AE777" s="648" t="n"/>
      <c r="AF777" s="648" t="n"/>
      <c r="AG777" s="648" t="n"/>
      <c r="AH777" s="648" t="n"/>
      <c r="AI777" s="648" t="n"/>
      <c r="AJ777" s="648" t="n"/>
      <c r="AK777" s="648" t="n"/>
      <c r="AL777" s="648" t="n"/>
      <c r="AM777" s="382">
        <f>SUM(AB777:AL777)</f>
        <v/>
      </c>
      <c r="AN777" s="726" t="n"/>
      <c r="AU777" s="1240" t="n"/>
      <c r="AV777" s="1240" t="n"/>
    </row>
    <row r="778" ht="30" customHeight="1">
      <c r="A778" s="585">
        <f>A777+1</f>
        <v/>
      </c>
      <c r="B778" s="629" t="inlineStr">
        <is>
          <t>Carnet de vacunación adultos</t>
        </is>
      </c>
      <c r="C778" s="967" t="n"/>
      <c r="D778" s="413">
        <f>SEPTIEMBRE!K778</f>
        <v/>
      </c>
      <c r="E778" s="339">
        <f>H374</f>
        <v/>
      </c>
      <c r="F778" s="338" t="n"/>
      <c r="G778" s="338" t="n"/>
      <c r="H778" s="576">
        <f>+F778+G778</f>
        <v/>
      </c>
      <c r="I778" s="340">
        <f>+AM778</f>
        <v/>
      </c>
      <c r="J778" s="341">
        <f>+H778+I778</f>
        <v/>
      </c>
      <c r="K778" s="584">
        <f>+(D778+E778)-(J778)</f>
        <v/>
      </c>
      <c r="L778" s="253" t="n"/>
      <c r="M778" s="254" t="n"/>
      <c r="N778" s="254" t="n"/>
      <c r="O778" s="1183" t="n"/>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c r="AA778" s="648" t="n"/>
      <c r="AB778" s="649">
        <f>+Z778+AA778</f>
        <v/>
      </c>
      <c r="AC778" s="648" t="n"/>
      <c r="AD778" s="648" t="n"/>
      <c r="AE778" s="648" t="n"/>
      <c r="AF778" s="648" t="n"/>
      <c r="AG778" s="648" t="n"/>
      <c r="AH778" s="648" t="n"/>
      <c r="AI778" s="648" t="n"/>
      <c r="AJ778" s="648" t="n"/>
      <c r="AK778" s="648" t="n"/>
      <c r="AL778" s="648" t="n"/>
      <c r="AM778" s="382">
        <f>SUM(AB778:AL778)</f>
        <v/>
      </c>
      <c r="AN778" s="726" t="n"/>
      <c r="AU778" s="1240" t="n"/>
      <c r="AV778" s="1240" t="n"/>
    </row>
    <row r="779" ht="30" customHeight="1">
      <c r="A779" s="585">
        <f>A778+1</f>
        <v/>
      </c>
      <c r="B779" s="629" t="inlineStr">
        <is>
          <t>Carnet/Certificado de vacunación (Covid-19)</t>
        </is>
      </c>
      <c r="C779" s="967" t="n"/>
      <c r="D779" s="413">
        <f>SEPTIEMBRE!K779</f>
        <v/>
      </c>
      <c r="E779" s="339">
        <f>H375</f>
        <v/>
      </c>
      <c r="F779" s="338" t="n"/>
      <c r="G779" s="338" t="n"/>
      <c r="H779" s="576">
        <f>+F779+G779</f>
        <v/>
      </c>
      <c r="I779" s="340">
        <f>+AM779</f>
        <v/>
      </c>
      <c r="J779" s="341">
        <f>+H779+I779</f>
        <v/>
      </c>
      <c r="K779" s="584">
        <f>+(D779+E779)-(J779)</f>
        <v/>
      </c>
      <c r="L779" s="253" t="n"/>
      <c r="M779" s="254" t="n"/>
      <c r="N779" s="254" t="n"/>
      <c r="O779" s="1183" t="n"/>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c r="AA779" s="648" t="n"/>
      <c r="AB779" s="649">
        <f>+Z779+AA779</f>
        <v/>
      </c>
      <c r="AC779" s="648" t="n"/>
      <c r="AD779" s="648" t="n"/>
      <c r="AE779" s="648" t="n"/>
      <c r="AF779" s="648" t="n"/>
      <c r="AG779" s="648" t="n"/>
      <c r="AH779" s="648" t="n"/>
      <c r="AI779" s="648" t="n"/>
      <c r="AJ779" s="648" t="n"/>
      <c r="AK779" s="648" t="n"/>
      <c r="AL779" s="648" t="n"/>
      <c r="AM779" s="382">
        <f>SUM(AB779:AL779)</f>
        <v/>
      </c>
      <c r="AN779" s="726" t="n"/>
      <c r="AU779" s="1240" t="n"/>
      <c r="AV779" s="1240" t="n"/>
    </row>
    <row r="780" ht="30" customHeight="1">
      <c r="A780" s="585">
        <f>A779+1</f>
        <v/>
      </c>
      <c r="B780" s="629" t="inlineStr">
        <is>
          <t>Carne/certificado internacional de vacunación</t>
        </is>
      </c>
      <c r="C780" s="967" t="n"/>
      <c r="D780" s="413">
        <f>SEPTIEMBRE!K780</f>
        <v/>
      </c>
      <c r="E780" s="339">
        <f>H376</f>
        <v/>
      </c>
      <c r="F780" s="338" t="n"/>
      <c r="G780" s="338" t="n"/>
      <c r="H780" s="576">
        <f>+F780+G780</f>
        <v/>
      </c>
      <c r="I780" s="340">
        <f>+AM780</f>
        <v/>
      </c>
      <c r="J780" s="341">
        <f>+H780+I780</f>
        <v/>
      </c>
      <c r="K780" s="584">
        <f>+(D780+E780)-(J780)</f>
        <v/>
      </c>
      <c r="L780" s="253" t="n"/>
      <c r="M780" s="254" t="n"/>
      <c r="N780" s="254" t="n"/>
      <c r="O780" s="1183" t="n"/>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c r="AA780" s="648" t="n"/>
      <c r="AB780" s="649">
        <f>+Z780+AA780</f>
        <v/>
      </c>
      <c r="AC780" s="648" t="n"/>
      <c r="AD780" s="648" t="n"/>
      <c r="AE780" s="648" t="n"/>
      <c r="AF780" s="648" t="n"/>
      <c r="AG780" s="648" t="n"/>
      <c r="AH780" s="648" t="n"/>
      <c r="AI780" s="648" t="n"/>
      <c r="AJ780" s="648" t="n"/>
      <c r="AK780" s="648" t="n"/>
      <c r="AL780" s="648" t="n"/>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413">
        <f>SEPTIEMBRE!K781</f>
        <v/>
      </c>
      <c r="E781" s="339">
        <f>H377</f>
        <v/>
      </c>
      <c r="F781" s="338" t="n"/>
      <c r="G781" s="338" t="n"/>
      <c r="H781" s="576">
        <f>+F781+G781</f>
        <v/>
      </c>
      <c r="I781" s="340">
        <f>+AM781</f>
        <v/>
      </c>
      <c r="J781" s="341">
        <f>+H781+I781</f>
        <v/>
      </c>
      <c r="K781" s="584">
        <f>+(D781+E781)-(J781)</f>
        <v/>
      </c>
      <c r="L781" s="253" t="n"/>
      <c r="M781" s="254" t="n"/>
      <c r="N781" s="254" t="n"/>
      <c r="O781" s="1183" t="n"/>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c r="AA781" s="648" t="n"/>
      <c r="AB781" s="649">
        <f>+Z781+AA781</f>
        <v/>
      </c>
      <c r="AC781" s="648" t="n"/>
      <c r="AD781" s="648" t="n"/>
      <c r="AE781" s="648" t="n"/>
      <c r="AF781" s="648" t="n"/>
      <c r="AG781" s="648" t="n"/>
      <c r="AH781" s="648" t="n"/>
      <c r="AI781" s="648" t="n"/>
      <c r="AJ781" s="648" t="n"/>
      <c r="AK781" s="648" t="n"/>
      <c r="AL781" s="648" t="n"/>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413">
        <f>SEPTIEMBRE!K782</f>
        <v/>
      </c>
      <c r="E782" s="339">
        <f>H378</f>
        <v/>
      </c>
      <c r="F782" s="338" t="n"/>
      <c r="G782" s="338" t="n"/>
      <c r="H782" s="576">
        <f>+F782+G782</f>
        <v/>
      </c>
      <c r="I782" s="340">
        <f>+AM782</f>
        <v/>
      </c>
      <c r="J782" s="341">
        <f>+H782+I782</f>
        <v/>
      </c>
      <c r="K782" s="584">
        <f>+(D782+E782)-(J782)</f>
        <v/>
      </c>
      <c r="L782" s="253" t="n"/>
      <c r="M782" s="254" t="n"/>
      <c r="N782" s="254" t="n"/>
      <c r="O782" s="1183" t="n"/>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c r="AA782" s="648" t="n"/>
      <c r="AB782" s="649">
        <f>+Z782+AA782</f>
        <v/>
      </c>
      <c r="AC782" s="648" t="n"/>
      <c r="AD782" s="648" t="n"/>
      <c r="AE782" s="648" t="n"/>
      <c r="AF782" s="648" t="n"/>
      <c r="AG782" s="648" t="n"/>
      <c r="AH782" s="648" t="n"/>
      <c r="AI782" s="648" t="n"/>
      <c r="AJ782" s="648" t="n"/>
      <c r="AK782" s="648" t="n"/>
      <c r="AL782" s="648" t="n"/>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413">
        <f>SEPTIEMBRE!K783</f>
        <v/>
      </c>
      <c r="E783" s="339">
        <f>H379</f>
        <v/>
      </c>
      <c r="F783" s="338" t="n"/>
      <c r="G783" s="338" t="n"/>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c r="AA783" s="648" t="n"/>
      <c r="AB783" s="649">
        <f>+Z783+AA783</f>
        <v/>
      </c>
      <c r="AC783" s="648" t="n"/>
      <c r="AD783" s="648" t="n"/>
      <c r="AE783" s="648" t="n"/>
      <c r="AF783" s="648" t="n"/>
      <c r="AG783" s="648" t="n"/>
      <c r="AH783" s="648" t="n"/>
      <c r="AI783" s="648" t="n"/>
      <c r="AJ783" s="648" t="n"/>
      <c r="AK783" s="648" t="n"/>
      <c r="AL783" s="648" t="n"/>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569" t="inlineStr">
        <is>
          <t>ÍTEM</t>
        </is>
      </c>
      <c r="B785" s="569" t="inlineStr">
        <is>
          <t>VACUNA COVID-19</t>
        </is>
      </c>
      <c r="C785" s="965" t="n"/>
      <c r="D785" s="1231" t="inlineStr">
        <is>
          <t>SALDO MES ANTERIOR</t>
        </is>
      </c>
      <c r="E785" s="961" t="inlineStr">
        <is>
          <t>BIOLÓGICO RECIBIDO DEL CENTRO DE ACOPIO DEPARTAMENTAL / DISTRITAL</t>
        </is>
      </c>
      <c r="F785" s="1231" t="inlineStr">
        <is>
          <t>DOSIS APLICADAS</t>
        </is>
      </c>
      <c r="G785" s="967" t="n"/>
      <c r="H785" s="1232" t="inlineStr">
        <is>
          <t>TOTAL DOSIS APLICADAS</t>
        </is>
      </c>
      <c r="I785" s="961" t="inlineStr">
        <is>
          <t>DOSIS PERDIDAS</t>
        </is>
      </c>
      <c r="J785" s="1231" t="inlineStr">
        <is>
          <t>TOTAL DOSIS ÚTILIZADAS EN EL MES</t>
        </is>
      </c>
      <c r="K785" s="623" t="inlineStr">
        <is>
          <t>SALDO QUE INICIA EL MES SIGUIENTE (SOLO MUNICIPIOS)</t>
        </is>
      </c>
      <c r="L785" s="623" t="inlineStr">
        <is>
          <t>DOSIS POR LOTES</t>
        </is>
      </c>
      <c r="M785" s="623" t="inlineStr">
        <is>
          <t xml:space="preserve">No. LOTE </t>
        </is>
      </c>
      <c r="N785" s="623" t="inlineStr">
        <is>
          <t>LABORATORIO</t>
        </is>
      </c>
      <c r="O785" s="623" t="inlineStr">
        <is>
          <t>FECHA DE VENCIMIENTO</t>
        </is>
      </c>
      <c r="P785" s="623" t="inlineStr">
        <is>
          <t>SEMAFORIZACION VIDA  ÚTIL DEL BIOLÓGICO</t>
        </is>
      </c>
      <c r="Q785" s="623" t="inlineStr">
        <is>
          <t>CONDICIÓN FINAL DEL BIOLÓGICO, DILUYENTE Y CARNET</t>
        </is>
      </c>
      <c r="R785" s="613" t="inlineStr">
        <is>
          <t>DOSIS EN CUARENTENA</t>
        </is>
      </c>
      <c r="S785" s="613" t="inlineStr">
        <is>
          <t>LABORATORIO</t>
        </is>
      </c>
      <c r="T785" s="613" t="inlineStr">
        <is>
          <t>No. LOTE</t>
        </is>
      </c>
      <c r="U785" s="613" t="inlineStr">
        <is>
          <t>FECHA DE VENCIMEINTO</t>
        </is>
      </c>
      <c r="V785" s="613" t="inlineStr">
        <is>
          <t>FECHA DE INICIO CUARENTENA</t>
        </is>
      </c>
      <c r="W785" s="613" t="inlineStr">
        <is>
          <t>OBSERVACIONES</t>
        </is>
      </c>
      <c r="X785" s="351" t="n"/>
      <c r="Y785" s="232" t="n"/>
      <c r="Z785" s="1221" t="inlineStr">
        <is>
          <t>MOTIVOS DE NO USO DE VACUNAS CONTRA LA COVID-19
RESOLUCIÓN 0118 DEL 27 DE ENERO DE 2026
DISPONIBLE EN EL SIGUIENTE LINK: https://www.minsalud.gov.co/Normatividad_Nuevo/Resolucion%20No%20118%20de%202026.pdf</t>
        </is>
      </c>
      <c r="AA785" s="968" t="n"/>
      <c r="AB785" s="968" t="n"/>
      <c r="AC785" s="968" t="n"/>
      <c r="AD785" s="968" t="n"/>
      <c r="AE785" s="968" t="n"/>
      <c r="AF785" s="968" t="n"/>
      <c r="AG785" s="968" t="n"/>
      <c r="AH785" s="968" t="n"/>
      <c r="AI785" s="968" t="n"/>
      <c r="AJ785" s="968" t="n"/>
      <c r="AK785" s="968" t="n"/>
      <c r="AL785" s="967" t="n"/>
      <c r="AM785" s="532" t="inlineStr">
        <is>
          <t xml:space="preserve">TOTAL DOSIS PERDIDAS        </t>
        </is>
      </c>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inlineStr">
        <is>
          <t>POLÍTICA DE FRASCOS ABIERTO</t>
        </is>
      </c>
      <c r="AA787" s="967" t="n"/>
      <c r="AB787" s="1222" t="inlineStr">
        <is>
          <t>INTERRUPCIÓN DE LA CADENA DE FRÍO</t>
        </is>
      </c>
      <c r="AC787" s="537" t="inlineStr">
        <is>
          <t>CONTAMINACIÓN DEL BIOLÓGICO</t>
        </is>
      </c>
      <c r="AD787" s="1222" t="inlineStr">
        <is>
          <t>ERROR EN LA MANIPULACIÓN</t>
        </is>
      </c>
      <c r="AE787" s="537" t="inlineStr">
        <is>
          <t>ERROR EN LA RECONSTITUCIÓN/DILUCIÓN</t>
        </is>
      </c>
      <c r="AF787" s="1222" t="inlineStr">
        <is>
          <t>ERROR EN LA DOSIFICACIÓN</t>
        </is>
      </c>
      <c r="AG787" s="537" t="inlineStr">
        <is>
          <t>VACUNA QUE EXCEDE EL TIEMPO DE ALMACENAMIENTO EN REFRIGERACIÓN</t>
        </is>
      </c>
      <c r="AH787" s="1222" t="inlineStr">
        <is>
          <t>VENCIMIENTO DEL BIOLÓGICO</t>
        </is>
      </c>
      <c r="AI787" s="537" t="inlineStr">
        <is>
          <t>FRASCO VIAL ROTO</t>
        </is>
      </c>
      <c r="AJ787" s="1222" t="inlineStr">
        <is>
          <t>FALLAS DE FABRICACIÓN/CALIDAD</t>
        </is>
      </c>
      <c r="AK787" s="537" t="inlineStr">
        <is>
          <t>SINIESTRO / ACCIDENTE</t>
        </is>
      </c>
      <c r="AL787" s="1222" t="inlineStr">
        <is>
          <t>ROBO/HURTO BIOLÓGICO</t>
        </is>
      </c>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inlineStr">
        <is>
          <t>INSTITUCIONAL</t>
        </is>
      </c>
      <c r="AA788" s="497" t="inlineStr">
        <is>
          <t>EXTRAMURAL</t>
        </is>
      </c>
      <c r="AB788" s="975" t="n"/>
      <c r="AC788" s="975" t="n"/>
      <c r="AD788" s="975" t="n"/>
      <c r="AE788" s="975" t="n"/>
      <c r="AF788" s="975" t="n"/>
      <c r="AG788" s="975" t="n"/>
      <c r="AH788" s="975" t="n"/>
      <c r="AI788" s="975" t="n"/>
      <c r="AJ788" s="975" t="n"/>
      <c r="AK788" s="975" t="n"/>
      <c r="AL788" s="975" t="n"/>
      <c r="AM788" s="975" t="n"/>
      <c r="AN788" s="368" t="n"/>
      <c r="AO788" s="368" t="n"/>
      <c r="AP788" s="416" t="n"/>
      <c r="AQ788" s="546" t="inlineStr">
        <is>
          <t>PORCENTAJE DE PERDIDA DEL MES
%</t>
        </is>
      </c>
      <c r="AR788" s="546" t="inlineStr">
        <is>
          <t>FACTOR DE PERDIDA DEL MES</t>
        </is>
      </c>
      <c r="AS788" s="420" t="inlineStr">
        <is>
          <t>% DE PERDIDA DEL MSPS</t>
        </is>
      </c>
      <c r="AT788" s="420" t="inlineStr">
        <is>
          <t>DOSIS POR VIAL</t>
        </is>
      </c>
      <c r="AV788" s="1240" t="n"/>
      <c r="AW788" s="1240" t="n"/>
    </row>
    <row r="789" ht="19.5" customHeight="1">
      <c r="A789" s="585" t="n">
        <v>1</v>
      </c>
      <c r="B789" s="1249" t="inlineStr">
        <is>
          <t>MODERNA ADULTO</t>
        </is>
      </c>
      <c r="C789" s="965" t="n"/>
      <c r="D789" s="496">
        <f>SEPTIEMBRE!K789</f>
        <v/>
      </c>
      <c r="E789" s="339">
        <f>H385</f>
        <v/>
      </c>
      <c r="F789" s="731" t="n"/>
      <c r="G789" s="731" t="n"/>
      <c r="H789" s="1235">
        <f>SUM(F789,G789)</f>
        <v/>
      </c>
      <c r="I789" s="340">
        <f>+AM789</f>
        <v/>
      </c>
      <c r="J789" s="341">
        <f>+H789+I789</f>
        <v/>
      </c>
      <c r="K789" s="583">
        <f>+(D789+E789)-(J789)</f>
        <v/>
      </c>
      <c r="L789" s="486" t="n"/>
      <c r="M789" s="487" t="n"/>
      <c r="N789" s="487" t="n"/>
      <c r="O789" s="1223" t="n"/>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c r="AA789" s="648" t="n"/>
      <c r="AB789" s="648" t="n"/>
      <c r="AC789" s="648" t="n"/>
      <c r="AD789" s="648" t="n"/>
      <c r="AE789" s="648" t="n"/>
      <c r="AF789" s="648" t="n"/>
      <c r="AG789" s="648" t="n"/>
      <c r="AH789" s="648" t="n"/>
      <c r="AI789" s="648" t="n"/>
      <c r="AJ789" s="648" t="n"/>
      <c r="AK789" s="648" t="n"/>
      <c r="AL789" s="648" t="n"/>
      <c r="AM789" s="573">
        <f>SUM(Z789:AL792)</f>
        <v/>
      </c>
      <c r="AN789" s="693" t="n"/>
      <c r="AO789" s="485" t="n"/>
      <c r="AP789" s="416" t="n"/>
      <c r="AQ789" s="1238">
        <f>IFERROR(I789/J789*100,"0")</f>
        <v/>
      </c>
      <c r="AR789" s="1238">
        <f>IFERROR(1/(1-(AQ789/100)),"0")</f>
        <v/>
      </c>
      <c r="AS789" s="1238" t="n">
        <v>0</v>
      </c>
      <c r="AT789" s="345" t="n">
        <v>5</v>
      </c>
      <c r="AU789" s="1240" t="n"/>
      <c r="AV789" s="1240" t="n"/>
    </row>
    <row r="790" ht="19.5" customHeight="1">
      <c r="A790" s="973" t="n"/>
      <c r="B790" s="971" t="n"/>
      <c r="C790" s="972" t="n"/>
      <c r="D790" s="973"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73"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73"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75" t="n"/>
      <c r="E793" s="975" t="n"/>
      <c r="F793" s="998" t="n"/>
      <c r="G793" s="998" t="n"/>
      <c r="H793" s="975" t="n"/>
      <c r="I793" s="975" t="n"/>
      <c r="J793" s="975" t="n"/>
      <c r="K793" s="1189">
        <f>K789=L793</f>
        <v/>
      </c>
      <c r="L793" s="491">
        <f>SUM(L789:L792)</f>
        <v/>
      </c>
      <c r="M793" s="1190" t="inlineStr">
        <is>
          <t xml:space="preserve">“Verdadero” indica que la cantidad por lote, coincide con el saldo que inicia al mes siguiente. "Falso" no coinicide. </t>
        </is>
      </c>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496">
        <f>SEPTIEMBRE!K794</f>
        <v/>
      </c>
      <c r="E794" s="339">
        <f>H390</f>
        <v/>
      </c>
      <c r="F794" s="731" t="n"/>
      <c r="G794" s="731" t="n"/>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c r="AA794" s="648" t="n"/>
      <c r="AB794" s="648" t="n"/>
      <c r="AC794" s="648" t="n"/>
      <c r="AD794" s="648" t="n"/>
      <c r="AE794" s="648" t="n"/>
      <c r="AF794" s="648" t="n"/>
      <c r="AG794" s="648" t="n"/>
      <c r="AH794" s="648" t="n"/>
      <c r="AI794" s="648" t="n"/>
      <c r="AJ794" s="648" t="n"/>
      <c r="AK794" s="648" t="n"/>
      <c r="AL794" s="648" t="n"/>
      <c r="AM794" s="573">
        <f>SUM(Z794:AL797)</f>
        <v/>
      </c>
      <c r="AN794" s="693" t="n"/>
      <c r="AO794" s="485" t="n"/>
      <c r="AP794" s="416" t="n"/>
      <c r="AQ794" s="1238">
        <f>IFERROR(I794/J794*100,"0")</f>
        <v/>
      </c>
      <c r="AR794" s="1238">
        <f>IFERROR(1/(1-(AQ794/100)),"0")</f>
        <v/>
      </c>
      <c r="AS794" s="1238" t="n">
        <v>0</v>
      </c>
      <c r="AT794" s="345" t="n">
        <v>10</v>
      </c>
      <c r="AU794" s="1240" t="n"/>
      <c r="AV794" s="1240" t="n"/>
    </row>
    <row r="795" ht="19.5" customHeight="1">
      <c r="A795" s="973" t="n"/>
      <c r="B795" s="971" t="n"/>
      <c r="C795" s="972" t="n"/>
      <c r="D795" s="973"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73"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73"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75" t="n"/>
      <c r="E798" s="975" t="n"/>
      <c r="F798" s="998" t="n"/>
      <c r="G798" s="998" t="n"/>
      <c r="H798" s="975" t="n"/>
      <c r="I798" s="975" t="n"/>
      <c r="J798" s="975" t="n"/>
      <c r="K798" s="1189">
        <f>K794=L798</f>
        <v/>
      </c>
      <c r="L798" s="491">
        <f>SUM(L794:L797)</f>
        <v/>
      </c>
      <c r="M798" s="1190" t="inlineStr">
        <is>
          <t xml:space="preserve">“Verdadero” indica que la cantidad por lote, coincide con el saldo que inicia al mes siguiente. "Falso" no coinicide. </t>
        </is>
      </c>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496">
        <f>SEPTIEMBRE!K799</f>
        <v/>
      </c>
      <c r="E799" s="339">
        <f>H395</f>
        <v/>
      </c>
      <c r="F799" s="731" t="n"/>
      <c r="G799" s="731" t="n"/>
      <c r="H799" s="1235">
        <f>SUM(F799,G799)</f>
        <v/>
      </c>
      <c r="I799" s="340">
        <f>+AM799</f>
        <v/>
      </c>
      <c r="J799" s="341">
        <f>+H799+I799</f>
        <v/>
      </c>
      <c r="K799" s="583">
        <f>+(D799+E799)-(J799)</f>
        <v/>
      </c>
      <c r="L799" s="486" t="n"/>
      <c r="M799" s="487" t="n"/>
      <c r="N799" s="487" t="n"/>
      <c r="O799" s="1223" t="n"/>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c r="AA799" s="648" t="n"/>
      <c r="AB799" s="648" t="n"/>
      <c r="AC799" s="648" t="n"/>
      <c r="AD799" s="648" t="n"/>
      <c r="AE799" s="648" t="n"/>
      <c r="AF799" s="648" t="n"/>
      <c r="AG799" s="648" t="n"/>
      <c r="AH799" s="648" t="n"/>
      <c r="AI799" s="648" t="n"/>
      <c r="AJ799" s="648" t="n"/>
      <c r="AK799" s="648" t="n"/>
      <c r="AL799" s="648" t="n"/>
      <c r="AM799" s="573">
        <f>SUM(Z799:AL802)</f>
        <v/>
      </c>
      <c r="AN799" s="693" t="n"/>
      <c r="AO799" s="485" t="n"/>
      <c r="AP799" s="416" t="n"/>
      <c r="AQ799" s="1238">
        <f>IFERROR(I799/J799*100,"0")</f>
        <v/>
      </c>
      <c r="AR799" s="1238">
        <f>IFERROR(1/(1-(AQ799/100)),"0")</f>
        <v/>
      </c>
      <c r="AS799" s="1238" t="n">
        <v>0</v>
      </c>
      <c r="AT799" s="345" t="n">
        <v>6</v>
      </c>
      <c r="AU799" s="1240" t="n"/>
      <c r="AV799" s="1240" t="n"/>
    </row>
    <row r="800" ht="19.5" customHeight="1">
      <c r="A800" s="973" t="n"/>
      <c r="B800" s="971" t="n"/>
      <c r="C800" s="972" t="n"/>
      <c r="D800" s="973"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73"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73"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75" t="n"/>
      <c r="E803" s="975" t="n"/>
      <c r="F803" s="998" t="n"/>
      <c r="G803" s="998" t="n"/>
      <c r="H803" s="975" t="n"/>
      <c r="I803" s="975" t="n"/>
      <c r="J803" s="975" t="n"/>
      <c r="K803" s="1189">
        <f>K799=L803</f>
        <v/>
      </c>
      <c r="L803" s="491">
        <f>SUM(L799:L802)</f>
        <v/>
      </c>
      <c r="M803" s="1190" t="inlineStr">
        <is>
          <t xml:space="preserve">“Verdadero” indica que la cantidad por lote, coincide con el saldo que inicia al mes siguiente. "Falso" no coinicide. </t>
        </is>
      </c>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496">
        <f>SEPTIEMBRE!K804</f>
        <v/>
      </c>
      <c r="E804" s="339">
        <f>H400</f>
        <v/>
      </c>
      <c r="F804" s="731" t="n"/>
      <c r="G804" s="731" t="n"/>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c r="AA804" s="648" t="n"/>
      <c r="AB804" s="648" t="n"/>
      <c r="AC804" s="648" t="n"/>
      <c r="AD804" s="648" t="n"/>
      <c r="AE804" s="648" t="n"/>
      <c r="AF804" s="648" t="n"/>
      <c r="AG804" s="648" t="n"/>
      <c r="AH804" s="648" t="n"/>
      <c r="AI804" s="648" t="n"/>
      <c r="AJ804" s="648" t="n"/>
      <c r="AK804" s="648" t="n"/>
      <c r="AL804" s="648" t="n"/>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73"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73"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73"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75" t="n"/>
      <c r="E808" s="975" t="n"/>
      <c r="F808" s="998" t="n"/>
      <c r="G808" s="998" t="n"/>
      <c r="H808" s="975" t="n"/>
      <c r="I808" s="975" t="n"/>
      <c r="J808" s="975" t="n"/>
      <c r="K808" s="1189">
        <f>K804=L808</f>
        <v/>
      </c>
      <c r="L808" s="491">
        <f>SUM(L804:L807)</f>
        <v/>
      </c>
      <c r="M808" s="1190" t="inlineStr">
        <is>
          <t xml:space="preserve">“Verdadero” indica que la cantidad por lote, coincide con el saldo que inicia al mes siguiente. "Falso" no coinicide. </t>
        </is>
      </c>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496">
        <f>SEPTIEMBRE!K809</f>
        <v/>
      </c>
      <c r="E809" s="339">
        <f>H405</f>
        <v/>
      </c>
      <c r="F809" s="731" t="n"/>
      <c r="G809" s="731" t="n"/>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c r="AA809" s="648" t="n"/>
      <c r="AB809" s="648" t="n"/>
      <c r="AC809" s="648" t="n"/>
      <c r="AD809" s="648" t="n"/>
      <c r="AE809" s="648" t="n"/>
      <c r="AF809" s="648" t="n"/>
      <c r="AG809" s="648" t="n"/>
      <c r="AH809" s="648" t="n"/>
      <c r="AI809" s="648" t="n"/>
      <c r="AJ809" s="648" t="n"/>
      <c r="AK809" s="648" t="n"/>
      <c r="AL809" s="648" t="n"/>
      <c r="AM809" s="573">
        <f>SUM(Z809:AL812)</f>
        <v/>
      </c>
      <c r="AN809" s="693" t="n"/>
      <c r="AO809" s="485" t="n"/>
      <c r="AP809" s="416" t="n"/>
      <c r="AQ809" s="1238">
        <f>IFERROR(I809/J809*100,"0")</f>
        <v/>
      </c>
      <c r="AR809" s="1238">
        <f>IFERROR(1/(1-(AQ809/100)),"0")</f>
        <v/>
      </c>
      <c r="AS809" s="1238" t="n">
        <v>0</v>
      </c>
      <c r="AT809" s="345" t="n"/>
      <c r="AU809" s="1240" t="n"/>
      <c r="AV809" s="1240" t="n"/>
    </row>
    <row r="810" ht="19.5" customHeight="1">
      <c r="A810" s="973" t="n"/>
      <c r="B810" s="971" t="n"/>
      <c r="C810" s="972" t="n"/>
      <c r="D810" s="973"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73"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73"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75" t="n"/>
      <c r="E813" s="975" t="n"/>
      <c r="F813" s="998" t="n"/>
      <c r="G813" s="998" t="n"/>
      <c r="H813" s="975" t="n"/>
      <c r="I813" s="975" t="n"/>
      <c r="J813" s="975" t="n"/>
      <c r="K813" s="1189">
        <f>K809=L813</f>
        <v/>
      </c>
      <c r="L813" s="491">
        <f>SUM(L809:L812)</f>
        <v/>
      </c>
      <c r="M813" s="1190" t="inlineStr">
        <is>
          <t xml:space="preserve">“Verdadero” indica que la cantidad por lote, coincide con el saldo que inicia al mes siguiente. "Falso" no coinicide. </t>
        </is>
      </c>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569" t="inlineStr">
        <is>
          <t>ÍTEM</t>
        </is>
      </c>
      <c r="B817" s="569" t="inlineStr">
        <is>
          <t>INSUMOS</t>
        </is>
      </c>
      <c r="C817" s="965" t="n"/>
      <c r="D817" s="552" t="inlineStr">
        <is>
          <t>SALDO MES ANTERIOR</t>
        </is>
      </c>
      <c r="E817" s="961" t="inlineStr">
        <is>
          <t xml:space="preserve">BIOLÓGICO RECIBIDO POR MSPS O ET </t>
        </is>
      </c>
      <c r="F817" s="545" t="inlineStr">
        <is>
          <t>DOSIS APLICADAS</t>
        </is>
      </c>
      <c r="G817" s="967" t="n"/>
      <c r="H817" s="1232" t="inlineStr">
        <is>
          <t>TOTAL DE DOSIS APLICADAS</t>
        </is>
      </c>
      <c r="I817" s="961" t="inlineStr">
        <is>
          <t>DOSIS PERDIDAS</t>
        </is>
      </c>
      <c r="J817" s="1231" t="inlineStr">
        <is>
          <t>TOTAL DE DOSIS UTILIZADAS EN EL MES</t>
        </is>
      </c>
      <c r="K817" s="961" t="inlineStr">
        <is>
          <t>DOSIS TRASLADADAS A OTROS DEPARTAMENTOS, DISTRITOS O RETORNO AL MSPS</t>
        </is>
      </c>
      <c r="L817" s="1253" t="inlineStr">
        <is>
          <t xml:space="preserve">TOTAL SALDO QUE INICIA EL MES </t>
        </is>
      </c>
      <c r="M817" s="1232" t="inlineStr">
        <is>
          <t xml:space="preserve">SALDO CON QUE EL CA DEPARTAMENTAL INICIA </t>
        </is>
      </c>
      <c r="N817" s="1231" t="inlineStr">
        <is>
          <t xml:space="preserve">SALDO CON QUE LOS MUNICIPIOS O IPS INICIAN </t>
        </is>
      </c>
      <c r="O817" s="1232" t="inlineStr">
        <is>
          <t>MESES DISPONIBLES SEGÚN DOSIS UTILIZADAS EN EL MES</t>
        </is>
      </c>
      <c r="P817" s="544" t="inlineStr">
        <is>
          <t>DOSIS EN CUARENTENA</t>
        </is>
      </c>
      <c r="Q817" s="544" t="inlineStr">
        <is>
          <t>LABORATORIO</t>
        </is>
      </c>
      <c r="R817" s="544" t="inlineStr">
        <is>
          <t>No. LOTE</t>
        </is>
      </c>
      <c r="S817" s="544" t="inlineStr">
        <is>
          <t>FECHA DE VENCIMEINTO</t>
        </is>
      </c>
      <c r="T817" s="544" t="inlineStr">
        <is>
          <t>CONDICIÓN FINAL DEL BIOLÓGICO O INSUMO</t>
        </is>
      </c>
      <c r="U817" s="561" t="n"/>
      <c r="V817" s="1254" t="n"/>
      <c r="X817" s="366" t="n"/>
      <c r="Y817" s="232" t="n"/>
      <c r="Z817" s="400" t="inlineStr">
        <is>
          <t>CAUSAS PERDIDA DE BIOLÓGICOS (Remítase a la primera hoja donde se especifica la clasificación de las perdidas)</t>
        </is>
      </c>
      <c r="AA817" s="400" t="n"/>
      <c r="AB817" s="400" t="n"/>
      <c r="AC817" s="400" t="n"/>
      <c r="AD817" s="400" t="n"/>
      <c r="AE817" s="400" t="n"/>
      <c r="AF817" s="400" t="n"/>
      <c r="AG817" s="400" t="n"/>
      <c r="AH817" s="400" t="n"/>
      <c r="AI817" s="400" t="n"/>
      <c r="AJ817" s="400" t="n"/>
      <c r="AK817" s="400" t="n"/>
      <c r="AL817" s="400" t="n"/>
      <c r="AM817" s="1181" t="inlineStr">
        <is>
          <t xml:space="preserve">TOTAL DOSIS PERDIDAS        </t>
        </is>
      </c>
      <c r="AN817" s="367" t="n"/>
      <c r="AO817" s="368" t="n"/>
    </row>
    <row r="818" ht="21.75" customHeight="1">
      <c r="A818" s="973" t="n"/>
      <c r="B818" s="971" t="n"/>
      <c r="C818" s="972" t="n"/>
      <c r="D818" s="973" t="n"/>
      <c r="E818" s="973" t="n"/>
      <c r="F818" s="552" t="inlineStr">
        <is>
          <t>DOSIS APLICADAS
COLOMBIANOS</t>
        </is>
      </c>
      <c r="G818" s="552" t="inlineStr">
        <is>
          <t>DOSIS APLICADAS EXTRANJEROS</t>
        </is>
      </c>
      <c r="H818" s="973" t="n"/>
      <c r="I818" s="973" t="n"/>
      <c r="J818" s="973" t="n"/>
      <c r="K818" s="973" t="n"/>
      <c r="L818" s="973" t="n"/>
      <c r="M818" s="973" t="n"/>
      <c r="N818" s="973" t="n"/>
      <c r="O818" s="973" t="n"/>
      <c r="P818" s="973" t="n"/>
      <c r="Q818" s="973" t="n"/>
      <c r="R818" s="973" t="n"/>
      <c r="S818" s="973" t="n"/>
      <c r="T818" s="973" t="n"/>
      <c r="X818" s="366" t="n"/>
      <c r="Y818" s="232" t="n"/>
      <c r="Z818" s="533" t="n">
        <v>1</v>
      </c>
      <c r="AA818" s="968" t="n"/>
      <c r="AB818" s="967" t="n"/>
      <c r="AC818" s="330" t="n">
        <v>2</v>
      </c>
      <c r="AD818" s="566" t="n">
        <v>3</v>
      </c>
      <c r="AE818" s="533" t="n">
        <v>4</v>
      </c>
      <c r="AF818" s="566" t="n">
        <v>5</v>
      </c>
      <c r="AG818" s="533" t="n">
        <v>6</v>
      </c>
      <c r="AH818" s="566" t="n">
        <v>7</v>
      </c>
      <c r="AI818" s="533" t="n">
        <v>8</v>
      </c>
      <c r="AJ818" s="533" t="n">
        <v>9</v>
      </c>
      <c r="AK818" s="533" t="n">
        <v>10</v>
      </c>
      <c r="AL818" s="566" t="n">
        <v>11</v>
      </c>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X819" s="366" t="n"/>
      <c r="Y819" s="232" t="n"/>
      <c r="Z819" s="533" t="inlineStr">
        <is>
          <t>POLÍTICA DE FRASCOS ABIERTO</t>
        </is>
      </c>
      <c r="AA819" s="968" t="n"/>
      <c r="AB819" s="967" t="n"/>
      <c r="AC819" s="330" t="inlineStr">
        <is>
          <t>INTERRUPCIÓN DE CADENA DE FRÍO</t>
        </is>
      </c>
      <c r="AD819" s="566" t="inlineStr">
        <is>
          <t>CONTAMINACION DEL BIOLÓGICO/DISPOSITIVO MÉDICO</t>
        </is>
      </c>
      <c r="AE819" s="533" t="inlineStr">
        <is>
          <t>VIAL ROTO</t>
        </is>
      </c>
      <c r="AF819" s="566" t="inlineStr">
        <is>
          <t>ERRORES EN LA MANIPULACIÓN</t>
        </is>
      </c>
      <c r="AG819" s="533" t="inlineStr">
        <is>
          <t>VENCIMIENTO DEL BIOLÓGICO O JERINGA</t>
        </is>
      </c>
      <c r="AH819" s="566" t="inlineStr">
        <is>
          <t>FARMACOVIGILANCIA / TECNOVIGILANCIA</t>
        </is>
      </c>
      <c r="AI819" s="533" t="inlineStr">
        <is>
          <t>VOMITO FRANCO</t>
        </is>
      </c>
      <c r="AJ819" s="533" t="inlineStr">
        <is>
          <t>APLICACIÓN FUERA DE LA EDAD</t>
        </is>
      </c>
      <c r="AK819" s="533" t="inlineStr">
        <is>
          <t>POR DECISIÓN FINAL DEL PACIENTE DE NO VACUNACIÓN</t>
        </is>
      </c>
      <c r="AL819" s="566" t="inlineStr">
        <is>
          <t>SINIESTRO O ROBO</t>
        </is>
      </c>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X820" s="366" t="n"/>
      <c r="Y820" s="232" t="n"/>
      <c r="Z820" s="533" t="inlineStr">
        <is>
          <t>INSTITUCIONAL</t>
        </is>
      </c>
      <c r="AA820" s="533" t="inlineStr">
        <is>
          <t>EXTRAMURAL</t>
        </is>
      </c>
      <c r="AB820" s="533" t="inlineStr">
        <is>
          <t>TOTAL</t>
        </is>
      </c>
      <c r="AC820" s="975" t="n"/>
      <c r="AD820" s="975" t="n"/>
      <c r="AE820" s="975" t="n"/>
      <c r="AF820" s="975" t="n"/>
      <c r="AG820" s="975" t="n"/>
      <c r="AH820" s="975" t="n"/>
      <c r="AI820" s="975" t="n"/>
      <c r="AJ820" s="975" t="n"/>
      <c r="AK820" s="975" t="n"/>
      <c r="AL820" s="975" t="n"/>
      <c r="AM820" s="975" t="n"/>
      <c r="AN820" s="333" t="n"/>
      <c r="AO820" s="368" t="n"/>
      <c r="AQ820" s="370" t="inlineStr">
        <is>
          <t>PORCENTAJE DE PERDIDA DEL MES
%</t>
        </is>
      </c>
      <c r="AR820" s="370" t="inlineStr">
        <is>
          <t>FACTOR DE PERDIDA DEL MES</t>
        </is>
      </c>
      <c r="AS820" s="371" t="inlineStr">
        <is>
          <t>% DE PERDIDA DEL MSPS</t>
        </is>
      </c>
      <c r="AT820" s="371" t="inlineStr">
        <is>
          <t>DOSIS POR VIAL</t>
        </is>
      </c>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v>65</v>
      </c>
      <c r="AT821" s="345" t="n">
        <v>10</v>
      </c>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v>0</v>
      </c>
      <c r="AT823" s="345" t="n">
        <v>0</v>
      </c>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v>15</v>
      </c>
      <c r="AT824" s="345" t="n">
        <v>5</v>
      </c>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v>0</v>
      </c>
      <c r="AT825" s="345" t="n">
        <v>0</v>
      </c>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v>0</v>
      </c>
      <c r="AT826" s="345" t="n">
        <v>0</v>
      </c>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v>0</v>
      </c>
      <c r="AT827" s="345" t="n">
        <v>0</v>
      </c>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v>0</v>
      </c>
      <c r="AT829" s="345" t="n">
        <v>1</v>
      </c>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v>0</v>
      </c>
      <c r="AT830" s="345" t="n">
        <v>1</v>
      </c>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v>0</v>
      </c>
      <c r="AT831" s="345" t="n">
        <v>1</v>
      </c>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v>0</v>
      </c>
      <c r="AT832" s="345" t="n">
        <v>1</v>
      </c>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v>0</v>
      </c>
      <c r="AT833" s="345" t="n">
        <v>1</v>
      </c>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v>0</v>
      </c>
      <c r="AT835" s="345" t="n">
        <v>1</v>
      </c>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v>0</v>
      </c>
      <c r="AT836" s="345" t="n">
        <v>1</v>
      </c>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v>0</v>
      </c>
      <c r="AT837" s="345" t="n">
        <v>1</v>
      </c>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v>25</v>
      </c>
      <c r="AT838" s="345" t="n">
        <v>5</v>
      </c>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v>0</v>
      </c>
      <c r="AT839" s="345" t="n">
        <v>1</v>
      </c>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v>70</v>
      </c>
      <c r="AT841" s="345" t="n">
        <v>10</v>
      </c>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v>0</v>
      </c>
      <c r="AT842" s="345" t="n">
        <v>1</v>
      </c>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v>0</v>
      </c>
      <c r="AT843" s="345" t="n">
        <v>1</v>
      </c>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v>0</v>
      </c>
      <c r="AT844" s="345" t="n">
        <v>1</v>
      </c>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v>10</v>
      </c>
      <c r="AT845" s="345" t="n">
        <v>10</v>
      </c>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v>10</v>
      </c>
      <c r="AT847" s="345" t="n">
        <v>20</v>
      </c>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v>10</v>
      </c>
      <c r="AT848" s="345" t="n">
        <v>10</v>
      </c>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v>0</v>
      </c>
      <c r="AT849" s="345" t="n">
        <v>1</v>
      </c>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v>0</v>
      </c>
      <c r="AT850" s="345" t="n">
        <v>1</v>
      </c>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v>0</v>
      </c>
      <c r="AT851" s="345" t="n">
        <v>1</v>
      </c>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v>0</v>
      </c>
      <c r="AT853" s="345" t="n">
        <v>1</v>
      </c>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v>0</v>
      </c>
      <c r="AT854" s="345" t="n">
        <v>1</v>
      </c>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v>0</v>
      </c>
      <c r="AT855" s="345" t="n">
        <v>1</v>
      </c>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v>0</v>
      </c>
      <c r="AT856" s="345" t="n">
        <v>1</v>
      </c>
    </row>
    <row r="857" ht="28.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7"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inlineStr">
        <is>
          <t>SALDO MES ANTERIOR</t>
        </is>
      </c>
      <c r="E889" s="961" t="inlineStr">
        <is>
          <t xml:space="preserve">BIOLÓGICO RECIBIDO POR MSPS O ET </t>
        </is>
      </c>
      <c r="F889" s="545" t="inlineStr">
        <is>
          <t>DOSIS APLICADAS</t>
        </is>
      </c>
      <c r="G889" s="967" t="n"/>
      <c r="H889" s="1232" t="inlineStr">
        <is>
          <t>TOTAL DE DOSIS APLICADAS</t>
        </is>
      </c>
      <c r="I889" s="961" t="inlineStr">
        <is>
          <t>DOSIS PERDIDAS</t>
        </is>
      </c>
      <c r="J889" s="1231" t="inlineStr">
        <is>
          <t>TOTAL DE DOSIS UTILIZADAS EN EL MES</t>
        </is>
      </c>
      <c r="K889" s="961" t="inlineStr">
        <is>
          <t>DOSIS TRASLADADAS A OTROS DEPARTAMENTOS, DISTRITOS O RETORNO AL MSPS</t>
        </is>
      </c>
      <c r="L889" s="1253" t="inlineStr">
        <is>
          <t xml:space="preserve">TOTAL SALDO QUE INICIA EL MES </t>
        </is>
      </c>
      <c r="M889" s="1232" t="inlineStr">
        <is>
          <t xml:space="preserve">SALDO CON QUE EL CA DEPARTAMENTAL INICIA </t>
        </is>
      </c>
      <c r="N889" s="1231" t="inlineStr">
        <is>
          <t xml:space="preserve">SALDO CON QUE LOS MUNICIPIOS O IPS INICIAN </t>
        </is>
      </c>
      <c r="O889" s="1232" t="inlineStr">
        <is>
          <t>MESES DISPONIBLES SEGÚN DOSIS UTILIZADAS EN EL MES</t>
        </is>
      </c>
      <c r="P889" s="544" t="inlineStr">
        <is>
          <t>DOSIS EN CUARENTENA</t>
        </is>
      </c>
      <c r="Q889" s="544" t="inlineStr">
        <is>
          <t>LABORATORIO</t>
        </is>
      </c>
      <c r="R889" s="544" t="inlineStr">
        <is>
          <t>No. LOTE</t>
        </is>
      </c>
      <c r="S889" s="544" t="inlineStr">
        <is>
          <t>FECHA DE VENCIMEINTO</t>
        </is>
      </c>
      <c r="T889" s="544" t="inlineStr">
        <is>
          <t>CONDICIÓN FINAL DEL BIOLÓGICO O INSUMO</t>
        </is>
      </c>
      <c r="U889" s="561" t="n"/>
      <c r="V889" s="1254" t="n"/>
      <c r="Y889" s="232" t="n"/>
      <c r="Z889" s="1221" t="inlineStr">
        <is>
          <t>MOTIVOS DE NO USO DE VACUNAS CONTRA LA COVID-19
RESOLUCIÓN 0118 DEL 27 DE ENERO DE 2026
DISPONIBLE EN EL SIGUIENTE LINK: https://www.minsalud.gov.co/Normatividad_Nuevo/Resolucion%20No%20118%20de%202026.pdf</t>
        </is>
      </c>
      <c r="AA889" s="968" t="n"/>
      <c r="AB889" s="968" t="n"/>
      <c r="AC889" s="968" t="n"/>
      <c r="AD889" s="968" t="n"/>
      <c r="AE889" s="968" t="n"/>
      <c r="AF889" s="968" t="n"/>
      <c r="AG889" s="968" t="n"/>
      <c r="AH889" s="968" t="n"/>
      <c r="AI889" s="968" t="n"/>
      <c r="AJ889" s="968" t="n"/>
      <c r="AK889" s="968" t="n"/>
      <c r="AL889" s="967" t="n"/>
      <c r="AM889" s="532" t="inlineStr">
        <is>
          <t xml:space="preserve">TOTAL DOSIS PERDIDAS        </t>
        </is>
      </c>
      <c r="AP889" s="416" t="n"/>
      <c r="AQ889" s="416" t="n"/>
      <c r="AR889" s="416" t="n"/>
      <c r="AS889" s="416" t="n"/>
      <c r="AT889" s="416" t="n"/>
      <c r="AU889" s="1240" t="n"/>
      <c r="AV889" s="1240" t="n"/>
    </row>
    <row r="890" ht="22.5" customHeight="1">
      <c r="A890" s="971" t="n"/>
      <c r="C890" s="972" t="n"/>
      <c r="D890" s="973" t="n"/>
      <c r="E890" s="973" t="n"/>
      <c r="F890" s="552" t="inlineStr">
        <is>
          <t>DOSIS APLICADAS
COLOMBIANOS</t>
        </is>
      </c>
      <c r="G890" s="552" t="inlineStr">
        <is>
          <t>DOSIS APLICADAS EXTRANJEROS</t>
        </is>
      </c>
      <c r="H890" s="973" t="n"/>
      <c r="I890" s="973" t="n"/>
      <c r="J890" s="973" t="n"/>
      <c r="K890" s="973" t="n"/>
      <c r="L890" s="973" t="n"/>
      <c r="M890" s="973" t="n"/>
      <c r="N890" s="973" t="n"/>
      <c r="O890" s="973" t="n"/>
      <c r="P890" s="973" t="n"/>
      <c r="Q890" s="973" t="n"/>
      <c r="R890" s="973" t="n"/>
      <c r="S890" s="973" t="n"/>
      <c r="T890" s="973" t="n"/>
      <c r="Y890" s="232" t="n"/>
      <c r="Z890" s="533" t="n">
        <v>1</v>
      </c>
      <c r="AA890" s="967" t="n"/>
      <c r="AB890" s="533" t="n">
        <v>2</v>
      </c>
      <c r="AC890" s="533" t="n">
        <v>3</v>
      </c>
      <c r="AD890" s="533" t="n">
        <v>4</v>
      </c>
      <c r="AE890" s="533" t="n">
        <v>5</v>
      </c>
      <c r="AF890" s="533" t="n">
        <v>6</v>
      </c>
      <c r="AG890" s="533" t="n">
        <v>7</v>
      </c>
      <c r="AH890" s="533" t="n">
        <v>8</v>
      </c>
      <c r="AI890" s="533" t="n">
        <v>9</v>
      </c>
      <c r="AJ890" s="533" t="n">
        <v>10</v>
      </c>
      <c r="AK890" s="533" t="n">
        <v>11</v>
      </c>
      <c r="AL890" s="533" t="n">
        <v>12</v>
      </c>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inlineStr">
        <is>
          <t>POLÍTICA DE FRASCOS ABIERTO</t>
        </is>
      </c>
      <c r="AA891" s="967" t="n"/>
      <c r="AB891" s="1222" t="inlineStr">
        <is>
          <t>INTERRUPCIÓN DE LA CADENA DE FRÍO</t>
        </is>
      </c>
      <c r="AC891" s="537" t="inlineStr">
        <is>
          <t>CONTAMINACIÓN DEL BIOLÓGICO</t>
        </is>
      </c>
      <c r="AD891" s="1222" t="inlineStr">
        <is>
          <t>ERROR EN LA MANIPULACIÓN</t>
        </is>
      </c>
      <c r="AE891" s="537" t="inlineStr">
        <is>
          <t>ERROR EN LA RECONSTITUCIÓN/DILUCIÓN</t>
        </is>
      </c>
      <c r="AF891" s="1222" t="inlineStr">
        <is>
          <t>ERROR EN LA DOSIFICACIÓN</t>
        </is>
      </c>
      <c r="AG891" s="537" t="inlineStr">
        <is>
          <t>VACUNA QUE EXCEDE EL TIEMPO DE ALMACENAMIENTO EN REFRIGERACIÓN</t>
        </is>
      </c>
      <c r="AH891" s="1222" t="inlineStr">
        <is>
          <t>VENCIMIENTO DEL BIOLÓGICO</t>
        </is>
      </c>
      <c r="AI891" s="537" t="inlineStr">
        <is>
          <t>FRASCO VIAL ROTO</t>
        </is>
      </c>
      <c r="AJ891" s="1222" t="inlineStr">
        <is>
          <t>FALLAS DE FABRICACIÓN/CALIDAD</t>
        </is>
      </c>
      <c r="AK891" s="537" t="inlineStr">
        <is>
          <t>SINIESTRO / ACCIDENTE</t>
        </is>
      </c>
      <c r="AL891" s="1222" t="inlineStr">
        <is>
          <t>ROBO/HURTO BIOLÓGICO</t>
        </is>
      </c>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inlineStr">
        <is>
          <t>INSTITUCIONAL</t>
        </is>
      </c>
      <c r="AA892" s="497" t="inlineStr">
        <is>
          <t>EXTRAMURAL</t>
        </is>
      </c>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inlineStr">
        <is>
          <t>Observación</t>
        </is>
      </c>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xmX7UOxLMv3ZTxzjQ15Mpg==" formatRows="1" sort="1" spinCount="100000" hashValue="99lw7KPnCszuKlj5ylPb6aXCl70buTATwGdwybxxFYIoZ73oNnCSRhu/2roc3VsOYDl6e/9eEnOGZpkoeUU3ew=="/>
  <mergeCells count="3720">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AC25:AC29"/>
    <mergeCell ref="I133:I138"/>
    <mergeCell ref="B181:C186"/>
    <mergeCell ref="AI352:AI357"/>
    <mergeCell ref="D413:D416"/>
    <mergeCell ref="AL787:AL788"/>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AH11:AH12"/>
    <mergeCell ref="E31:E36"/>
    <mergeCell ref="I435:I440"/>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Z11:AB11"/>
    <mergeCell ref="AG211:AG215"/>
    <mergeCell ref="W742:W748"/>
    <mergeCell ref="AN163:AN167"/>
    <mergeCell ref="D236:D241"/>
    <mergeCell ref="J465:J470"/>
    <mergeCell ref="AV465:AV469"/>
    <mergeCell ref="B507:C512"/>
    <mergeCell ref="Z223:Z227"/>
    <mergeCell ref="D359:D365"/>
    <mergeCell ref="A525:A530"/>
    <mergeCell ref="B778:C778"/>
    <mergeCell ref="I609:I614"/>
    <mergeCell ref="AF230:AF234"/>
    <mergeCell ref="K115:K119"/>
    <mergeCell ref="AF537:AF541"/>
    <mergeCell ref="AC79:AC83"/>
    <mergeCell ref="U9:U12"/>
    <mergeCell ref="AC73:AC77"/>
    <mergeCell ref="J272:J277"/>
    <mergeCell ref="K543:K547"/>
    <mergeCell ref="F652:F657"/>
    <mergeCell ref="K579:K583"/>
    <mergeCell ref="B37:C42"/>
    <mergeCell ref="AA615:AA619"/>
    <mergeCell ref="AK664:AK668"/>
    <mergeCell ref="AH296:AH300"/>
    <mergeCell ref="AH303:AH308"/>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E61:AE65"/>
    <mergeCell ref="AJ441:AJ445"/>
    <mergeCell ref="AF714:AF719"/>
    <mergeCell ref="B121:C126"/>
    <mergeCell ref="E272:E277"/>
    <mergeCell ref="AH676:AH680"/>
    <mergeCell ref="AD543:AD547"/>
    <mergeCell ref="G459:G464"/>
    <mergeCell ref="E735:E741"/>
    <mergeCell ref="D634:D639"/>
    <mergeCell ref="AE519:AE523"/>
    <mergeCell ref="H441:H446"/>
    <mergeCell ref="J199:J204"/>
    <mergeCell ref="B579:C584"/>
    <mergeCell ref="AG11:AG12"/>
    <mergeCell ref="AE891:AE892"/>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I193:I198"/>
    <mergeCell ref="AG296:AG300"/>
    <mergeCell ref="AG303:AG308"/>
    <mergeCell ref="AD804:AD807"/>
    <mergeCell ref="AI489:AI493"/>
    <mergeCell ref="K513:K517"/>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H85:H90"/>
    <mergeCell ref="AC187:AC191"/>
    <mergeCell ref="I175:I180"/>
    <mergeCell ref="AM809:AM812"/>
    <mergeCell ref="AI405:AI408"/>
    <mergeCell ref="AR441:AR445"/>
    <mergeCell ref="AB555:AB559"/>
    <mergeCell ref="H303:H309"/>
    <mergeCell ref="AB549:AB553"/>
    <mergeCell ref="AM97:AM101"/>
    <mergeCell ref="AE721:AE726"/>
    <mergeCell ref="AD749:AD754"/>
    <mergeCell ref="AL423:AL427"/>
    <mergeCell ref="AE591:AE595"/>
    <mergeCell ref="AV447:AV451"/>
    <mergeCell ref="D103:D108"/>
    <mergeCell ref="H507:H512"/>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AA55:AA59"/>
    <mergeCell ref="AT525:AT529"/>
    <mergeCell ref="B782:C782"/>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J284:J289"/>
    <mergeCell ref="K585:K5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K103:AK107"/>
    <mergeCell ref="AA37:AA41"/>
    <mergeCell ref="AL139:AL143"/>
    <mergeCell ref="J749:J755"/>
    <mergeCell ref="AA73:AA77"/>
    <mergeCell ref="AH338:AH343"/>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AI25:AI29"/>
    <mergeCell ref="K211:K215"/>
    <mergeCell ref="B290:C295"/>
    <mergeCell ref="AI181:AI185"/>
    <mergeCell ref="B826:C826"/>
    <mergeCell ref="AW609:AW613"/>
    <mergeCell ref="I278:I283"/>
    <mergeCell ref="AQ441:AQ445"/>
    <mergeCell ref="F531:F536"/>
    <mergeCell ref="AF756:AF761"/>
    <mergeCell ref="B785:C788"/>
    <mergeCell ref="K763:K768"/>
    <mergeCell ref="A187:A192"/>
    <mergeCell ref="AN290:AN294"/>
    <mergeCell ref="AT477:AT481"/>
    <mergeCell ref="AD591:AD595"/>
    <mergeCell ref="AC794:AC797"/>
    <mergeCell ref="B828:C828"/>
    <mergeCell ref="B853:C853"/>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E352:AE357"/>
    <mergeCell ref="E169:E174"/>
    <mergeCell ref="K331:K336"/>
    <mergeCell ref="D501:D506"/>
    <mergeCell ref="I573:I578"/>
    <mergeCell ref="AM603:AM607"/>
    <mergeCell ref="AL664:AL668"/>
    <mergeCell ref="AB390:AB393"/>
    <mergeCell ref="AH787:AH78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Z139:Z143"/>
    <mergeCell ref="G345:G351"/>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565:C565"/>
    <mergeCell ref="Z799:Z802"/>
    <mergeCell ref="B894:C894"/>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AR447:AR451"/>
    <mergeCell ref="D507:D512"/>
    <mergeCell ref="H205:H210"/>
    <mergeCell ref="AK609:AK613"/>
    <mergeCell ref="A682:A687"/>
    <mergeCell ref="R889:R892"/>
    <mergeCell ref="F413:G413"/>
    <mergeCell ref="AA714:AA719"/>
    <mergeCell ref="K278:K282"/>
    <mergeCell ref="H634:H639"/>
    <mergeCell ref="I735:I741"/>
    <mergeCell ref="AF694:AF698"/>
    <mergeCell ref="H31:H36"/>
    <mergeCell ref="AL272:AL27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AN345:AN350"/>
    <mergeCell ref="Z381:AL381"/>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AC248:AC252"/>
    <mergeCell ref="AA175:AA179"/>
    <mergeCell ref="J447:J452"/>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T561:AT565"/>
    <mergeCell ref="AD700:AD704"/>
    <mergeCell ref="AD891:AD892"/>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A109:A114"/>
    <mergeCell ref="H382:H38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Z609:Z613"/>
    <mergeCell ref="B862:C862"/>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W429:AW433"/>
    <mergeCell ref="AL435:AL439"/>
    <mergeCell ref="AG543:AG547"/>
    <mergeCell ref="AG537:AG541"/>
    <mergeCell ref="AA646:AA650"/>
    <mergeCell ref="J459:J464"/>
    <mergeCell ref="A567:A572"/>
    <mergeCell ref="N817:N820"/>
    <mergeCell ref="A561:A566"/>
    <mergeCell ref="K157:K161"/>
    <mergeCell ref="I91:I96"/>
    <mergeCell ref="Z549:Z553"/>
    <mergeCell ref="AF728:AF733"/>
    <mergeCell ref="AK67:AK71"/>
    <mergeCell ref="AN395:AN398"/>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I417:I422"/>
    <mergeCell ref="B781:C781"/>
    <mergeCell ref="I531:I536"/>
    <mergeCell ref="D317:D323"/>
    <mergeCell ref="D187:D192"/>
    <mergeCell ref="AF794:AF797"/>
    <mergeCell ref="D912:G912"/>
    <mergeCell ref="F103:F108"/>
    <mergeCell ref="B571:C571"/>
    <mergeCell ref="AI199:AI203"/>
    <mergeCell ref="J230:J235"/>
    <mergeCell ref="AE395:AE398"/>
    <mergeCell ref="AH561:AH565"/>
    <mergeCell ref="K501:K505"/>
    <mergeCell ref="Z417:Z421"/>
    <mergeCell ref="B871:C871"/>
    <mergeCell ref="Z199:Z203"/>
    <mergeCell ref="J652:J657"/>
    <mergeCell ref="AL85:AL89"/>
    <mergeCell ref="J400:J404"/>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AK133:AK137"/>
    <mergeCell ref="V817:V820"/>
    <mergeCell ref="I799:I803"/>
    <mergeCell ref="B804:C808"/>
    <mergeCell ref="A199:A204"/>
    <mergeCell ref="AV429:AV433"/>
    <mergeCell ref="Z652:Z656"/>
    <mergeCell ref="Z646:Z650"/>
    <mergeCell ref="B145:C150"/>
    <mergeCell ref="AW555:AW559"/>
    <mergeCell ref="AF211:AF215"/>
    <mergeCell ref="AR423:AR427"/>
    <mergeCell ref="Z43:Z47"/>
    <mergeCell ref="A331:A337"/>
    <mergeCell ref="H91:H96"/>
    <mergeCell ref="G513:G518"/>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AK459:AK463"/>
    <mergeCell ref="I519:I524"/>
    <mergeCell ref="AD621:AD625"/>
    <mergeCell ref="B163:C168"/>
    <mergeCell ref="B794:C798"/>
    <mergeCell ref="K242:K246"/>
    <mergeCell ref="Z61:Z65"/>
    <mergeCell ref="K236:K240"/>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D615:D620"/>
    <mergeCell ref="B413:C416"/>
    <mergeCell ref="B395:C399"/>
    <mergeCell ref="Z889:AL889"/>
    <mergeCell ref="B779:C779"/>
    <mergeCell ref="AL181:AL185"/>
    <mergeCell ref="D272:D277"/>
    <mergeCell ref="B543:C548"/>
    <mergeCell ref="AM447:AM451"/>
    <mergeCell ref="Z818:AB818"/>
    <mergeCell ref="AA483:AA487"/>
    <mergeCell ref="AF609:AF613"/>
    <mergeCell ref="K799:K802"/>
    <mergeCell ref="AA694:AA698"/>
    <mergeCell ref="AJ133:AJ137"/>
    <mergeCell ref="AH646:AH650"/>
    <mergeCell ref="H567:H572"/>
    <mergeCell ref="U817:U820"/>
    <mergeCell ref="H561:H566"/>
    <mergeCell ref="B839:C839"/>
    <mergeCell ref="AM573:AM577"/>
    <mergeCell ref="AB471:AB475"/>
    <mergeCell ref="A573:A578"/>
    <mergeCell ref="AB507:AB511"/>
    <mergeCell ref="E429:E434"/>
    <mergeCell ref="J317:J323"/>
    <mergeCell ref="AL163:AL167"/>
    <mergeCell ref="Q381:Q384"/>
    <mergeCell ref="H465:H470"/>
    <mergeCell ref="E97:E102"/>
    <mergeCell ref="AI345:AI350"/>
    <mergeCell ref="B707:C713"/>
    <mergeCell ref="AT465:AT469"/>
    <mergeCell ref="AL199:AL203"/>
    <mergeCell ref="AK531:AK535"/>
    <mergeCell ref="B378:C378"/>
    <mergeCell ref="AD579:AD583"/>
    <mergeCell ref="AK525:AK529"/>
    <mergeCell ref="B115:C120"/>
    <mergeCell ref="AE809:AE812"/>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Z441:Z445"/>
    <mergeCell ref="H489:H494"/>
    <mergeCell ref="AH61:AH65"/>
    <mergeCell ref="AM284:AM288"/>
    <mergeCell ref="A284:A289"/>
    <mergeCell ref="AF331:AF336"/>
    <mergeCell ref="U413:U416"/>
    <mergeCell ref="AJ459:AJ463"/>
    <mergeCell ref="E151:E156"/>
    <mergeCell ref="H193:H198"/>
    <mergeCell ref="AF296:AF300"/>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AK157:AK161"/>
    <mergeCell ref="G385:G389"/>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C67:AC71"/>
    <mergeCell ref="AL278:AL282"/>
    <mergeCell ref="D682:D687"/>
    <mergeCell ref="AH441:AH445"/>
    <mergeCell ref="U889:U892"/>
    <mergeCell ref="AD317:AD322"/>
    <mergeCell ref="AC97:AC101"/>
    <mergeCell ref="AE290:AE294"/>
    <mergeCell ref="K567:K571"/>
    <mergeCell ref="K561:K565"/>
    <mergeCell ref="E459:E464"/>
    <mergeCell ref="AL115:AL119"/>
    <mergeCell ref="J181:J186"/>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E317:E323"/>
    <mergeCell ref="D97:D102"/>
    <mergeCell ref="G465:G470"/>
    <mergeCell ref="AB447:AB451"/>
    <mergeCell ref="AJ531:AJ535"/>
    <mergeCell ref="K714:K719"/>
    <mergeCell ref="K139:K143"/>
    <mergeCell ref="AF248:AF252"/>
    <mergeCell ref="AL477:AL481"/>
    <mergeCell ref="AM567:AM571"/>
    <mergeCell ref="AT435:AT439"/>
    <mergeCell ref="AC537:AC541"/>
    <mergeCell ref="AN331:AN336"/>
    <mergeCell ref="AW585:AW589"/>
    <mergeCell ref="H217:H222"/>
    <mergeCell ref="A707:A713"/>
    <mergeCell ref="J817:J820"/>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AK395:AK398"/>
    <mergeCell ref="B832:C832"/>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Z127:Z131"/>
    <mergeCell ref="AM763:AM768"/>
    <mergeCell ref="H175:H180"/>
    <mergeCell ref="B845:C845"/>
    <mergeCell ref="AJ447:AJ451"/>
    <mergeCell ref="AL205:AL209"/>
    <mergeCell ref="AE682:AE686"/>
    <mergeCell ref="AH405:AH408"/>
    <mergeCell ref="AC609:AC613"/>
    <mergeCell ref="AR531:AR535"/>
    <mergeCell ref="AR525:AR529"/>
    <mergeCell ref="F525:F530"/>
    <mergeCell ref="W423:W428"/>
    <mergeCell ref="AG19:AG23"/>
    <mergeCell ref="Z181:Z185"/>
    <mergeCell ref="AD272:AD276"/>
    <mergeCell ref="AK537:AK541"/>
    <mergeCell ref="AG133:AG137"/>
    <mergeCell ref="AA447:AA451"/>
    <mergeCell ref="R817:R820"/>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K591:K595"/>
    <mergeCell ref="AF891:AF892"/>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AJ97:AJ101"/>
    <mergeCell ref="I465:I470"/>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M477:AM481"/>
    <mergeCell ref="P9:P12"/>
    <mergeCell ref="A477:A482"/>
    <mergeCell ref="K670:K674"/>
    <mergeCell ref="D809:D813"/>
    <mergeCell ref="AM652:AM656"/>
    <mergeCell ref="AL67:AL71"/>
    <mergeCell ref="A79:A84"/>
    <mergeCell ref="E483:E488"/>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AH447:AH451"/>
    <mergeCell ref="B477:C482"/>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L97:AL101"/>
    <mergeCell ref="A317:A323"/>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W465:AW469"/>
    <mergeCell ref="AL345:AL350"/>
    <mergeCell ref="AG579:AG583"/>
    <mergeCell ref="AD405:AD408"/>
    <mergeCell ref="F91:F96"/>
    <mergeCell ref="AN254:AN258"/>
    <mergeCell ref="B375:C375"/>
    <mergeCell ref="AG423:AG427"/>
    <mergeCell ref="K483:K487"/>
    <mergeCell ref="A290:A295"/>
    <mergeCell ref="AI385:AI388"/>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AN157:AN161"/>
    <mergeCell ref="AA272:AA276"/>
    <mergeCell ref="J385:J389"/>
    <mergeCell ref="D555:D560"/>
    <mergeCell ref="AV417:AV421"/>
    <mergeCell ref="AA735:AA740"/>
    <mergeCell ref="AI688:AI692"/>
    <mergeCell ref="AB248:AB252"/>
    <mergeCell ref="Z31:Z35"/>
    <mergeCell ref="H79:H84"/>
    <mergeCell ref="K400:K403"/>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J109:J114"/>
    <mergeCell ref="AH290:AH29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D181:AD185"/>
    <mergeCell ref="AC366:AC371"/>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AB133:AB137"/>
    <mergeCell ref="M817:M820"/>
    <mergeCell ref="AL799:AL802"/>
    <mergeCell ref="J585:J590"/>
    <mergeCell ref="W646:W651"/>
    <mergeCell ref="J382:J384"/>
    <mergeCell ref="F31:F36"/>
    <mergeCell ref="AH310:AH315"/>
    <mergeCell ref="AB477:AB481"/>
    <mergeCell ref="AG236:AG240"/>
    <mergeCell ref="J789:J793"/>
    <mergeCell ref="AI423:AI427"/>
    <mergeCell ref="AD331:AD336"/>
    <mergeCell ref="AN400:AN403"/>
    <mergeCell ref="J193:J198"/>
    <mergeCell ref="S413:S416"/>
    <mergeCell ref="Z352:Z357"/>
    <mergeCell ref="I390:I394"/>
    <mergeCell ref="AI640:AI644"/>
    <mergeCell ref="B531:C536"/>
    <mergeCell ref="AG664:AG668"/>
    <mergeCell ref="AV483:AV487"/>
    <mergeCell ref="AG707:AG712"/>
    <mergeCell ref="T381:T384"/>
    <mergeCell ref="AD507:AD511"/>
    <mergeCell ref="AH205:AH209"/>
    <mergeCell ref="AM714:AM719"/>
    <mergeCell ref="A714:A720"/>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V435:AV439"/>
    <mergeCell ref="AJ477:AJ481"/>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M400:AM403"/>
    <mergeCell ref="A400:A404"/>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D13:D18"/>
    <mergeCell ref="AM115:AM119"/>
    <mergeCell ref="J175:J180"/>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K794:K797"/>
    <mergeCell ref="P413:P416"/>
    <mergeCell ref="T817:T820"/>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AB310:AB315"/>
    <mergeCell ref="J331:J337"/>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AN49:AN53"/>
    <mergeCell ref="I248:I253"/>
    <mergeCell ref="F809:F813"/>
    <mergeCell ref="B835:C835"/>
    <mergeCell ref="B829:C829"/>
    <mergeCell ref="E85:E90"/>
    <mergeCell ref="AA199:AA203"/>
    <mergeCell ref="AN260:AN264"/>
    <mergeCell ref="AK345:AK350"/>
    <mergeCell ref="AV615:AV619"/>
    <mergeCell ref="J615:J620"/>
    <mergeCell ref="F211:F216"/>
    <mergeCell ref="I676:I681"/>
    <mergeCell ref="AG513:AG517"/>
    <mergeCell ref="AH91:AH95"/>
    <mergeCell ref="AM749:AM754"/>
    <mergeCell ref="AK223:AK227"/>
    <mergeCell ref="AA395:AA398"/>
    <mergeCell ref="AS447:AS451"/>
    <mergeCell ref="A621:A626"/>
    <mergeCell ref="AH385:AH388"/>
    <mergeCell ref="F763:F769"/>
    <mergeCell ref="Z254:Z258"/>
    <mergeCell ref="S889:S892"/>
    <mergeCell ref="AA103:AA107"/>
    <mergeCell ref="Z248:Z252"/>
    <mergeCell ref="AB317:AB322"/>
    <mergeCell ref="AM742:AM747"/>
    <mergeCell ref="B830:C830"/>
    <mergeCell ref="D19:D24"/>
    <mergeCell ref="AB441:AB445"/>
    <mergeCell ref="E109:E114"/>
    <mergeCell ref="AC290:AC294"/>
    <mergeCell ref="J43:J48"/>
    <mergeCell ref="Z465:Z469"/>
    <mergeCell ref="AB223:AB227"/>
    <mergeCell ref="J489:J494"/>
    <mergeCell ref="E145:E150"/>
    <mergeCell ref="W413:W416"/>
    <mergeCell ref="K640:K644"/>
    <mergeCell ref="E139:E144"/>
    <mergeCell ref="O785:O788"/>
    <mergeCell ref="J700:J705"/>
    <mergeCell ref="AM615:AM619"/>
    <mergeCell ref="AJ157:AJ161"/>
    <mergeCell ref="AJ151:AJ155"/>
    <mergeCell ref="AM193:AM197"/>
    <mergeCell ref="AA217:AA221"/>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Z151:Z155"/>
    <mergeCell ref="K366:K371"/>
    <mergeCell ref="AA543:AA547"/>
    <mergeCell ref="AR435:AR439"/>
    <mergeCell ref="B193:C198"/>
    <mergeCell ref="AK236:AK240"/>
    <mergeCell ref="AF477:AF481"/>
    <mergeCell ref="A809:A813"/>
    <mergeCell ref="H817:H820"/>
    <mergeCell ref="AR555:AR559"/>
    <mergeCell ref="E585:E590"/>
    <mergeCell ref="AE67:AE71"/>
    <mergeCell ref="AB242:AB246"/>
    <mergeCell ref="AQ789:AQ792"/>
    <mergeCell ref="AJ597:AJ601"/>
    <mergeCell ref="E789:E793"/>
    <mergeCell ref="AD429:AD433"/>
    <mergeCell ref="I109:I114"/>
    <mergeCell ref="W573:W578"/>
    <mergeCell ref="G352:G358"/>
    <mergeCell ref="AI400:AI403"/>
    <mergeCell ref="E193:E198"/>
    <mergeCell ref="N413:N416"/>
    <mergeCell ref="B570:C570"/>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E400:E404"/>
    <mergeCell ref="D585:D590"/>
    <mergeCell ref="AD67:AD71"/>
    <mergeCell ref="AL640:AL644"/>
    <mergeCell ref="G818:G820"/>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M9:AM12"/>
    <mergeCell ref="AD97:AD101"/>
    <mergeCell ref="AI223:AI227"/>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AJ260:AJ264"/>
    <mergeCell ref="B390:C394"/>
    <mergeCell ref="E676:E681"/>
    <mergeCell ref="J804:J808"/>
    <mergeCell ref="AV471:AV475"/>
    <mergeCell ref="J471:J476"/>
    <mergeCell ref="AD91:AD95"/>
    <mergeCell ref="G13:G18"/>
    <mergeCell ref="AK37:AK41"/>
    <mergeCell ref="I324:I330"/>
    <mergeCell ref="AD385:AD388"/>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G151:G156"/>
    <mergeCell ref="AE230:AE234"/>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AN151:AN155"/>
    <mergeCell ref="E489:E494"/>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AM230:AM234"/>
    <mergeCell ref="E61:E66"/>
    <mergeCell ref="H429:H4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D109:D114"/>
    <mergeCell ref="S381:S38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B841:C841"/>
    <mergeCell ref="AK91:AK95"/>
    <mergeCell ref="H573:H578"/>
    <mergeCell ref="B373:C373"/>
    <mergeCell ref="K804:K807"/>
    <mergeCell ref="AM278:AM282"/>
    <mergeCell ref="A278:A283"/>
    <mergeCell ref="G49:G54"/>
    <mergeCell ref="AK385:AK388"/>
    <mergeCell ref="AC254:AC258"/>
    <mergeCell ref="AJ453:AJ457"/>
    <mergeCell ref="K471:K475"/>
    <mergeCell ref="AE317:AE322"/>
    <mergeCell ref="AL809:AL812"/>
    <mergeCell ref="AW603:AW607"/>
    <mergeCell ref="AC465:AC469"/>
    <mergeCell ref="G303:G309"/>
    <mergeCell ref="Z97:Z101"/>
    <mergeCell ref="AE223:AE227"/>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AD242:AD246"/>
    <mergeCell ref="AD217:AD221"/>
    <mergeCell ref="AL519:AL523"/>
    <mergeCell ref="AG585:AG589"/>
    <mergeCell ref="B846:C846"/>
    <mergeCell ref="AH682:AH686"/>
    <mergeCell ref="A609:A614"/>
    <mergeCell ref="AL891:AL892"/>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F223:F228"/>
    <mergeCell ref="K324:K329"/>
    <mergeCell ref="AE345:AE350"/>
    <mergeCell ref="AK567:AK571"/>
    <mergeCell ref="I591:I596"/>
    <mergeCell ref="Z19:Z23"/>
    <mergeCell ref="A640:A645"/>
    <mergeCell ref="AE670:AE674"/>
    <mergeCell ref="AT794:AT797"/>
    <mergeCell ref="AL405:AL408"/>
    <mergeCell ref="H794:H798"/>
    <mergeCell ref="B849:C849"/>
    <mergeCell ref="AB627:AB631"/>
    <mergeCell ref="G395:G399"/>
    <mergeCell ref="AJ799:AJ802"/>
    <mergeCell ref="AL230:AL234"/>
    <mergeCell ref="AM79:AM83"/>
    <mergeCell ref="AV561:AV565"/>
    <mergeCell ref="H585:H590"/>
    <mergeCell ref="G890:G892"/>
    <mergeCell ref="AI73:AI77"/>
    <mergeCell ref="AE242:AE246"/>
    <mergeCell ref="Z477:Z481"/>
    <mergeCell ref="AE236:AE240"/>
    <mergeCell ref="A633:C633"/>
    <mergeCell ref="H789:H793"/>
    <mergeCell ref="K217:K221"/>
    <mergeCell ref="B303:C309"/>
    <mergeCell ref="D25:D30"/>
    <mergeCell ref="AI187:AI191"/>
    <mergeCell ref="B296:C301"/>
    <mergeCell ref="AG429:AG433"/>
    <mergeCell ref="AB331:AB336"/>
    <mergeCell ref="AB85:AB89"/>
    <mergeCell ref="I284:I289"/>
    <mergeCell ref="J133:J138"/>
    <mergeCell ref="J352:J358"/>
    <mergeCell ref="AG770:AG775"/>
    <mergeCell ref="I785:I788"/>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AA133:AA137"/>
    <mergeCell ref="H413:H416"/>
    <mergeCell ref="B860:C860"/>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K175:AK179"/>
    <mergeCell ref="A248:A253"/>
    <mergeCell ref="AQ501:AQ505"/>
    <mergeCell ref="W489:W494"/>
    <mergeCell ref="AL157:AL161"/>
    <mergeCell ref="AC345:AC350"/>
    <mergeCell ref="AF260:AF264"/>
    <mergeCell ref="H700:H705"/>
    <mergeCell ref="F181:F186"/>
    <mergeCell ref="AA459:AA463"/>
    <mergeCell ref="H115:H120"/>
    <mergeCell ref="AC217:AC221"/>
    <mergeCell ref="B317:C323"/>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AS794:AS797"/>
    <mergeCell ref="Z205:Z209"/>
    <mergeCell ref="G794:G798"/>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AT459:AT463"/>
    <mergeCell ref="F519:F524"/>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AS809:AS812"/>
    <mergeCell ref="AJ465:AJ469"/>
    <mergeCell ref="AL223:AL227"/>
    <mergeCell ref="G809:G813"/>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AE266:AE270"/>
    <mergeCell ref="L785:L788"/>
    <mergeCell ref="AB345:AB350"/>
    <mergeCell ref="AE260:AE264"/>
    <mergeCell ref="AM770:AM775"/>
    <mergeCell ref="E181:E186"/>
    <mergeCell ref="B858:C85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G405:G409"/>
    <mergeCell ref="AK603:AK607"/>
    <mergeCell ref="B817:C820"/>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Z310:Z315"/>
    <mergeCell ref="H331:H337"/>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AK324:AK329"/>
    <mergeCell ref="AF11:AF12"/>
    <mergeCell ref="D513:D518"/>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AL13:AL17"/>
    <mergeCell ref="AM49:AM53"/>
    <mergeCell ref="H248:H253"/>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AK676:AK680"/>
    <mergeCell ref="W555:W560"/>
    <mergeCell ref="AK670:AK674"/>
    <mergeCell ref="B260:C265"/>
    <mergeCell ref="B827:C827"/>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M55:AM59"/>
    <mergeCell ref="AB205:AB20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AK13:AK17"/>
    <mergeCell ref="AL49:AL53"/>
    <mergeCell ref="G248:G253"/>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AG809:AG812"/>
    <mergeCell ref="AR603:AR607"/>
    <mergeCell ref="B895:C895"/>
    <mergeCell ref="AB721:AB726"/>
    <mergeCell ref="AM501:AM505"/>
    <mergeCell ref="G272:G277"/>
    <mergeCell ref="AL400:AL403"/>
    <mergeCell ref="B471:C476"/>
    <mergeCell ref="AK615:AK619"/>
    <mergeCell ref="AH157:AH161"/>
    <mergeCell ref="I459:I464"/>
    <mergeCell ref="D115:D120"/>
    <mergeCell ref="AG519:AG523"/>
    <mergeCell ref="A405:A409"/>
    <mergeCell ref="AC682:AC686"/>
    <mergeCell ref="AJ390:AJ393"/>
    <mergeCell ref="AI11:AI12"/>
    <mergeCell ref="J435:J440"/>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G109:G114"/>
    <mergeCell ref="F324:F330"/>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AH223:AH227"/>
    <mergeCell ref="J303:J309"/>
    <mergeCell ref="AC640:AC644"/>
    <mergeCell ref="I525:I530"/>
    <mergeCell ref="AG591:AG595"/>
    <mergeCell ref="J507:J512"/>
    <mergeCell ref="G489:G494"/>
    <mergeCell ref="B109:C114"/>
    <mergeCell ref="AG217:AG221"/>
    <mergeCell ref="D905:G905"/>
    <mergeCell ref="AD417:AD421"/>
    <mergeCell ref="AA49:AA53"/>
    <mergeCell ref="W567:W572"/>
    <mergeCell ref="AL501:AL505"/>
    <mergeCell ref="B564:C564"/>
    <mergeCell ref="AK400:AK403"/>
    <mergeCell ref="AI383:AI384"/>
    <mergeCell ref="AA266:AA270"/>
    <mergeCell ref="AA260:AA264"/>
    <mergeCell ref="H459:H464"/>
    <mergeCell ref="AN109:AN113"/>
    <mergeCell ref="A181:A186"/>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AG603:AG607"/>
    <mergeCell ref="W721:W727"/>
    <mergeCell ref="F817:G817"/>
    <mergeCell ref="AD145:AD149"/>
    <mergeCell ref="G67:G72"/>
    <mergeCell ref="J395:J399"/>
    <mergeCell ref="J429:J434"/>
    <mergeCell ref="G61:G66"/>
    <mergeCell ref="E756:E762"/>
    <mergeCell ref="AM799:AM802"/>
    <mergeCell ref="A799:A803"/>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K405:K408"/>
    <mergeCell ref="F597:F602"/>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B67:C72"/>
    <mergeCell ref="AG324:AG329"/>
    <mergeCell ref="J573:J578"/>
    <mergeCell ref="W640:W645"/>
    <mergeCell ref="E9:G9"/>
    <mergeCell ref="AJ55:AJ59"/>
    <mergeCell ref="I49:I54"/>
    <mergeCell ref="AM385:AM388"/>
    <mergeCell ref="AE254:AE258"/>
    <mergeCell ref="AN61:AN65"/>
    <mergeCell ref="AB97:AB101"/>
    <mergeCell ref="I303:I309"/>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AH199:AH203"/>
    <mergeCell ref="I181:I186"/>
    <mergeCell ref="H381:J381"/>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G352:AG357"/>
    <mergeCell ref="AL471:AL475"/>
    <mergeCell ref="AJ787:AJ788"/>
    <mergeCell ref="AL145:AL149"/>
    <mergeCell ref="A359:A365"/>
    <mergeCell ref="AE483:AE487"/>
    <mergeCell ref="AB115:AB119"/>
    <mergeCell ref="J163:J168"/>
    <mergeCell ref="J794:J798"/>
    <mergeCell ref="AK507:AK511"/>
    <mergeCell ref="AG676:AG680"/>
    <mergeCell ref="B537:C542"/>
    <mergeCell ref="AG670:AG674"/>
    <mergeCell ref="AN405:AN408"/>
    <mergeCell ref="AW441:AW445"/>
    <mergeCell ref="D735:D741"/>
    <mergeCell ref="F67:F72"/>
    <mergeCell ref="I395:I399"/>
    <mergeCell ref="AN230:AN234"/>
    <mergeCell ref="AD519:AD523"/>
    <mergeCell ref="G435:G440"/>
    <mergeCell ref="AA501:AA505"/>
    <mergeCell ref="AK79:AK83"/>
    <mergeCell ref="AK73:AK77"/>
    <mergeCell ref="AG242:AG246"/>
    <mergeCell ref="AQ573:AQ577"/>
    <mergeCell ref="K459:K463"/>
    <mergeCell ref="A266:A271"/>
    <mergeCell ref="F25:F30"/>
    <mergeCell ref="AI429:AI433"/>
    <mergeCell ref="A260:A265"/>
    <mergeCell ref="D603:D608"/>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Z121:Z125"/>
    <mergeCell ref="J242:J247"/>
    <mergeCell ref="B374:C374"/>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AA242:AA246"/>
    <mergeCell ref="H471:H476"/>
    <mergeCell ref="B609:C614"/>
    <mergeCell ref="B847:C847"/>
    <mergeCell ref="E13:E18"/>
    <mergeCell ref="AB385:AB388"/>
    <mergeCell ref="AF352:AF357"/>
    <mergeCell ref="AI787:AI788"/>
    <mergeCell ref="AC809:AC812"/>
    <mergeCell ref="A664:A669"/>
    <mergeCell ref="AK145:AK149"/>
    <mergeCell ref="I728:I734"/>
    <mergeCell ref="K531:K535"/>
    <mergeCell ref="AA115:AA119"/>
    <mergeCell ref="AI501:AI505"/>
    <mergeCell ref="Z447:Z451"/>
    <mergeCell ref="K525:K529"/>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AC405:AC408"/>
    <mergeCell ref="AN199:AN203"/>
    <mergeCell ref="J728:J734"/>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A187:AA191"/>
    <mergeCell ref="AD555:AD559"/>
    <mergeCell ref="AN248:AN252"/>
    <mergeCell ref="AN352:AN357"/>
    <mergeCell ref="AD400:AD403"/>
    <mergeCell ref="AJ579:AJ583"/>
    <mergeCell ref="AK770:AK775"/>
    <mergeCell ref="AV603:AV607"/>
    <mergeCell ref="AS804:AS807"/>
    <mergeCell ref="AB465:AB469"/>
    <mergeCell ref="AD223:AD227"/>
    <mergeCell ref="F303:F309"/>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AG400:AG403"/>
    <mergeCell ref="L413:L416"/>
    <mergeCell ref="AF615:AF619"/>
    <mergeCell ref="AC157:AC161"/>
    <mergeCell ref="AV627:AV631"/>
    <mergeCell ref="J627:J632"/>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AD278:AD282"/>
    <mergeCell ref="B844:C844"/>
    <mergeCell ref="Z145:Z149"/>
    <mergeCell ref="AM756:AM761"/>
    <mergeCell ref="B838:C838"/>
    <mergeCell ref="AK230:AK234"/>
    <mergeCell ref="F429:F434"/>
    <mergeCell ref="D338:D344"/>
    <mergeCell ref="I290:I295"/>
    <mergeCell ref="AJ163:AJ167"/>
    <mergeCell ref="AK441:AK445"/>
    <mergeCell ref="AH73:AH77"/>
    <mergeCell ref="Q413:Q416"/>
    <mergeCell ref="F890:F892"/>
    <mergeCell ref="AC175:AC179"/>
    <mergeCell ref="D157:D162"/>
    <mergeCell ref="AH400:AH403"/>
    <mergeCell ref="A603:A608"/>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G115:G120"/>
    <mergeCell ref="AB217:AB221"/>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C352:AC357"/>
    <mergeCell ref="AH471:AH475"/>
    <mergeCell ref="AA193:AA197"/>
    <mergeCell ref="AF787:AF788"/>
    <mergeCell ref="AJ664:AJ668"/>
    <mergeCell ref="I756:I762"/>
    <mergeCell ref="K597:K601"/>
    <mergeCell ref="H236:H241"/>
    <mergeCell ref="F163:F168"/>
    <mergeCell ref="AI567:AI571"/>
    <mergeCell ref="F794:F798"/>
    <mergeCell ref="AR794:AR797"/>
    <mergeCell ref="AJ405:AJ408"/>
    <mergeCell ref="AS441:AS445"/>
    <mergeCell ref="AQ525:AQ529"/>
    <mergeCell ref="E525:E530"/>
    <mergeCell ref="AM248:AM252"/>
    <mergeCell ref="AL735:AL740"/>
    <mergeCell ref="E395:E399"/>
    <mergeCell ref="AJ230:AJ234"/>
    <mergeCell ref="AT567:AT571"/>
    <mergeCell ref="B874:C874"/>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B700:C705"/>
    <mergeCell ref="AL296:AL300"/>
    <mergeCell ref="D127:D132"/>
    <mergeCell ref="AL303:AL308"/>
    <mergeCell ref="G495:G500"/>
    <mergeCell ref="AN359:AN364"/>
    <mergeCell ref="I688:I693"/>
    <mergeCell ref="Z786:AA786"/>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7:F713"/>
    <mergeCell ref="F700:F705"/>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B352:AB357"/>
    <mergeCell ref="F573:F578"/>
    <mergeCell ref="AE787:AE78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K303:AK308"/>
    <mergeCell ref="AM338:AM343"/>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I169:I174"/>
    <mergeCell ref="AH284:AH288"/>
    <mergeCell ref="AI133:AI137"/>
    <mergeCell ref="Z414:AB414"/>
    <mergeCell ref="H9:J9"/>
    <mergeCell ref="W597:W602"/>
    <mergeCell ref="AD819:AD820"/>
    <mergeCell ref="AN25:AN29"/>
    <mergeCell ref="B338:C344"/>
    <mergeCell ref="AA296:AA300"/>
    <mergeCell ref="AA303:AA308"/>
    <mergeCell ref="D579:D584"/>
    <mergeCell ref="AQ809:AQ812"/>
    <mergeCell ref="AM405:AM408"/>
    <mergeCell ref="AV441:AV445"/>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AC266:AC270"/>
    <mergeCell ref="AB417:AB421"/>
    <mergeCell ref="H714:H720"/>
    <mergeCell ref="J785:J788"/>
    <mergeCell ref="G382:G384"/>
    <mergeCell ref="AJ352:AJ357"/>
    <mergeCell ref="Z400:Z403"/>
    <mergeCell ref="E413:E416"/>
    <mergeCell ref="AJ127:AJ131"/>
    <mergeCell ref="AG390:AG393"/>
    <mergeCell ref="I495:I500"/>
    <mergeCell ref="E664:E669"/>
    <mergeCell ref="D597:D602"/>
    <mergeCell ref="AH483:AH487"/>
    <mergeCell ref="AL415:AL416"/>
    <mergeCell ref="AD359:AD364"/>
    <mergeCell ref="AI609:AI613"/>
    <mergeCell ref="B79:C84"/>
    <mergeCell ref="I67:I72"/>
    <mergeCell ref="G804:G808"/>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391" operator="containsText" dxfId="325" text="VERDE">
      <formula>NOT(ISERROR(SEARCH("VERDE",D229)))</formula>
    </cfRule>
    <cfRule type="containsText" priority="392" operator="containsText" dxfId="324" text="AMARILLO">
      <formula>NOT(ISERROR(SEARCH("AMARILLO",D229)))</formula>
    </cfRule>
    <cfRule type="containsText" priority="393" operator="containsText" dxfId="323" text="ROJO">
      <formula>NOT(ISERROR(SEARCH("ROJO",D229)))</formula>
    </cfRule>
  </conditionalFormatting>
  <conditionalFormatting sqref="D821:D856">
    <cfRule type="cellIs" priority="389" operator="lessThan" dxfId="0" stopIfTrue="1">
      <formula>0</formula>
    </cfRule>
  </conditionalFormatting>
  <conditionalFormatting sqref="D858:D869">
    <cfRule type="cellIs" priority="388" operator="lessThan" dxfId="0" stopIfTrue="1">
      <formula>0</formula>
    </cfRule>
  </conditionalFormatting>
  <conditionalFormatting sqref="D871:D888">
    <cfRule type="cellIs" priority="387" operator="lessThan" dxfId="0" stopIfTrue="1">
      <formula>0</formula>
    </cfRule>
  </conditionalFormatting>
  <conditionalFormatting sqref="D893:D894">
    <cfRule type="cellIs" priority="390" operator="lessThan" dxfId="0" stopIfTrue="1">
      <formula>0</formula>
    </cfRule>
  </conditionalFormatting>
  <conditionalFormatting sqref="D566">
    <cfRule type="cellIs" priority="386" operator="lessThan" dxfId="384" stopIfTrue="1">
      <formula>0</formula>
    </cfRule>
  </conditionalFormatting>
  <conditionalFormatting sqref="D572">
    <cfRule type="cellIs" priority="385" operator="lessThan" dxfId="384" stopIfTrue="1">
      <formula>0</formula>
    </cfRule>
  </conditionalFormatting>
  <conditionalFormatting sqref="D895:D897">
    <cfRule type="cellIs" priority="384" operator="lessThan" dxfId="0" stopIfTrue="1">
      <formula>0</formula>
    </cfRule>
  </conditionalFormatting>
  <conditionalFormatting sqref="E229 P410">
    <cfRule type="containsText" priority="376" operator="containsText" dxfId="325" text="VERDE">
      <formula>NOT(ISERROR(SEARCH("VERDE",E229)))</formula>
    </cfRule>
    <cfRule type="containsText" priority="377" operator="containsText" dxfId="324" text="AMARILLO">
      <formula>NOT(ISERROR(SEARCH("AMARILLO",E229)))</formula>
    </cfRule>
    <cfRule type="containsText" priority="378" operator="containsText" dxfId="323" text="ROJO">
      <formula>NOT(ISERROR(SEARCH("ROJO",E229)))</formula>
    </cfRule>
  </conditionalFormatting>
  <conditionalFormatting sqref="E821:I856">
    <cfRule type="cellIs" priority="253" operator="lessThan" dxfId="0" stopIfTrue="1">
      <formula>0</formula>
    </cfRule>
  </conditionalFormatting>
  <conditionalFormatting sqref="E858:I869">
    <cfRule type="cellIs" priority="252" operator="lessThan" dxfId="0" stopIfTrue="1">
      <formula>0</formula>
    </cfRule>
  </conditionalFormatting>
  <conditionalFormatting sqref="E871:I888">
    <cfRule type="cellIs" priority="251" operator="lessThan" dxfId="0" stopIfTrue="1">
      <formula>0</formula>
    </cfRule>
  </conditionalFormatting>
  <conditionalFormatting sqref="E893:I893 E894:G894 H894:I897">
    <cfRule type="cellIs" priority="369" operator="lessThan" dxfId="0" stopIfTrue="1">
      <formula>0</formula>
    </cfRule>
  </conditionalFormatting>
  <conditionalFormatting sqref="K13:K17">
    <cfRule type="cellIs" priority="379" operator="lessThan" dxfId="0" stopIfTrue="1">
      <formula>0</formula>
    </cfRule>
  </conditionalFormatting>
  <conditionalFormatting sqref="K303:K308 K777:K783">
    <cfRule type="cellIs" priority="365" operator="lessThan" dxfId="0" stopIfTrue="1">
      <formula>0</formula>
    </cfRule>
  </conditionalFormatting>
  <conditionalFormatting sqref="K309">
    <cfRule type="containsText" priority="375" operator="containsText" dxfId="8" text="Falso">
      <formula>NOT(ISERROR(SEARCH("Falso",K309)))</formula>
    </cfRule>
  </conditionalFormatting>
  <conditionalFormatting sqref="K373:K380">
    <cfRule type="cellIs" priority="372" operator="lessThan" dxfId="0" stopIfTrue="1">
      <formula>0</formula>
    </cfRule>
  </conditionalFormatting>
  <conditionalFormatting sqref="K385:K388">
    <cfRule type="cellIs" priority="380" operator="lessThan" dxfId="0" stopIfTrue="1">
      <formula>0</formula>
    </cfRule>
  </conditionalFormatting>
  <conditionalFormatting sqref="K389">
    <cfRule type="containsText" priority="381" operator="containsText" dxfId="8" text="Falso">
      <formula>NOT(ISERROR(SEARCH("Falso",K389)))</formula>
    </cfRule>
  </conditionalFormatting>
  <conditionalFormatting sqref="K394">
    <cfRule type="containsText" priority="371" operator="containsText" dxfId="8" text="Falso">
      <formula>NOT(ISERROR(SEARCH("Falso",K394)))</formula>
    </cfRule>
  </conditionalFormatting>
  <conditionalFormatting sqref="K399 K404 K409">
    <cfRule type="containsText" priority="370" operator="containsText" dxfId="8" text="Falso">
      <formula>NOT(ISERROR(SEARCH("Falso",K399)))</formula>
    </cfRule>
  </conditionalFormatting>
  <conditionalFormatting sqref="K714:K719 K721:K726">
    <cfRule type="cellIs" priority="273" operator="lessThan" dxfId="0" stopIfTrue="1">
      <formula>0</formula>
    </cfRule>
  </conditionalFormatting>
  <conditionalFormatting sqref="K634:K638">
    <cfRule type="cellIs" priority="279" operator="lessThan" dxfId="0" stopIfTrue="1">
      <formula>0</formula>
    </cfRule>
  </conditionalFormatting>
  <conditionalFormatting sqref="K749:K754 K756:K761">
    <cfRule type="cellIs" priority="271" operator="lessThan" dxfId="0" stopIfTrue="1">
      <formula>0</formula>
    </cfRule>
  </conditionalFormatting>
  <conditionalFormatting sqref="K763:K768">
    <cfRule type="cellIs" priority="270" operator="lessThan" dxfId="0" stopIfTrue="1">
      <formula>0</formula>
    </cfRule>
  </conditionalFormatting>
  <conditionalFormatting sqref="K770:K775">
    <cfRule type="cellIs" priority="269" operator="lessThan" dxfId="0" stopIfTrue="1">
      <formula>0</formula>
    </cfRule>
  </conditionalFormatting>
  <conditionalFormatting sqref="K707:K712">
    <cfRule type="cellIs" priority="278" operator="lessThan" dxfId="0" stopIfTrue="1">
      <formula>0</formula>
    </cfRule>
  </conditionalFormatting>
  <conditionalFormatting sqref="K728:K733 K735:K740 K742:K747">
    <cfRule type="cellIs" priority="272" operator="lessThan" dxfId="0" stopIfTrue="1">
      <formula>0</formula>
    </cfRule>
  </conditionalFormatting>
  <conditionalFormatting sqref="K821:K856 M821:O856">
    <cfRule type="cellIs" priority="250" operator="lessThan" dxfId="0" stopIfTrue="1">
      <formula>0</formula>
    </cfRule>
  </conditionalFormatting>
  <conditionalFormatting sqref="K858:K869 M858:N869">
    <cfRule type="cellIs" priority="249" operator="lessThan" dxfId="0" stopIfTrue="1">
      <formula>0</formula>
    </cfRule>
  </conditionalFormatting>
  <conditionalFormatting sqref="K871:K888 M871:N887 M888:O888">
    <cfRule type="cellIs" priority="248" operator="lessThan" dxfId="0" stopIfTrue="1">
      <formula>0</formula>
    </cfRule>
  </conditionalFormatting>
  <conditionalFormatting sqref="K893:K894 M893:N894">
    <cfRule type="cellIs" priority="247" operator="lessThan" dxfId="0" stopIfTrue="1">
      <formula>0</formula>
    </cfRule>
  </conditionalFormatting>
  <conditionalFormatting sqref="P13:P17 P303:P308">
    <cfRule type="containsText" priority="361" operator="containsText" dxfId="131" text="VENCIDO">
      <formula>NOT(ISERROR(SEARCH("VENCIDO",P13)))</formula>
    </cfRule>
    <cfRule type="containsText" priority="362" operator="containsText" dxfId="130" text="VERDE">
      <formula>NOT(ISERROR(SEARCH("VERDE",P13)))</formula>
    </cfRule>
    <cfRule type="containsText" priority="363" operator="containsText" dxfId="129" stopIfTrue="1" text="AMARILLO">
      <formula>NOT(ISERROR(SEARCH("AMARILLO",P13)))</formula>
    </cfRule>
    <cfRule type="containsText" priority="364" operator="containsText" dxfId="128" text="ROJO">
      <formula>NOT(ISERROR(SEARCH("ROJO",P13)))</formula>
    </cfRule>
  </conditionalFormatting>
  <conditionalFormatting sqref="P373:P379">
    <cfRule type="containsText" priority="357" operator="containsText" dxfId="131" text="VENCIDO">
      <formula>NOT(ISERROR(SEARCH("VENCIDO",P373)))</formula>
    </cfRule>
    <cfRule type="containsText" priority="358" operator="containsText" dxfId="130" text="VERDE">
      <formula>NOT(ISERROR(SEARCH("VERDE",P373)))</formula>
    </cfRule>
    <cfRule type="containsText" priority="359" operator="containsText" dxfId="129" stopIfTrue="1" text="AMARILLO">
      <formula>NOT(ISERROR(SEARCH("AMARILLO",P373)))</formula>
    </cfRule>
    <cfRule type="containsText" priority="360" operator="containsText" dxfId="128" text="ROJO">
      <formula>NOT(ISERROR(SEARCH("ROJO",P373)))</formula>
    </cfRule>
  </conditionalFormatting>
  <conditionalFormatting sqref="P385:P388">
    <cfRule type="containsText" priority="353" operator="containsText" dxfId="131" text="VENCIDO">
      <formula>NOT(ISERROR(SEARCH("VENCIDO",P385)))</formula>
    </cfRule>
    <cfRule type="containsText" priority="354" operator="containsText" dxfId="130" text="VERDE">
      <formula>NOT(ISERROR(SEARCH("VERDE",P385)))</formula>
    </cfRule>
    <cfRule type="containsText" priority="355" operator="containsText" dxfId="129" stopIfTrue="1" text="AMARILLO">
      <formula>NOT(ISERROR(SEARCH("AMARILLO",P385)))</formula>
    </cfRule>
    <cfRule type="containsText" priority="356" operator="containsText" dxfId="128" text="ROJO">
      <formula>NOT(ISERROR(SEARCH("ROJO",P385)))</formula>
    </cfRule>
  </conditionalFormatting>
  <conditionalFormatting sqref="P417:P421">
    <cfRule type="containsText" priority="346" operator="containsText" dxfId="131" text="VENCIDO">
      <formula>NOT(ISERROR(SEARCH("VENCIDO",P417)))</formula>
    </cfRule>
    <cfRule type="containsText" priority="347" operator="containsText" dxfId="130" text="VERDE">
      <formula>NOT(ISERROR(SEARCH("VERDE",P417)))</formula>
    </cfRule>
    <cfRule type="containsText" priority="348" operator="containsText" dxfId="129" stopIfTrue="1" text="AMARILLO">
      <formula>NOT(ISERROR(SEARCH("AMARILLO",P417)))</formula>
    </cfRule>
    <cfRule type="containsText" priority="349" operator="containsText" dxfId="128" text="ROJO">
      <formula>NOT(ISERROR(SEARCH("ROJO",P417)))</formula>
    </cfRule>
  </conditionalFormatting>
  <conditionalFormatting sqref="P561:P565">
    <cfRule type="containsText" priority="342" operator="containsText" dxfId="131" text="VENCIDO">
      <formula>NOT(ISERROR(SEARCH("VENCIDO",P561)))</formula>
    </cfRule>
    <cfRule type="containsText" priority="343" operator="containsText" dxfId="130" text="VERDE">
      <formula>NOT(ISERROR(SEARCH("VERDE",P561)))</formula>
    </cfRule>
    <cfRule type="containsText" priority="344" operator="containsText" dxfId="129" stopIfTrue="1" text="AMARILLO">
      <formula>NOT(ISERROR(SEARCH("AMARILLO",P561)))</formula>
    </cfRule>
    <cfRule type="containsText" priority="345" operator="containsText" dxfId="128" text="ROJO">
      <formula>NOT(ISERROR(SEARCH("ROJO",P561)))</formula>
    </cfRule>
  </conditionalFormatting>
  <conditionalFormatting sqref="P707:P712">
    <cfRule type="containsText" priority="274" operator="containsText" dxfId="131" text="VENCIDO">
      <formula>NOT(ISERROR(SEARCH("VENCIDO",P707)))</formula>
    </cfRule>
    <cfRule type="containsText" priority="275" operator="containsText" dxfId="130" text="VERDE">
      <formula>NOT(ISERROR(SEARCH("VERDE",P707)))</formula>
    </cfRule>
    <cfRule type="containsText" priority="276" operator="containsText" dxfId="129" stopIfTrue="1" text="AMARILLO">
      <formula>NOT(ISERROR(SEARCH("AMARILLO",P707)))</formula>
    </cfRule>
    <cfRule type="containsText" priority="277" operator="containsText" dxfId="128" text="ROJO">
      <formula>NOT(ISERROR(SEARCH("ROJO",P707)))</formula>
    </cfRule>
  </conditionalFormatting>
  <conditionalFormatting sqref="P777:P783">
    <cfRule type="containsText" priority="265" operator="containsText" dxfId="131" text="VENCIDO">
      <formula>NOT(ISERROR(SEARCH("VENCIDO",P777)))</formula>
    </cfRule>
    <cfRule type="containsText" priority="266" operator="containsText" dxfId="130" text="VERDE">
      <formula>NOT(ISERROR(SEARCH("VERDE",P777)))</formula>
    </cfRule>
    <cfRule type="containsText" priority="267" operator="containsText" dxfId="129" stopIfTrue="1" text="AMARILLO">
      <formula>NOT(ISERROR(SEARCH("AMARILLO",P777)))</formula>
    </cfRule>
    <cfRule type="containsText" priority="268" operator="containsText" dxfId="128" text="ROJO">
      <formula>NOT(ISERROR(SEARCH("ROJO",P777)))</formula>
    </cfRule>
  </conditionalFormatting>
  <conditionalFormatting sqref="Q833:Q848">
    <cfRule type="containsText" priority="259" operator="containsText" dxfId="325" text="VERDE">
      <formula>NOT(ISERROR(SEARCH("VERDE",Q833)))</formula>
    </cfRule>
    <cfRule type="containsText" priority="260" operator="containsText" dxfId="324" text="AMARILLO">
      <formula>NOT(ISERROR(SEARCH("AMARILLO",Q833)))</formula>
    </cfRule>
    <cfRule type="containsText" priority="261" operator="containsText" dxfId="323" text="ROJO">
      <formula>NOT(ISERROR(SEARCH("ROJO",Q833)))</formula>
    </cfRule>
  </conditionalFormatting>
  <conditionalFormatting sqref="Q821:R832">
    <cfRule type="containsText" priority="350" operator="containsText" dxfId="325" text="VERDE">
      <formula>NOT(ISERROR(SEARCH("VERDE",Q821)))</formula>
    </cfRule>
    <cfRule type="containsText" priority="351" operator="containsText" dxfId="324" text="AMARILLO">
      <formula>NOT(ISERROR(SEARCH("AMARILLO",Q821)))</formula>
    </cfRule>
    <cfRule type="containsText" priority="352" operator="containsText" dxfId="323" text="ROJO">
      <formula>NOT(ISERROR(SEARCH("ROJO",Q821)))</formula>
    </cfRule>
  </conditionalFormatting>
  <conditionalFormatting sqref="AO821:AO827 AO838:AO860 AO868:AO871 AO873 AO875:AO887">
    <cfRule type="expression" priority="366" dxfId="314">
      <formula>$AO821&lt;&gt;#REF!</formula>
    </cfRule>
  </conditionalFormatting>
  <conditionalFormatting sqref="AO828:AO835">
    <cfRule type="expression" priority="382" dxfId="314">
      <formula>$AO828&lt;&gt;#REF!</formula>
    </cfRule>
  </conditionalFormatting>
  <conditionalFormatting sqref="AO836:AO837">
    <cfRule type="expression" priority="264" dxfId="314">
      <formula>$AO836&lt;&gt;#REF!</formula>
    </cfRule>
  </conditionalFormatting>
  <conditionalFormatting sqref="AO861">
    <cfRule type="expression" priority="258" dxfId="314">
      <formula>$AO861&lt;&gt;#REF!</formula>
    </cfRule>
  </conditionalFormatting>
  <conditionalFormatting sqref="AO862:AO866">
    <cfRule type="expression" priority="257" dxfId="314">
      <formula>$AO862&lt;&gt;#REF!</formula>
    </cfRule>
  </conditionalFormatting>
  <conditionalFormatting sqref="AO867">
    <cfRule type="expression" priority="256" dxfId="314">
      <formula>$AO867&lt;&gt;#REF!</formula>
    </cfRule>
  </conditionalFormatting>
  <conditionalFormatting sqref="AO872">
    <cfRule type="expression" priority="255" dxfId="314">
      <formula>$AO872&lt;&gt;#REF!</formula>
    </cfRule>
  </conditionalFormatting>
  <conditionalFormatting sqref="AO874">
    <cfRule type="expression" priority="254" dxfId="314">
      <formula>$AO874&lt;&gt;#REF!</formula>
    </cfRule>
  </conditionalFormatting>
  <conditionalFormatting sqref="AO888">
    <cfRule type="expression" priority="383" dxfId="314">
      <formula>$AO888&lt;&gt;$L888</formula>
    </cfRule>
  </conditionalFormatting>
  <conditionalFormatting sqref="AS417">
    <cfRule type="cellIs" priority="368" operator="greaterThan" dxfId="8">
      <formula>1</formula>
    </cfRule>
  </conditionalFormatting>
  <conditionalFormatting sqref="AS423">
    <cfRule type="cellIs" priority="341" operator="greaterThan" dxfId="8">
      <formula>1</formula>
    </cfRule>
  </conditionalFormatting>
  <conditionalFormatting sqref="AS429">
    <cfRule type="cellIs" priority="339" operator="greaterThan" dxfId="8">
      <formula>1</formula>
    </cfRule>
  </conditionalFormatting>
  <conditionalFormatting sqref="AS435">
    <cfRule type="cellIs" priority="337" operator="greaterThan" dxfId="8">
      <formula>1</formula>
    </cfRule>
  </conditionalFormatting>
  <conditionalFormatting sqref="AS441">
    <cfRule type="cellIs" priority="335" operator="greaterThan" dxfId="8">
      <formula>1</formula>
    </cfRule>
  </conditionalFormatting>
  <conditionalFormatting sqref="AS447">
    <cfRule type="cellIs" priority="333" operator="greaterThan" dxfId="8">
      <formula>1</formula>
    </cfRule>
  </conditionalFormatting>
  <conditionalFormatting sqref="AS453">
    <cfRule type="cellIs" priority="331" operator="greaterThan" dxfId="8">
      <formula>1</formula>
    </cfRule>
  </conditionalFormatting>
  <conditionalFormatting sqref="AS459">
    <cfRule type="cellIs" priority="329" operator="greaterThan" dxfId="8">
      <formula>1</formula>
    </cfRule>
  </conditionalFormatting>
  <conditionalFormatting sqref="AS465">
    <cfRule type="cellIs" priority="327" operator="greaterThan" dxfId="8">
      <formula>1</formula>
    </cfRule>
  </conditionalFormatting>
  <conditionalFormatting sqref="AS471">
    <cfRule type="cellIs" priority="325" operator="greaterThan" dxfId="8">
      <formula>1</formula>
    </cfRule>
  </conditionalFormatting>
  <conditionalFormatting sqref="AS477">
    <cfRule type="cellIs" priority="323" operator="greaterThan" dxfId="8">
      <formula>1</formula>
    </cfRule>
  </conditionalFormatting>
  <conditionalFormatting sqref="AS483">
    <cfRule type="cellIs" priority="321" operator="greaterThan" dxfId="8">
      <formula>1</formula>
    </cfRule>
  </conditionalFormatting>
  <conditionalFormatting sqref="AS489">
    <cfRule type="cellIs" priority="319" operator="greaterThan" dxfId="8">
      <formula>1</formula>
    </cfRule>
  </conditionalFormatting>
  <conditionalFormatting sqref="AS495">
    <cfRule type="cellIs" priority="317" operator="greaterThan" dxfId="8">
      <formula>1</formula>
    </cfRule>
  </conditionalFormatting>
  <conditionalFormatting sqref="AS501">
    <cfRule type="cellIs" priority="315" operator="greaterThan" dxfId="8">
      <formula>1</formula>
    </cfRule>
  </conditionalFormatting>
  <conditionalFormatting sqref="AS507">
    <cfRule type="cellIs" priority="313" operator="greaterThan" dxfId="8">
      <formula>1</formula>
    </cfRule>
  </conditionalFormatting>
  <conditionalFormatting sqref="AS513">
    <cfRule type="cellIs" priority="311" operator="greaterThan" dxfId="8">
      <formula>1</formula>
    </cfRule>
  </conditionalFormatting>
  <conditionalFormatting sqref="AS519">
    <cfRule type="cellIs" priority="309" operator="greaterThan" dxfId="8">
      <formula>1</formula>
    </cfRule>
  </conditionalFormatting>
  <conditionalFormatting sqref="AS525">
    <cfRule type="cellIs" priority="307" operator="greaterThan" dxfId="8">
      <formula>1</formula>
    </cfRule>
  </conditionalFormatting>
  <conditionalFormatting sqref="AS531">
    <cfRule type="cellIs" priority="305" operator="greaterThan" dxfId="8">
      <formula>1</formula>
    </cfRule>
  </conditionalFormatting>
  <conditionalFormatting sqref="AS537">
    <cfRule type="cellIs" priority="303" operator="greaterThan" dxfId="8">
      <formula>1</formula>
    </cfRule>
  </conditionalFormatting>
  <conditionalFormatting sqref="AS543">
    <cfRule type="cellIs" priority="301" operator="greaterThan" dxfId="8">
      <formula>1</formula>
    </cfRule>
  </conditionalFormatting>
  <conditionalFormatting sqref="AS549">
    <cfRule type="cellIs" priority="299" operator="greaterThan" dxfId="8">
      <formula>1</formula>
    </cfRule>
  </conditionalFormatting>
  <conditionalFormatting sqref="AS555">
    <cfRule type="cellIs" priority="297" operator="greaterThan" dxfId="8">
      <formula>1</formula>
    </cfRule>
  </conditionalFormatting>
  <conditionalFormatting sqref="AS561">
    <cfRule type="cellIs" priority="295" operator="greaterThan" dxfId="8">
      <formula>1</formula>
    </cfRule>
  </conditionalFormatting>
  <conditionalFormatting sqref="AS567">
    <cfRule type="cellIs" priority="293" operator="greaterThan" dxfId="8">
      <formula>1</formula>
    </cfRule>
  </conditionalFormatting>
  <conditionalFormatting sqref="AS573">
    <cfRule type="cellIs" priority="288" operator="greaterThan" dxfId="8">
      <formula>1</formula>
    </cfRule>
  </conditionalFormatting>
  <conditionalFormatting sqref="AS579">
    <cfRule type="cellIs" priority="290" operator="greaterThan" dxfId="8">
      <formula>1</formula>
    </cfRule>
  </conditionalFormatting>
  <conditionalFormatting sqref="AS585">
    <cfRule type="cellIs" priority="287" operator="greaterThan" dxfId="8">
      <formula>1</formula>
    </cfRule>
  </conditionalFormatting>
  <conditionalFormatting sqref="AS591">
    <cfRule type="cellIs" priority="285" operator="greaterThan" dxfId="8">
      <formula>1</formula>
    </cfRule>
  </conditionalFormatting>
  <conditionalFormatting sqref="AS597 AS603">
    <cfRule type="cellIs" priority="283" operator="greaterThan" dxfId="8">
      <formula>1</formula>
    </cfRule>
  </conditionalFormatting>
  <conditionalFormatting sqref="AS609 AS615 AS621 AS627">
    <cfRule type="cellIs" priority="281" operator="greaterThan" dxfId="8">
      <formula>1</formula>
    </cfRule>
  </conditionalFormatting>
  <conditionalFormatting sqref="AS780:AS787">
    <cfRule type="cellIs" priority="374" operator="greaterThan" dxfId="8">
      <formula>1</formula>
    </cfRule>
  </conditionalFormatting>
  <conditionalFormatting sqref="AS821:AS856">
    <cfRule type="cellIs" priority="263" operator="greaterThan" dxfId="8">
      <formula>1</formula>
    </cfRule>
  </conditionalFormatting>
  <conditionalFormatting sqref="AT417">
    <cfRule type="cellIs" priority="367" operator="greaterThan" dxfId="121">
      <formula>1</formula>
    </cfRule>
  </conditionalFormatting>
  <conditionalFormatting sqref="AT423">
    <cfRule type="cellIs" priority="340" operator="greaterThan" dxfId="121">
      <formula>1</formula>
    </cfRule>
  </conditionalFormatting>
  <conditionalFormatting sqref="AT429">
    <cfRule type="cellIs" priority="338" operator="greaterThan" dxfId="121">
      <formula>1</formula>
    </cfRule>
  </conditionalFormatting>
  <conditionalFormatting sqref="AT435">
    <cfRule type="cellIs" priority="336" operator="greaterThan" dxfId="121">
      <formula>1</formula>
    </cfRule>
  </conditionalFormatting>
  <conditionalFormatting sqref="AT441">
    <cfRule type="cellIs" priority="334" operator="greaterThan" dxfId="121">
      <formula>1</formula>
    </cfRule>
  </conditionalFormatting>
  <conditionalFormatting sqref="AT447">
    <cfRule type="cellIs" priority="332" operator="greaterThan" dxfId="121">
      <formula>1</formula>
    </cfRule>
  </conditionalFormatting>
  <conditionalFormatting sqref="AT453">
    <cfRule type="cellIs" priority="330" operator="greaterThan" dxfId="121">
      <formula>1</formula>
    </cfRule>
  </conditionalFormatting>
  <conditionalFormatting sqref="AT459">
    <cfRule type="cellIs" priority="328" operator="greaterThan" dxfId="121">
      <formula>1</formula>
    </cfRule>
  </conditionalFormatting>
  <conditionalFormatting sqref="AT465">
    <cfRule type="cellIs" priority="326" operator="greaterThan" dxfId="121">
      <formula>1</formula>
    </cfRule>
  </conditionalFormatting>
  <conditionalFormatting sqref="AT471">
    <cfRule type="cellIs" priority="324" operator="greaterThan" dxfId="121">
      <formula>1</formula>
    </cfRule>
  </conditionalFormatting>
  <conditionalFormatting sqref="AT477">
    <cfRule type="cellIs" priority="322" operator="greaterThan" dxfId="121">
      <formula>1</formula>
    </cfRule>
  </conditionalFormatting>
  <conditionalFormatting sqref="AT483">
    <cfRule type="cellIs" priority="320" operator="greaterThan" dxfId="121">
      <formula>1</formula>
    </cfRule>
  </conditionalFormatting>
  <conditionalFormatting sqref="AT489">
    <cfRule type="cellIs" priority="318" operator="greaterThan" dxfId="121">
      <formula>1</formula>
    </cfRule>
  </conditionalFormatting>
  <conditionalFormatting sqref="AT495">
    <cfRule type="cellIs" priority="316" operator="greaterThan" dxfId="121">
      <formula>1</formula>
    </cfRule>
  </conditionalFormatting>
  <conditionalFormatting sqref="AT501">
    <cfRule type="cellIs" priority="314" operator="greaterThan" dxfId="121">
      <formula>1</formula>
    </cfRule>
  </conditionalFormatting>
  <conditionalFormatting sqref="AT507">
    <cfRule type="cellIs" priority="312" operator="greaterThan" dxfId="121">
      <formula>1</formula>
    </cfRule>
  </conditionalFormatting>
  <conditionalFormatting sqref="AT513">
    <cfRule type="cellIs" priority="310" operator="greaterThan" dxfId="121">
      <formula>1</formula>
    </cfRule>
  </conditionalFormatting>
  <conditionalFormatting sqref="AT519">
    <cfRule type="cellIs" priority="308" operator="greaterThan" dxfId="121">
      <formula>1</formula>
    </cfRule>
  </conditionalFormatting>
  <conditionalFormatting sqref="AT525">
    <cfRule type="cellIs" priority="306" operator="greaterThan" dxfId="121">
      <formula>1</formula>
    </cfRule>
  </conditionalFormatting>
  <conditionalFormatting sqref="AT531">
    <cfRule type="cellIs" priority="304" operator="greaterThan" dxfId="121">
      <formula>1</formula>
    </cfRule>
  </conditionalFormatting>
  <conditionalFormatting sqref="AT537">
    <cfRule type="cellIs" priority="302" operator="greaterThan" dxfId="121">
      <formula>1</formula>
    </cfRule>
  </conditionalFormatting>
  <conditionalFormatting sqref="AT543">
    <cfRule type="cellIs" priority="300" operator="greaterThan" dxfId="121">
      <formula>1</formula>
    </cfRule>
  </conditionalFormatting>
  <conditionalFormatting sqref="AT549">
    <cfRule type="cellIs" priority="298" operator="greaterThan" dxfId="121">
      <formula>1</formula>
    </cfRule>
  </conditionalFormatting>
  <conditionalFormatting sqref="AT555">
    <cfRule type="cellIs" priority="296" operator="greaterThan" dxfId="121">
      <formula>1</formula>
    </cfRule>
  </conditionalFormatting>
  <conditionalFormatting sqref="AT561">
    <cfRule type="cellIs" priority="294" operator="greaterThan" dxfId="121">
      <formula>1</formula>
    </cfRule>
  </conditionalFormatting>
  <conditionalFormatting sqref="AT567">
    <cfRule type="cellIs" priority="292" operator="greaterThan" dxfId="121">
      <formula>1</formula>
    </cfRule>
  </conditionalFormatting>
  <conditionalFormatting sqref="AT573">
    <cfRule type="cellIs" priority="291" operator="greaterThan" dxfId="121">
      <formula>1</formula>
    </cfRule>
  </conditionalFormatting>
  <conditionalFormatting sqref="AT579">
    <cfRule type="cellIs" priority="289" operator="greaterThan" dxfId="121">
      <formula>1</formula>
    </cfRule>
  </conditionalFormatting>
  <conditionalFormatting sqref="AT585">
    <cfRule type="cellIs" priority="286" operator="greaterThan" dxfId="121">
      <formula>1</formula>
    </cfRule>
  </conditionalFormatting>
  <conditionalFormatting sqref="AT591">
    <cfRule type="cellIs" priority="284" operator="greaterThan" dxfId="121">
      <formula>1</formula>
    </cfRule>
  </conditionalFormatting>
  <conditionalFormatting sqref="AT597 AT603">
    <cfRule type="cellIs" priority="282" operator="greaterThan" dxfId="121">
      <formula>1</formula>
    </cfRule>
  </conditionalFormatting>
  <conditionalFormatting sqref="AT609 AT615 AT621 AT627">
    <cfRule type="cellIs" priority="280" operator="greaterThan" dxfId="121">
      <formula>1</formula>
    </cfRule>
  </conditionalFormatting>
  <conditionalFormatting sqref="AT780:AT787">
    <cfRule type="cellIs" priority="373" operator="greaterThan" dxfId="121">
      <formula>1</formula>
    </cfRule>
  </conditionalFormatting>
  <conditionalFormatting sqref="AT821:AT856">
    <cfRule type="cellIs" priority="262" operator="greaterThan" dxfId="121">
      <formula>1</formula>
    </cfRule>
  </conditionalFormatting>
  <conditionalFormatting sqref="K561:K565">
    <cfRule type="cellIs" priority="246" operator="lessThan" dxfId="0" stopIfTrue="1">
      <formula>0</formula>
    </cfRule>
  </conditionalFormatting>
  <conditionalFormatting sqref="K417:K421">
    <cfRule type="cellIs" priority="245" operator="lessThan" dxfId="0" stopIfTrue="1">
      <formula>0</formula>
    </cfRule>
  </conditionalFormatting>
  <conditionalFormatting sqref="K405:K408">
    <cfRule type="cellIs" priority="244" operator="lessThan" dxfId="0" stopIfTrue="1">
      <formula>0</formula>
    </cfRule>
  </conditionalFormatting>
  <conditionalFormatting sqref="K395:K398">
    <cfRule type="cellIs" priority="243" operator="lessThan" dxfId="0" stopIfTrue="1">
      <formula>0</formula>
    </cfRule>
  </conditionalFormatting>
  <conditionalFormatting sqref="K400:K403">
    <cfRule type="cellIs" priority="242" operator="lessThan" dxfId="0" stopIfTrue="1">
      <formula>0</formula>
    </cfRule>
  </conditionalFormatting>
  <conditionalFormatting sqref="K390:K393">
    <cfRule type="cellIs" priority="241" operator="lessThan" dxfId="0" stopIfTrue="1">
      <formula>0</formula>
    </cfRule>
  </conditionalFormatting>
  <conditionalFormatting sqref="P390:P393">
    <cfRule type="containsText" priority="237" operator="containsText" dxfId="131" text="VENCIDO">
      <formula>NOT(ISERROR(SEARCH("VENCIDO",P390)))</formula>
    </cfRule>
    <cfRule type="containsText" priority="238" operator="containsText" dxfId="130" text="VERDE">
      <formula>NOT(ISERROR(SEARCH("VERDE",P390)))</formula>
    </cfRule>
    <cfRule type="containsText" priority="239" operator="containsText" dxfId="129" stopIfTrue="1" text="AMARILLO">
      <formula>NOT(ISERROR(SEARCH("AMARILLO",P390)))</formula>
    </cfRule>
    <cfRule type="containsText" priority="240" operator="containsText" dxfId="128" text="ROJO">
      <formula>NOT(ISERROR(SEARCH("ROJO",P390)))</formula>
    </cfRule>
  </conditionalFormatting>
  <conditionalFormatting sqref="P395:P398">
    <cfRule type="containsText" priority="233" operator="containsText" dxfId="131" text="VENCIDO">
      <formula>NOT(ISERROR(SEARCH("VENCIDO",P395)))</formula>
    </cfRule>
    <cfRule type="containsText" priority="234" operator="containsText" dxfId="130" text="VERDE">
      <formula>NOT(ISERROR(SEARCH("VERDE",P395)))</formula>
    </cfRule>
    <cfRule type="containsText" priority="235" operator="containsText" dxfId="129" stopIfTrue="1" text="AMARILLO">
      <formula>NOT(ISERROR(SEARCH("AMARILLO",P395)))</formula>
    </cfRule>
    <cfRule type="containsText" priority="236" operator="containsText" dxfId="128" text="ROJO">
      <formula>NOT(ISERROR(SEARCH("ROJO",P395)))</formula>
    </cfRule>
  </conditionalFormatting>
  <conditionalFormatting sqref="P400:P403">
    <cfRule type="containsText" priority="229" operator="containsText" dxfId="131" text="VENCIDO">
      <formula>NOT(ISERROR(SEARCH("VENCIDO",P400)))</formula>
    </cfRule>
    <cfRule type="containsText" priority="230" operator="containsText" dxfId="130" text="VERDE">
      <formula>NOT(ISERROR(SEARCH("VERDE",P400)))</formula>
    </cfRule>
    <cfRule type="containsText" priority="231" operator="containsText" dxfId="129" stopIfTrue="1" text="AMARILLO">
      <formula>NOT(ISERROR(SEARCH("AMARILLO",P400)))</formula>
    </cfRule>
    <cfRule type="containsText" priority="232" operator="containsText" dxfId="128" text="ROJO">
      <formula>NOT(ISERROR(SEARCH("ROJO",P400)))</formula>
    </cfRule>
  </conditionalFormatting>
  <conditionalFormatting sqref="P405:P408">
    <cfRule type="containsText" priority="225" operator="containsText" dxfId="131" text="VENCIDO">
      <formula>NOT(ISERROR(SEARCH("VENCIDO",P405)))</formula>
    </cfRule>
    <cfRule type="containsText" priority="226" operator="containsText" dxfId="130" text="VERDE">
      <formula>NOT(ISERROR(SEARCH("VERDE",P405)))</formula>
    </cfRule>
    <cfRule type="containsText" priority="227" operator="containsText" dxfId="129" stopIfTrue="1" text="AMARILLO">
      <formula>NOT(ISERROR(SEARCH("AMARILLO",P405)))</formula>
    </cfRule>
    <cfRule type="containsText" priority="228" operator="containsText" dxfId="128" text="ROJO">
      <formula>NOT(ISERROR(SEARCH("ROJO",P405)))</formula>
    </cfRule>
  </conditionalFormatting>
  <conditionalFormatting sqref="K640:K644 K646:K650 K652:K656 K658:K662 K664:K668 K670:K674 K676:K680 K682:K686 K688:K692 K694:K698 K700:K704">
    <cfRule type="cellIs" priority="181"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24"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20" operator="containsText" dxfId="131" text="VENCIDO">
      <formula>NOT(ISERROR(SEARCH("VENCIDO",P19)))</formula>
    </cfRule>
    <cfRule type="containsText" priority="221" operator="containsText" dxfId="130" text="VERDE">
      <formula>NOT(ISERROR(SEARCH("VERDE",P19)))</formula>
    </cfRule>
    <cfRule type="containsText" priority="222" operator="containsText" dxfId="129" stopIfTrue="1" text="AMARILLO">
      <formula>NOT(ISERROR(SEARCH("AMARILLO",P19)))</formula>
    </cfRule>
    <cfRule type="containsText" priority="223" operator="containsText" dxfId="128" text="ROJO">
      <formula>NOT(ISERROR(SEARCH("ROJO",P19)))</formula>
    </cfRule>
  </conditionalFormatting>
  <conditionalFormatting sqref="K230:K234 K236:K240 K242:K246 K248:K252 K254:K258 K260:K264 K266:K270 K272:K276 K278:K282 K284:K288 K290:K294 K296:K300">
    <cfRule type="cellIs" priority="219" operator="lessThan" dxfId="0" stopIfTrue="1">
      <formula>0</formula>
    </cfRule>
  </conditionalFormatting>
  <conditionalFormatting sqref="P230:P234 P236:P240 P242:P246 P248:P252 P254:P258 P260:P264 P266:P270 P272:P276 P278:P282 P284:P288 P290:P294 P296:P300">
    <cfRule type="containsText" priority="215" operator="containsText" dxfId="131" text="VENCIDO">
      <formula>NOT(ISERROR(SEARCH("VENCIDO",P230)))</formula>
    </cfRule>
    <cfRule type="containsText" priority="216" operator="containsText" dxfId="130" text="VERDE">
      <formula>NOT(ISERROR(SEARCH("VERDE",P230)))</formula>
    </cfRule>
    <cfRule type="containsText" priority="217" operator="containsText" dxfId="129" stopIfTrue="1" text="AMARILLO">
      <formula>NOT(ISERROR(SEARCH("AMARILLO",P230)))</formula>
    </cfRule>
    <cfRule type="containsText" priority="218" operator="containsText" dxfId="128" text="ROJO">
      <formula>NOT(ISERROR(SEARCH("ROJO",P230)))</formula>
    </cfRule>
  </conditionalFormatting>
  <conditionalFormatting sqref="K316 K323 K330 K337 K344 K351 K358 K365 K372">
    <cfRule type="containsText" priority="214" operator="containsText" dxfId="8" text="Falso">
      <formula>NOT(ISERROR(SEARCH("Falso",K316)))</formula>
    </cfRule>
  </conditionalFormatting>
  <conditionalFormatting sqref="P310:P315 P317:P322 P324:P329 P331:P336 P338:P343 P345:P350 P352:P357 P359:P364 P366:P371">
    <cfRule type="containsText" priority="210" operator="containsText" dxfId="131" text="VENCIDO">
      <formula>NOT(ISERROR(SEARCH("VENCIDO",P310)))</formula>
    </cfRule>
    <cfRule type="containsText" priority="211" operator="containsText" dxfId="130" text="VERDE">
      <formula>NOT(ISERROR(SEARCH("VERDE",P310)))</formula>
    </cfRule>
    <cfRule type="containsText" priority="212" operator="containsText" dxfId="129" stopIfTrue="1" text="AMARILLO">
      <formula>NOT(ISERROR(SEARCH("AMARILLO",P310)))</formula>
    </cfRule>
    <cfRule type="containsText" priority="213" operator="containsText" dxfId="128" text="ROJO">
      <formula>NOT(ISERROR(SEARCH("ROJO",P310)))</formula>
    </cfRule>
  </conditionalFormatting>
  <conditionalFormatting sqref="K310:K315">
    <cfRule type="cellIs" priority="209" operator="lessThan" dxfId="0" stopIfTrue="1">
      <formula>0</formula>
    </cfRule>
  </conditionalFormatting>
  <conditionalFormatting sqref="K317:K322">
    <cfRule type="cellIs" priority="208" operator="lessThan" dxfId="0" stopIfTrue="1">
      <formula>0</formula>
    </cfRule>
  </conditionalFormatting>
  <conditionalFormatting sqref="K324:K329">
    <cfRule type="cellIs" priority="207" operator="lessThan" dxfId="0" stopIfTrue="1">
      <formula>0</formula>
    </cfRule>
  </conditionalFormatting>
  <conditionalFormatting sqref="K331:K336">
    <cfRule type="cellIs" priority="206" operator="lessThan" dxfId="0" stopIfTrue="1">
      <formula>0</formula>
    </cfRule>
  </conditionalFormatting>
  <conditionalFormatting sqref="K338:K343">
    <cfRule type="cellIs" priority="205" operator="lessThan" dxfId="0" stopIfTrue="1">
      <formula>0</formula>
    </cfRule>
  </conditionalFormatting>
  <conditionalFormatting sqref="K345:K350">
    <cfRule type="cellIs" priority="204" operator="lessThan" dxfId="0" stopIfTrue="1">
      <formula>0</formula>
    </cfRule>
  </conditionalFormatting>
  <conditionalFormatting sqref="K352:K357">
    <cfRule type="cellIs" priority="203" operator="lessThan" dxfId="0" stopIfTrue="1">
      <formula>0</formula>
    </cfRule>
  </conditionalFormatting>
  <conditionalFormatting sqref="K359:K364">
    <cfRule type="cellIs" priority="202" operator="lessThan" dxfId="0" stopIfTrue="1">
      <formula>0</formula>
    </cfRule>
  </conditionalFormatting>
  <conditionalFormatting sqref="K366:K371">
    <cfRule type="cellIs" priority="201"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197" operator="containsText" dxfId="131" text="VENCIDO">
      <formula>NOT(ISERROR(SEARCH("VENCIDO",P423)))</formula>
    </cfRule>
    <cfRule type="containsText" priority="198" operator="containsText" dxfId="130" text="VERDE">
      <formula>NOT(ISERROR(SEARCH("VERDE",P423)))</formula>
    </cfRule>
    <cfRule type="containsText" priority="199" operator="containsText" dxfId="129" stopIfTrue="1" text="AMARILLO">
      <formula>NOT(ISERROR(SEARCH("AMARILLO",P423)))</formula>
    </cfRule>
    <cfRule type="containsText" priority="200"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196" operator="lessThan" dxfId="0" stopIfTrue="1">
      <formula>0</formula>
    </cfRule>
  </conditionalFormatting>
  <conditionalFormatting sqref="P567:P571">
    <cfRule type="containsText" priority="192" operator="containsText" dxfId="131" text="VENCIDO">
      <formula>NOT(ISERROR(SEARCH("VENCIDO",P567)))</formula>
    </cfRule>
    <cfRule type="containsText" priority="193" operator="containsText" dxfId="130" text="VERDE">
      <formula>NOT(ISERROR(SEARCH("VERDE",P567)))</formula>
    </cfRule>
    <cfRule type="containsText" priority="194" operator="containsText" dxfId="129" stopIfTrue="1" text="AMARILLO">
      <formula>NOT(ISERROR(SEARCH("AMARILLO",P567)))</formula>
    </cfRule>
    <cfRule type="containsText" priority="195" operator="containsText" dxfId="128" text="ROJO">
      <formula>NOT(ISERROR(SEARCH("ROJO",P567)))</formula>
    </cfRule>
  </conditionalFormatting>
  <conditionalFormatting sqref="K567:K571">
    <cfRule type="cellIs" priority="191" operator="lessThan" dxfId="0" stopIfTrue="1">
      <formula>0</formula>
    </cfRule>
  </conditionalFormatting>
  <conditionalFormatting sqref="P573:P577 P579:P583 P585:P589 P591:P595 P597:P601 P603:P607 P609:P613 P615:P619 P621:P625 P627:P631">
    <cfRule type="containsText" priority="187" operator="containsText" dxfId="131" text="VENCIDO">
      <formula>NOT(ISERROR(SEARCH("VENCIDO",P573)))</formula>
    </cfRule>
    <cfRule type="containsText" priority="188" operator="containsText" dxfId="130" text="VERDE">
      <formula>NOT(ISERROR(SEARCH("VERDE",P573)))</formula>
    </cfRule>
    <cfRule type="containsText" priority="189" operator="containsText" dxfId="129" stopIfTrue="1" text="AMARILLO">
      <formula>NOT(ISERROR(SEARCH("AMARILLO",P573)))</formula>
    </cfRule>
    <cfRule type="containsText" priority="190" operator="containsText" dxfId="128" text="ROJO">
      <formula>NOT(ISERROR(SEARCH("ROJO",P573)))</formula>
    </cfRule>
  </conditionalFormatting>
  <conditionalFormatting sqref="K573:K577 K579:K583 K585:K589 K591:K595 K597:K601 K603:K607 K609:K613 K615:K619 K621:K625 K627:K631">
    <cfRule type="cellIs" priority="186" operator="lessThan" dxfId="0" stopIfTrue="1">
      <formula>0</formula>
    </cfRule>
  </conditionalFormatting>
  <conditionalFormatting sqref="P634:P638">
    <cfRule type="containsText" priority="182" operator="containsText" dxfId="131" text="VENCIDO">
      <formula>NOT(ISERROR(SEARCH("VENCIDO",P634)))</formula>
    </cfRule>
    <cfRule type="containsText" priority="183" operator="containsText" dxfId="130" text="VERDE">
      <formula>NOT(ISERROR(SEARCH("VERDE",P634)))</formula>
    </cfRule>
    <cfRule type="containsText" priority="184" operator="containsText" dxfId="129" stopIfTrue="1" text="AMARILLO">
      <formula>NOT(ISERROR(SEARCH("AMARILLO",P634)))</formula>
    </cfRule>
    <cfRule type="containsText" priority="185" operator="containsText" dxfId="128" text="ROJO">
      <formula>NOT(ISERROR(SEARCH("ROJO",P634)))</formula>
    </cfRule>
  </conditionalFormatting>
  <conditionalFormatting sqref="P640:P644 P646:P650 P652:P656 P658:P662 P664:P668 P670:P674 P676:P680 P682:P686 P688:P692 P694:P698 P700:P704">
    <cfRule type="containsText" priority="177" operator="containsText" dxfId="131" text="VENCIDO">
      <formula>NOT(ISERROR(SEARCH("VENCIDO",P640)))</formula>
    </cfRule>
    <cfRule type="containsText" priority="178" operator="containsText" dxfId="130" text="VERDE">
      <formula>NOT(ISERROR(SEARCH("VERDE",P640)))</formula>
    </cfRule>
    <cfRule type="containsText" priority="179" operator="containsText" dxfId="129" stopIfTrue="1" text="AMARILLO">
      <formula>NOT(ISERROR(SEARCH("AMARILLO",P640)))</formula>
    </cfRule>
    <cfRule type="containsText" priority="180" operator="containsText" dxfId="128" text="ROJO">
      <formula>NOT(ISERROR(SEARCH("ROJO",P640)))</formula>
    </cfRule>
  </conditionalFormatting>
  <conditionalFormatting sqref="P714:P719">
    <cfRule type="containsText" priority="173" operator="containsText" dxfId="131" text="VENCIDO">
      <formula>NOT(ISERROR(SEARCH("VENCIDO",P714)))</formula>
    </cfRule>
    <cfRule type="containsText" priority="174" operator="containsText" dxfId="130" text="VERDE">
      <formula>NOT(ISERROR(SEARCH("VERDE",P714)))</formula>
    </cfRule>
    <cfRule type="containsText" priority="175" operator="containsText" dxfId="129" stopIfTrue="1" text="AMARILLO">
      <formula>NOT(ISERROR(SEARCH("AMARILLO",P714)))</formula>
    </cfRule>
    <cfRule type="containsText" priority="176" operator="containsText" dxfId="128" text="ROJO">
      <formula>NOT(ISERROR(SEARCH("ROJO",P714)))</formula>
    </cfRule>
  </conditionalFormatting>
  <conditionalFormatting sqref="P721:P726">
    <cfRule type="containsText" priority="169" operator="containsText" dxfId="131" text="VENCIDO">
      <formula>NOT(ISERROR(SEARCH("VENCIDO",P721)))</formula>
    </cfRule>
    <cfRule type="containsText" priority="170" operator="containsText" dxfId="130" text="VERDE">
      <formula>NOT(ISERROR(SEARCH("VERDE",P721)))</formula>
    </cfRule>
    <cfRule type="containsText" priority="171" operator="containsText" dxfId="129" stopIfTrue="1" text="AMARILLO">
      <formula>NOT(ISERROR(SEARCH("AMARILLO",P721)))</formula>
    </cfRule>
    <cfRule type="containsText" priority="172" operator="containsText" dxfId="128" text="ROJO">
      <formula>NOT(ISERROR(SEARCH("ROJO",P721)))</formula>
    </cfRule>
  </conditionalFormatting>
  <conditionalFormatting sqref="P728:P733">
    <cfRule type="containsText" priority="165" operator="containsText" dxfId="131" text="VENCIDO">
      <formula>NOT(ISERROR(SEARCH("VENCIDO",P728)))</formula>
    </cfRule>
    <cfRule type="containsText" priority="166" operator="containsText" dxfId="130" text="VERDE">
      <formula>NOT(ISERROR(SEARCH("VERDE",P728)))</formula>
    </cfRule>
    <cfRule type="containsText" priority="167" operator="containsText" dxfId="129" stopIfTrue="1" text="AMARILLO">
      <formula>NOT(ISERROR(SEARCH("AMARILLO",P728)))</formula>
    </cfRule>
    <cfRule type="containsText" priority="168" operator="containsText" dxfId="128" text="ROJO">
      <formula>NOT(ISERROR(SEARCH("ROJO",P728)))</formula>
    </cfRule>
  </conditionalFormatting>
  <conditionalFormatting sqref="P735:P740">
    <cfRule type="containsText" priority="161" operator="containsText" dxfId="131" text="VENCIDO">
      <formula>NOT(ISERROR(SEARCH("VENCIDO",P735)))</formula>
    </cfRule>
    <cfRule type="containsText" priority="162" operator="containsText" dxfId="130" text="VERDE">
      <formula>NOT(ISERROR(SEARCH("VERDE",P735)))</formula>
    </cfRule>
    <cfRule type="containsText" priority="163" operator="containsText" dxfId="129" stopIfTrue="1" text="AMARILLO">
      <formula>NOT(ISERROR(SEARCH("AMARILLO",P735)))</formula>
    </cfRule>
    <cfRule type="containsText" priority="164" operator="containsText" dxfId="128" text="ROJO">
      <formula>NOT(ISERROR(SEARCH("ROJO",P735)))</formula>
    </cfRule>
  </conditionalFormatting>
  <conditionalFormatting sqref="P742:P747">
    <cfRule type="containsText" priority="157" operator="containsText" dxfId="131" text="VENCIDO">
      <formula>NOT(ISERROR(SEARCH("VENCIDO",P742)))</formula>
    </cfRule>
    <cfRule type="containsText" priority="158" operator="containsText" dxfId="130" text="VERDE">
      <formula>NOT(ISERROR(SEARCH("VERDE",P742)))</formula>
    </cfRule>
    <cfRule type="containsText" priority="159" operator="containsText" dxfId="129" stopIfTrue="1" text="AMARILLO">
      <formula>NOT(ISERROR(SEARCH("AMARILLO",P742)))</formula>
    </cfRule>
    <cfRule type="containsText" priority="160" operator="containsText" dxfId="128" text="ROJO">
      <formula>NOT(ISERROR(SEARCH("ROJO",P742)))</formula>
    </cfRule>
  </conditionalFormatting>
  <conditionalFormatting sqref="P749:P754">
    <cfRule type="containsText" priority="153" operator="containsText" dxfId="131" text="VENCIDO">
      <formula>NOT(ISERROR(SEARCH("VENCIDO",P749)))</formula>
    </cfRule>
    <cfRule type="containsText" priority="154" operator="containsText" dxfId="130" text="VERDE">
      <formula>NOT(ISERROR(SEARCH("VERDE",P749)))</formula>
    </cfRule>
    <cfRule type="containsText" priority="155" operator="containsText" dxfId="129" stopIfTrue="1" text="AMARILLO">
      <formula>NOT(ISERROR(SEARCH("AMARILLO",P749)))</formula>
    </cfRule>
    <cfRule type="containsText" priority="156" operator="containsText" dxfId="128" text="ROJO">
      <formula>NOT(ISERROR(SEARCH("ROJO",P749)))</formula>
    </cfRule>
  </conditionalFormatting>
  <conditionalFormatting sqref="P756:P761">
    <cfRule type="containsText" priority="149" operator="containsText" dxfId="131" text="VENCIDO">
      <formula>NOT(ISERROR(SEARCH("VENCIDO",P756)))</formula>
    </cfRule>
    <cfRule type="containsText" priority="150" operator="containsText" dxfId="130" text="VERDE">
      <formula>NOT(ISERROR(SEARCH("VERDE",P756)))</formula>
    </cfRule>
    <cfRule type="containsText" priority="151" operator="containsText" dxfId="129" stopIfTrue="1" text="AMARILLO">
      <formula>NOT(ISERROR(SEARCH("AMARILLO",P756)))</formula>
    </cfRule>
    <cfRule type="containsText" priority="152" operator="containsText" dxfId="128" text="ROJO">
      <formula>NOT(ISERROR(SEARCH("ROJO",P756)))</formula>
    </cfRule>
  </conditionalFormatting>
  <conditionalFormatting sqref="P763:P768">
    <cfRule type="containsText" priority="145" operator="containsText" dxfId="131" text="VENCIDO">
      <formula>NOT(ISERROR(SEARCH("VENCIDO",P763)))</formula>
    </cfRule>
    <cfRule type="containsText" priority="146" operator="containsText" dxfId="130" text="VERDE">
      <formula>NOT(ISERROR(SEARCH("VERDE",P763)))</formula>
    </cfRule>
    <cfRule type="containsText" priority="147" operator="containsText" dxfId="129" stopIfTrue="1" text="AMARILLO">
      <formula>NOT(ISERROR(SEARCH("AMARILLO",P763)))</formula>
    </cfRule>
    <cfRule type="containsText" priority="148" operator="containsText" dxfId="128" text="ROJO">
      <formula>NOT(ISERROR(SEARCH("ROJO",P763)))</formula>
    </cfRule>
  </conditionalFormatting>
  <conditionalFormatting sqref="P770:P775">
    <cfRule type="containsText" priority="141" operator="containsText" dxfId="131" text="VENCIDO">
      <formula>NOT(ISERROR(SEARCH("VENCIDO",P770)))</formula>
    </cfRule>
    <cfRule type="containsText" priority="142" operator="containsText" dxfId="130" text="VERDE">
      <formula>NOT(ISERROR(SEARCH("VERDE",P770)))</formula>
    </cfRule>
    <cfRule type="containsText" priority="143" operator="containsText" dxfId="129" stopIfTrue="1" text="AMARILLO">
      <formula>NOT(ISERROR(SEARCH("AMARILLO",P770)))</formula>
    </cfRule>
    <cfRule type="containsText" priority="144" operator="containsText" dxfId="128" text="ROJO">
      <formula>NOT(ISERROR(SEARCH("ROJO",P770)))</formula>
    </cfRule>
  </conditionalFormatting>
  <conditionalFormatting sqref="P789:P792">
    <cfRule type="containsText" priority="137" operator="containsText" dxfId="131" text="VENCIDO">
      <formula>NOT(ISERROR(SEARCH("VENCIDO",P789)))</formula>
    </cfRule>
    <cfRule type="containsText" priority="138" operator="containsText" dxfId="130" text="VERDE">
      <formula>NOT(ISERROR(SEARCH("VERDE",P789)))</formula>
    </cfRule>
    <cfRule type="containsText" priority="139" operator="containsText" dxfId="129" stopIfTrue="1" text="AMARILLO">
      <formula>NOT(ISERROR(SEARCH("AMARILLO",P789)))</formula>
    </cfRule>
    <cfRule type="containsText" priority="140" operator="containsText" dxfId="128" text="ROJO">
      <formula>NOT(ISERROR(SEARCH("ROJO",P789)))</formula>
    </cfRule>
  </conditionalFormatting>
  <conditionalFormatting sqref="P794:P797">
    <cfRule type="containsText" priority="133" operator="containsText" dxfId="131" text="VENCIDO">
      <formula>NOT(ISERROR(SEARCH("VENCIDO",P794)))</formula>
    </cfRule>
    <cfRule type="containsText" priority="134" operator="containsText" dxfId="130" text="VERDE">
      <formula>NOT(ISERROR(SEARCH("VERDE",P794)))</formula>
    </cfRule>
    <cfRule type="containsText" priority="135" operator="containsText" dxfId="129" stopIfTrue="1" text="AMARILLO">
      <formula>NOT(ISERROR(SEARCH("AMARILLO",P794)))</formula>
    </cfRule>
    <cfRule type="containsText" priority="136" operator="containsText" dxfId="128" text="ROJO">
      <formula>NOT(ISERROR(SEARCH("ROJO",P794)))</formula>
    </cfRule>
  </conditionalFormatting>
  <conditionalFormatting sqref="P799:P802 P804:P807 P809:P812">
    <cfRule type="containsText" priority="129" operator="containsText" dxfId="131" text="VENCIDO">
      <formula>NOT(ISERROR(SEARCH("VENCIDO",P799)))</formula>
    </cfRule>
    <cfRule type="containsText" priority="130" operator="containsText" dxfId="130" text="VERDE">
      <formula>NOT(ISERROR(SEARCH("VERDE",P799)))</formula>
    </cfRule>
    <cfRule type="containsText" priority="131" operator="containsText" dxfId="129" stopIfTrue="1" text="AMARILLO">
      <formula>NOT(ISERROR(SEARCH("AMARILLO",P799)))</formula>
    </cfRule>
    <cfRule type="containsText" priority="132" operator="containsText" dxfId="128" text="ROJO">
      <formula>NOT(ISERROR(SEARCH("ROJO",P799)))</formula>
    </cfRule>
  </conditionalFormatting>
  <conditionalFormatting sqref="K789:K792">
    <cfRule type="cellIs" priority="128" operator="lessThan" dxfId="0" stopIfTrue="1">
      <formula>0</formula>
    </cfRule>
  </conditionalFormatting>
  <conditionalFormatting sqref="K794:K797">
    <cfRule type="cellIs" priority="127" operator="lessThan" dxfId="0" stopIfTrue="1">
      <formula>0</formula>
    </cfRule>
  </conditionalFormatting>
  <conditionalFormatting sqref="K799:K802">
    <cfRule type="cellIs" priority="126" operator="lessThan" dxfId="0" stopIfTrue="1">
      <formula>0</formula>
    </cfRule>
  </conditionalFormatting>
  <conditionalFormatting sqref="K804:K807">
    <cfRule type="cellIs" priority="125" operator="lessThan" dxfId="0" stopIfTrue="1">
      <formula>0</formula>
    </cfRule>
  </conditionalFormatting>
  <conditionalFormatting sqref="K809:K812">
    <cfRule type="cellIs" priority="124" operator="lessThan" dxfId="0" stopIfTrue="1">
      <formula>0</formula>
    </cfRule>
  </conditionalFormatting>
  <conditionalFormatting sqref="AT789">
    <cfRule type="cellIs" priority="123" operator="greaterThan" dxfId="121">
      <formula>1</formula>
    </cfRule>
  </conditionalFormatting>
  <conditionalFormatting sqref="AT794 AT799 AT804 AT809">
    <cfRule type="cellIs" priority="122" operator="greaterThan" dxfId="121">
      <formula>1</formula>
    </cfRule>
  </conditionalFormatting>
  <conditionalFormatting sqref="E895:G897">
    <cfRule type="cellIs" priority="121" operator="lessThan" dxfId="0" stopIfTrue="1">
      <formula>0</formula>
    </cfRule>
  </conditionalFormatting>
  <conditionalFormatting sqref="K895:K897 M895:N897">
    <cfRule type="cellIs" priority="120" operator="lessThan" dxfId="0" stopIfTrue="1">
      <formula>0</formula>
    </cfRule>
  </conditionalFormatting>
  <conditionalFormatting sqref="K301">
    <cfRule type="containsText" priority="119" operator="containsText" dxfId="8" text="Falso">
      <formula>NOT(ISERROR(SEARCH("Falso",K301)))</formula>
    </cfRule>
  </conditionalFormatting>
  <conditionalFormatting sqref="K295">
    <cfRule type="containsText" priority="118" operator="containsText" dxfId="8" text="Falso">
      <formula>NOT(ISERROR(SEARCH("Falso",K295)))</formula>
    </cfRule>
  </conditionalFormatting>
  <conditionalFormatting sqref="K289">
    <cfRule type="containsText" priority="117" operator="containsText" dxfId="8" text="Falso">
      <formula>NOT(ISERROR(SEARCH("Falso",K289)))</formula>
    </cfRule>
  </conditionalFormatting>
  <conditionalFormatting sqref="K283">
    <cfRule type="containsText" priority="116" operator="containsText" dxfId="8" text="Falso">
      <formula>NOT(ISERROR(SEARCH("Falso",K283)))</formula>
    </cfRule>
  </conditionalFormatting>
  <conditionalFormatting sqref="K277">
    <cfRule type="containsText" priority="115" operator="containsText" dxfId="8" text="Falso">
      <formula>NOT(ISERROR(SEARCH("Falso",K277)))</formula>
    </cfRule>
  </conditionalFormatting>
  <conditionalFormatting sqref="K271">
    <cfRule type="containsText" priority="114" operator="containsText" dxfId="8" text="Falso">
      <formula>NOT(ISERROR(SEARCH("Falso",K271)))</formula>
    </cfRule>
  </conditionalFormatting>
  <conditionalFormatting sqref="K265">
    <cfRule type="containsText" priority="113" operator="containsText" dxfId="8" text="Falso">
      <formula>NOT(ISERROR(SEARCH("Falso",K265)))</formula>
    </cfRule>
  </conditionalFormatting>
  <conditionalFormatting sqref="K259">
    <cfRule type="containsText" priority="112" operator="containsText" dxfId="8" text="Falso">
      <formula>NOT(ISERROR(SEARCH("Falso",K259)))</formula>
    </cfRule>
  </conditionalFormatting>
  <conditionalFormatting sqref="K253">
    <cfRule type="containsText" priority="111" operator="containsText" dxfId="8" text="Falso">
      <formula>NOT(ISERROR(SEARCH("Falso",K253)))</formula>
    </cfRule>
  </conditionalFormatting>
  <conditionalFormatting sqref="K247">
    <cfRule type="containsText" priority="110" operator="containsText" dxfId="8" text="Falso">
      <formula>NOT(ISERROR(SEARCH("Falso",K247)))</formula>
    </cfRule>
  </conditionalFormatting>
  <conditionalFormatting sqref="K235">
    <cfRule type="containsText" priority="109" operator="containsText" dxfId="8" text="Falso">
      <formula>NOT(ISERROR(SEARCH("Falso",K235)))</formula>
    </cfRule>
  </conditionalFormatting>
  <conditionalFormatting sqref="K241">
    <cfRule type="containsText" priority="108" operator="containsText" dxfId="8" text="Falso">
      <formula>NOT(ISERROR(SEARCH("Falso",K241)))</formula>
    </cfRule>
  </conditionalFormatting>
  <conditionalFormatting sqref="K228">
    <cfRule type="containsText" priority="107" operator="containsText" dxfId="8" text="Falso">
      <formula>NOT(ISERROR(SEARCH("Falso",K228)))</formula>
    </cfRule>
  </conditionalFormatting>
  <conditionalFormatting sqref="K222">
    <cfRule type="containsText" priority="106" operator="containsText" dxfId="8" text="Falso">
      <formula>NOT(ISERROR(SEARCH("Falso",K222)))</formula>
    </cfRule>
  </conditionalFormatting>
  <conditionalFormatting sqref="K216">
    <cfRule type="containsText" priority="105" operator="containsText" dxfId="8" text="Falso">
      <formula>NOT(ISERROR(SEARCH("Falso",K216)))</formula>
    </cfRule>
  </conditionalFormatting>
  <conditionalFormatting sqref="K210">
    <cfRule type="containsText" priority="104" operator="containsText" dxfId="8" text="Falso">
      <formula>NOT(ISERROR(SEARCH("Falso",K210)))</formula>
    </cfRule>
  </conditionalFormatting>
  <conditionalFormatting sqref="K204">
    <cfRule type="containsText" priority="103" operator="containsText" dxfId="8" text="Falso">
      <formula>NOT(ISERROR(SEARCH("Falso",K204)))</formula>
    </cfRule>
  </conditionalFormatting>
  <conditionalFormatting sqref="K198">
    <cfRule type="containsText" priority="102" operator="containsText" dxfId="8" text="Falso">
      <formula>NOT(ISERROR(SEARCH("Falso",K198)))</formula>
    </cfRule>
  </conditionalFormatting>
  <conditionalFormatting sqref="K192">
    <cfRule type="containsText" priority="101" operator="containsText" dxfId="8" text="Falso">
      <formula>NOT(ISERROR(SEARCH("Falso",K192)))</formula>
    </cfRule>
  </conditionalFormatting>
  <conditionalFormatting sqref="K186">
    <cfRule type="containsText" priority="100" operator="containsText" dxfId="8" text="Falso">
      <formula>NOT(ISERROR(SEARCH("Falso",K186)))</formula>
    </cfRule>
  </conditionalFormatting>
  <conditionalFormatting sqref="K180">
    <cfRule type="containsText" priority="99" operator="containsText" dxfId="8" text="Falso">
      <formula>NOT(ISERROR(SEARCH("Falso",K180)))</formula>
    </cfRule>
  </conditionalFormatting>
  <conditionalFormatting sqref="K174">
    <cfRule type="containsText" priority="98" operator="containsText" dxfId="8" text="Falso">
      <formula>NOT(ISERROR(SEARCH("Falso",K174)))</formula>
    </cfRule>
  </conditionalFormatting>
  <conditionalFormatting sqref="K168">
    <cfRule type="containsText" priority="97" operator="containsText" dxfId="8" text="Falso">
      <formula>NOT(ISERROR(SEARCH("Falso",K168)))</formula>
    </cfRule>
  </conditionalFormatting>
  <conditionalFormatting sqref="K162">
    <cfRule type="containsText" priority="96" operator="containsText" dxfId="8" text="Falso">
      <formula>NOT(ISERROR(SEARCH("Falso",K162)))</formula>
    </cfRule>
  </conditionalFormatting>
  <conditionalFormatting sqref="K156">
    <cfRule type="containsText" priority="95" operator="containsText" dxfId="8" text="Falso">
      <formula>NOT(ISERROR(SEARCH("Falso",K156)))</formula>
    </cfRule>
  </conditionalFormatting>
  <conditionalFormatting sqref="K150">
    <cfRule type="containsText" priority="94" operator="containsText" dxfId="8" text="Falso">
      <formula>NOT(ISERROR(SEARCH("Falso",K150)))</formula>
    </cfRule>
  </conditionalFormatting>
  <conditionalFormatting sqref="K144">
    <cfRule type="containsText" priority="93" operator="containsText" dxfId="8" text="Falso">
      <formula>NOT(ISERROR(SEARCH("Falso",K144)))</formula>
    </cfRule>
  </conditionalFormatting>
  <conditionalFormatting sqref="K138">
    <cfRule type="containsText" priority="92" operator="containsText" dxfId="8" text="Falso">
      <formula>NOT(ISERROR(SEARCH("Falso",K138)))</formula>
    </cfRule>
  </conditionalFormatting>
  <conditionalFormatting sqref="K132">
    <cfRule type="containsText" priority="91" operator="containsText" dxfId="8" text="Falso">
      <formula>NOT(ISERROR(SEARCH("Falso",K132)))</formula>
    </cfRule>
  </conditionalFormatting>
  <conditionalFormatting sqref="K126">
    <cfRule type="containsText" priority="90" operator="containsText" dxfId="8" text="Falso">
      <formula>NOT(ISERROR(SEARCH("Falso",K126)))</formula>
    </cfRule>
  </conditionalFormatting>
  <conditionalFormatting sqref="K120">
    <cfRule type="containsText" priority="89" operator="containsText" dxfId="8" text="Falso">
      <formula>NOT(ISERROR(SEARCH("Falso",K120)))</formula>
    </cfRule>
  </conditionalFormatting>
  <conditionalFormatting sqref="K114">
    <cfRule type="containsText" priority="88" operator="containsText" dxfId="8" text="Falso">
      <formula>NOT(ISERROR(SEARCH("Falso",K114)))</formula>
    </cfRule>
  </conditionalFormatting>
  <conditionalFormatting sqref="K108">
    <cfRule type="containsText" priority="87" operator="containsText" dxfId="8" text="Falso">
      <formula>NOT(ISERROR(SEARCH("Falso",K108)))</formula>
    </cfRule>
  </conditionalFormatting>
  <conditionalFormatting sqref="K102">
    <cfRule type="containsText" priority="86" operator="containsText" dxfId="8" text="Falso">
      <formula>NOT(ISERROR(SEARCH("Falso",K102)))</formula>
    </cfRule>
  </conditionalFormatting>
  <conditionalFormatting sqref="K96">
    <cfRule type="containsText" priority="85" operator="containsText" dxfId="8" text="Falso">
      <formula>NOT(ISERROR(SEARCH("Falso",K96)))</formula>
    </cfRule>
  </conditionalFormatting>
  <conditionalFormatting sqref="K90">
    <cfRule type="containsText" priority="84" operator="containsText" dxfId="8" text="Falso">
      <formula>NOT(ISERROR(SEARCH("Falso",K90)))</formula>
    </cfRule>
  </conditionalFormatting>
  <conditionalFormatting sqref="K84">
    <cfRule type="containsText" priority="83" operator="containsText" dxfId="8" text="Falso">
      <formula>NOT(ISERROR(SEARCH("Falso",K84)))</formula>
    </cfRule>
  </conditionalFormatting>
  <conditionalFormatting sqref="K78">
    <cfRule type="containsText" priority="82" operator="containsText" dxfId="8" text="Falso">
      <formula>NOT(ISERROR(SEARCH("Falso",K78)))</formula>
    </cfRule>
  </conditionalFormatting>
  <conditionalFormatting sqref="K72">
    <cfRule type="containsText" priority="81" operator="containsText" dxfId="8" text="Falso">
      <formula>NOT(ISERROR(SEARCH("Falso",K72)))</formula>
    </cfRule>
  </conditionalFormatting>
  <conditionalFormatting sqref="K66">
    <cfRule type="containsText" priority="80" operator="containsText" dxfId="8" text="Falso">
      <formula>NOT(ISERROR(SEARCH("Falso",K66)))</formula>
    </cfRule>
  </conditionalFormatting>
  <conditionalFormatting sqref="K60">
    <cfRule type="containsText" priority="79" operator="containsText" dxfId="8" text="Falso">
      <formula>NOT(ISERROR(SEARCH("Falso",K60)))</formula>
    </cfRule>
  </conditionalFormatting>
  <conditionalFormatting sqref="K54">
    <cfRule type="containsText" priority="78" operator="containsText" dxfId="8" text="Falso">
      <formula>NOT(ISERROR(SEARCH("Falso",K54)))</formula>
    </cfRule>
  </conditionalFormatting>
  <conditionalFormatting sqref="K48">
    <cfRule type="containsText" priority="77" operator="containsText" dxfId="8" text="Falso">
      <formula>NOT(ISERROR(SEARCH("Falso",K48)))</formula>
    </cfRule>
  </conditionalFormatting>
  <conditionalFormatting sqref="K42">
    <cfRule type="containsText" priority="76" operator="containsText" dxfId="8" text="Falso">
      <formula>NOT(ISERROR(SEARCH("Falso",K42)))</formula>
    </cfRule>
  </conditionalFormatting>
  <conditionalFormatting sqref="K36">
    <cfRule type="containsText" priority="75" operator="containsText" dxfId="8" text="Falso">
      <formula>NOT(ISERROR(SEARCH("Falso",K36)))</formula>
    </cfRule>
  </conditionalFormatting>
  <conditionalFormatting sqref="K30">
    <cfRule type="containsText" priority="74" operator="containsText" dxfId="8" text="Falso">
      <formula>NOT(ISERROR(SEARCH("Falso",K30)))</formula>
    </cfRule>
  </conditionalFormatting>
  <conditionalFormatting sqref="K24">
    <cfRule type="containsText" priority="73" operator="containsText" dxfId="8" text="Falso">
      <formula>NOT(ISERROR(SEARCH("Falso",K24)))</formula>
    </cfRule>
  </conditionalFormatting>
  <conditionalFormatting sqref="K18">
    <cfRule type="containsText" priority="72" operator="containsText" dxfId="8" text="Falso">
      <formula>NOT(ISERROR(SEARCH("Falso",K18)))</formula>
    </cfRule>
  </conditionalFormatting>
  <conditionalFormatting sqref="K422">
    <cfRule type="containsText" priority="71" operator="containsText" dxfId="8" text="Falso">
      <formula>NOT(ISERROR(SEARCH("Falso",K422)))</formula>
    </cfRule>
  </conditionalFormatting>
  <conditionalFormatting sqref="K428">
    <cfRule type="containsText" priority="70" operator="containsText" dxfId="8" text="Falso">
      <formula>NOT(ISERROR(SEARCH("Falso",K428)))</formula>
    </cfRule>
  </conditionalFormatting>
  <conditionalFormatting sqref="K434">
    <cfRule type="containsText" priority="69" operator="containsText" dxfId="8" text="Falso">
      <formula>NOT(ISERROR(SEARCH("Falso",K434)))</formula>
    </cfRule>
  </conditionalFormatting>
  <conditionalFormatting sqref="K440">
    <cfRule type="containsText" priority="68" operator="containsText" dxfId="8" text="Falso">
      <formula>NOT(ISERROR(SEARCH("Falso",K440)))</formula>
    </cfRule>
  </conditionalFormatting>
  <conditionalFormatting sqref="K446">
    <cfRule type="containsText" priority="67" operator="containsText" dxfId="8" text="Falso">
      <formula>NOT(ISERROR(SEARCH("Falso",K446)))</formula>
    </cfRule>
  </conditionalFormatting>
  <conditionalFormatting sqref="K452">
    <cfRule type="containsText" priority="66" operator="containsText" dxfId="8" text="Falso">
      <formula>NOT(ISERROR(SEARCH("Falso",K452)))</formula>
    </cfRule>
  </conditionalFormatting>
  <conditionalFormatting sqref="K458">
    <cfRule type="containsText" priority="65" operator="containsText" dxfId="8" text="Falso">
      <formula>NOT(ISERROR(SEARCH("Falso",K458)))</formula>
    </cfRule>
  </conditionalFormatting>
  <conditionalFormatting sqref="K464">
    <cfRule type="containsText" priority="64" operator="containsText" dxfId="8" text="Falso">
      <formula>NOT(ISERROR(SEARCH("Falso",K464)))</formula>
    </cfRule>
  </conditionalFormatting>
  <conditionalFormatting sqref="K470">
    <cfRule type="containsText" priority="63" operator="containsText" dxfId="8" text="Falso">
      <formula>NOT(ISERROR(SEARCH("Falso",K470)))</formula>
    </cfRule>
  </conditionalFormatting>
  <conditionalFormatting sqref="K476">
    <cfRule type="containsText" priority="62" operator="containsText" dxfId="8" text="Falso">
      <formula>NOT(ISERROR(SEARCH("Falso",K476)))</formula>
    </cfRule>
  </conditionalFormatting>
  <conditionalFormatting sqref="K482">
    <cfRule type="containsText" priority="61" operator="containsText" dxfId="8" text="Falso">
      <formula>NOT(ISERROR(SEARCH("Falso",K482)))</formula>
    </cfRule>
  </conditionalFormatting>
  <conditionalFormatting sqref="K488">
    <cfRule type="containsText" priority="60" operator="containsText" dxfId="8" text="Falso">
      <formula>NOT(ISERROR(SEARCH("Falso",K488)))</formula>
    </cfRule>
  </conditionalFormatting>
  <conditionalFormatting sqref="K494">
    <cfRule type="containsText" priority="59" operator="containsText" dxfId="8" text="Falso">
      <formula>NOT(ISERROR(SEARCH("Falso",K494)))</formula>
    </cfRule>
  </conditionalFormatting>
  <conditionalFormatting sqref="K500">
    <cfRule type="containsText" priority="58" operator="containsText" dxfId="8" text="Falso">
      <formula>NOT(ISERROR(SEARCH("Falso",K500)))</formula>
    </cfRule>
  </conditionalFormatting>
  <conditionalFormatting sqref="K506">
    <cfRule type="containsText" priority="57" operator="containsText" dxfId="8" text="Falso">
      <formula>NOT(ISERROR(SEARCH("Falso",K506)))</formula>
    </cfRule>
  </conditionalFormatting>
  <conditionalFormatting sqref="K512">
    <cfRule type="containsText" priority="56" operator="containsText" dxfId="8" text="Falso">
      <formula>NOT(ISERROR(SEARCH("Falso",K512)))</formula>
    </cfRule>
  </conditionalFormatting>
  <conditionalFormatting sqref="K518">
    <cfRule type="containsText" priority="55" operator="containsText" dxfId="8" text="Falso">
      <formula>NOT(ISERROR(SEARCH("Falso",K518)))</formula>
    </cfRule>
  </conditionalFormatting>
  <conditionalFormatting sqref="K524">
    <cfRule type="containsText" priority="54" operator="containsText" dxfId="8" text="Falso">
      <formula>NOT(ISERROR(SEARCH("Falso",K524)))</formula>
    </cfRule>
  </conditionalFormatting>
  <conditionalFormatting sqref="K530">
    <cfRule type="containsText" priority="53" operator="containsText" dxfId="8" text="Falso">
      <formula>NOT(ISERROR(SEARCH("Falso",K530)))</formula>
    </cfRule>
  </conditionalFormatting>
  <conditionalFormatting sqref="K536">
    <cfRule type="containsText" priority="52" operator="containsText" dxfId="8" text="Falso">
      <formula>NOT(ISERROR(SEARCH("Falso",K536)))</formula>
    </cfRule>
  </conditionalFormatting>
  <conditionalFormatting sqref="K542">
    <cfRule type="containsText" priority="51" operator="containsText" dxfId="8" text="Falso">
      <formula>NOT(ISERROR(SEARCH("Falso",K542)))</formula>
    </cfRule>
  </conditionalFormatting>
  <conditionalFormatting sqref="K548">
    <cfRule type="containsText" priority="50" operator="containsText" dxfId="8" text="Falso">
      <formula>NOT(ISERROR(SEARCH("Falso",K548)))</formula>
    </cfRule>
  </conditionalFormatting>
  <conditionalFormatting sqref="K554">
    <cfRule type="containsText" priority="49" operator="containsText" dxfId="8" text="Falso">
      <formula>NOT(ISERROR(SEARCH("Falso",K554)))</formula>
    </cfRule>
  </conditionalFormatting>
  <conditionalFormatting sqref="K560">
    <cfRule type="containsText" priority="48" operator="containsText" dxfId="8" text="Falso">
      <formula>NOT(ISERROR(SEARCH("Falso",K560)))</formula>
    </cfRule>
  </conditionalFormatting>
  <conditionalFormatting sqref="K566">
    <cfRule type="containsText" priority="47" operator="containsText" dxfId="8" text="Falso">
      <formula>NOT(ISERROR(SEARCH("Falso",K566)))</formula>
    </cfRule>
  </conditionalFormatting>
  <conditionalFormatting sqref="K572">
    <cfRule type="containsText" priority="46" operator="containsText" dxfId="8" text="Falso">
      <formula>NOT(ISERROR(SEARCH("Falso",K572)))</formula>
    </cfRule>
  </conditionalFormatting>
  <conditionalFormatting sqref="K578">
    <cfRule type="containsText" priority="45" operator="containsText" dxfId="8" text="Falso">
      <formula>NOT(ISERROR(SEARCH("Falso",K578)))</formula>
    </cfRule>
  </conditionalFormatting>
  <conditionalFormatting sqref="K584">
    <cfRule type="containsText" priority="44" operator="containsText" dxfId="8" text="Falso">
      <formula>NOT(ISERROR(SEARCH("Falso",K584)))</formula>
    </cfRule>
  </conditionalFormatting>
  <conditionalFormatting sqref="K590">
    <cfRule type="containsText" priority="43" operator="containsText" dxfId="8" text="Falso">
      <formula>NOT(ISERROR(SEARCH("Falso",K590)))</formula>
    </cfRule>
  </conditionalFormatting>
  <conditionalFormatting sqref="K596">
    <cfRule type="containsText" priority="42" operator="containsText" dxfId="8" text="Falso">
      <formula>NOT(ISERROR(SEARCH("Falso",K596)))</formula>
    </cfRule>
  </conditionalFormatting>
  <conditionalFormatting sqref="K602">
    <cfRule type="containsText" priority="41" operator="containsText" dxfId="8" text="Falso">
      <formula>NOT(ISERROR(SEARCH("Falso",K602)))</formula>
    </cfRule>
  </conditionalFormatting>
  <conditionalFormatting sqref="K608">
    <cfRule type="containsText" priority="40" operator="containsText" dxfId="8" text="Falso">
      <formula>NOT(ISERROR(SEARCH("Falso",K608)))</formula>
    </cfRule>
  </conditionalFormatting>
  <conditionalFormatting sqref="K614">
    <cfRule type="containsText" priority="39" operator="containsText" dxfId="8" text="Falso">
      <formula>NOT(ISERROR(SEARCH("Falso",K614)))</formula>
    </cfRule>
  </conditionalFormatting>
  <conditionalFormatting sqref="K620">
    <cfRule type="containsText" priority="38" operator="containsText" dxfId="8" text="Falso">
      <formula>NOT(ISERROR(SEARCH("Falso",K620)))</formula>
    </cfRule>
  </conditionalFormatting>
  <conditionalFormatting sqref="K626">
    <cfRule type="containsText" priority="37" operator="containsText" dxfId="8" text="Falso">
      <formula>NOT(ISERROR(SEARCH("Falso",K626)))</formula>
    </cfRule>
  </conditionalFormatting>
  <conditionalFormatting sqref="K632">
    <cfRule type="containsText" priority="36" operator="containsText" dxfId="8" text="Falso">
      <formula>NOT(ISERROR(SEARCH("Falso",K632)))</formula>
    </cfRule>
  </conditionalFormatting>
  <conditionalFormatting sqref="K639">
    <cfRule type="containsText" priority="35" operator="containsText" dxfId="8" text="Falso">
      <formula>NOT(ISERROR(SEARCH("Falso",K639)))</formula>
    </cfRule>
  </conditionalFormatting>
  <conditionalFormatting sqref="K645">
    <cfRule type="containsText" priority="34" operator="containsText" dxfId="8" text="Falso">
      <formula>NOT(ISERROR(SEARCH("Falso",K645)))</formula>
    </cfRule>
  </conditionalFormatting>
  <conditionalFormatting sqref="K651">
    <cfRule type="containsText" priority="33" operator="containsText" dxfId="8" text="Falso">
      <formula>NOT(ISERROR(SEARCH("Falso",K651)))</formula>
    </cfRule>
  </conditionalFormatting>
  <conditionalFormatting sqref="K657">
    <cfRule type="containsText" priority="32" operator="containsText" dxfId="8" text="Falso">
      <formula>NOT(ISERROR(SEARCH("Falso",K657)))</formula>
    </cfRule>
  </conditionalFormatting>
  <conditionalFormatting sqref="K663">
    <cfRule type="containsText" priority="31" operator="containsText" dxfId="8" text="Falso">
      <formula>NOT(ISERROR(SEARCH("Falso",K663)))</formula>
    </cfRule>
  </conditionalFormatting>
  <conditionalFormatting sqref="K669">
    <cfRule type="containsText" priority="30" operator="containsText" dxfId="8" text="Falso">
      <formula>NOT(ISERROR(SEARCH("Falso",K669)))</formula>
    </cfRule>
  </conditionalFormatting>
  <conditionalFormatting sqref="K675">
    <cfRule type="containsText" priority="29" operator="containsText" dxfId="8" text="Falso">
      <formula>NOT(ISERROR(SEARCH("Falso",K675)))</formula>
    </cfRule>
  </conditionalFormatting>
  <conditionalFormatting sqref="K681">
    <cfRule type="containsText" priority="28" operator="containsText" dxfId="8" text="Falso">
      <formula>NOT(ISERROR(SEARCH("Falso",K681)))</formula>
    </cfRule>
  </conditionalFormatting>
  <conditionalFormatting sqref="K687">
    <cfRule type="containsText" priority="27" operator="containsText" dxfId="8" text="Falso">
      <formula>NOT(ISERROR(SEARCH("Falso",K687)))</formula>
    </cfRule>
  </conditionalFormatting>
  <conditionalFormatting sqref="K693">
    <cfRule type="containsText" priority="26" operator="containsText" dxfId="8" text="Falso">
      <formula>NOT(ISERROR(SEARCH("Falso",K693)))</formula>
    </cfRule>
  </conditionalFormatting>
  <conditionalFormatting sqref="K699">
    <cfRule type="containsText" priority="25" operator="containsText" dxfId="8" text="Falso">
      <formula>NOT(ISERROR(SEARCH("Falso",K699)))</formula>
    </cfRule>
  </conditionalFormatting>
  <conditionalFormatting sqref="K705">
    <cfRule type="containsText" priority="24" operator="containsText" dxfId="8" text="Falso">
      <formula>NOT(ISERROR(SEARCH("Falso",K705)))</formula>
    </cfRule>
  </conditionalFormatting>
  <conditionalFormatting sqref="K713">
    <cfRule type="containsText" priority="23" operator="containsText" dxfId="8" text="Falso">
      <formula>NOT(ISERROR(SEARCH("Falso",K713)))</formula>
    </cfRule>
  </conditionalFormatting>
  <conditionalFormatting sqref="K720">
    <cfRule type="containsText" priority="22" operator="containsText" dxfId="8" text="Falso">
      <formula>NOT(ISERROR(SEARCH("Falso",K720)))</formula>
    </cfRule>
  </conditionalFormatting>
  <conditionalFormatting sqref="K727">
    <cfRule type="containsText" priority="21" operator="containsText" dxfId="8" text="Falso">
      <formula>NOT(ISERROR(SEARCH("Falso",K727)))</formula>
    </cfRule>
  </conditionalFormatting>
  <conditionalFormatting sqref="K734">
    <cfRule type="containsText" priority="20" operator="containsText" dxfId="8" text="Falso">
      <formula>NOT(ISERROR(SEARCH("Falso",K734)))</formula>
    </cfRule>
  </conditionalFormatting>
  <conditionalFormatting sqref="K741">
    <cfRule type="containsText" priority="19" operator="containsText" dxfId="8" text="Falso">
      <formula>NOT(ISERROR(SEARCH("Falso",K741)))</formula>
    </cfRule>
  </conditionalFormatting>
  <conditionalFormatting sqref="K748">
    <cfRule type="containsText" priority="18" operator="containsText" dxfId="8" text="Falso">
      <formula>NOT(ISERROR(SEARCH("Falso",K748)))</formula>
    </cfRule>
  </conditionalFormatting>
  <conditionalFormatting sqref="K755">
    <cfRule type="containsText" priority="17" operator="containsText" dxfId="8" text="Falso">
      <formula>NOT(ISERROR(SEARCH("Falso",K755)))</formula>
    </cfRule>
  </conditionalFormatting>
  <conditionalFormatting sqref="K762">
    <cfRule type="containsText" priority="16" operator="containsText" dxfId="8" text="Falso">
      <formula>NOT(ISERROR(SEARCH("Falso",K762)))</formula>
    </cfRule>
  </conditionalFormatting>
  <conditionalFormatting sqref="K769">
    <cfRule type="containsText" priority="15" operator="containsText" dxfId="8" text="Falso">
      <formula>NOT(ISERROR(SEARCH("Falso",K769)))</formula>
    </cfRule>
  </conditionalFormatting>
  <conditionalFormatting sqref="K776">
    <cfRule type="containsText" priority="14" operator="containsText" dxfId="8" text="Falso">
      <formula>NOT(ISERROR(SEARCH("Falso",K776)))</formula>
    </cfRule>
  </conditionalFormatting>
  <conditionalFormatting sqref="K793">
    <cfRule type="containsText" priority="13" operator="containsText" dxfId="8" text="Falso">
      <formula>NOT(ISERROR(SEARCH("Falso",K793)))</formula>
    </cfRule>
  </conditionalFormatting>
  <conditionalFormatting sqref="K798">
    <cfRule type="containsText" priority="12" operator="containsText" dxfId="8" text="Falso">
      <formula>NOT(ISERROR(SEARCH("Falso",K798)))</formula>
    </cfRule>
  </conditionalFormatting>
  <conditionalFormatting sqref="K803">
    <cfRule type="containsText" priority="11" operator="containsText" dxfId="8" text="Falso">
      <formula>NOT(ISERROR(SEARCH("Falso",K803)))</formula>
    </cfRule>
  </conditionalFormatting>
  <conditionalFormatting sqref="K808">
    <cfRule type="containsText" priority="10" operator="containsText" dxfId="8" text="Falso">
      <formula>NOT(ISERROR(SEARCH("Falso",K808)))</formula>
    </cfRule>
  </conditionalFormatting>
  <conditionalFormatting sqref="K813">
    <cfRule type="containsText" priority="9" operator="containsText" dxfId="8" text="Falso">
      <formula>NOT(ISERROR(SEARCH("Falso",K813)))</formula>
    </cfRule>
  </conditionalFormatting>
  <conditionalFormatting sqref="O858:O869">
    <cfRule type="cellIs" priority="8" operator="lessThan" dxfId="0" stopIfTrue="1">
      <formula>0</formula>
    </cfRule>
  </conditionalFormatting>
  <conditionalFormatting sqref="O871:O887">
    <cfRule type="cellIs" priority="7" operator="lessThan" dxfId="0" stopIfTrue="1">
      <formula>0</formula>
    </cfRule>
  </conditionalFormatting>
  <conditionalFormatting sqref="O893:O897">
    <cfRule type="cellIs" priority="6" operator="lessThan" dxfId="0" stopIfTrue="1">
      <formula>0</formula>
    </cfRule>
  </conditionalFormatting>
  <conditionalFormatting sqref="L888">
    <cfRule type="cellIs" priority="5" operator="lessThan" dxfId="0" stopIfTrue="1">
      <formula>0</formula>
    </cfRule>
  </conditionalFormatting>
  <conditionalFormatting sqref="L821:L856">
    <cfRule type="cellIs" priority="4" operator="lessThan" dxfId="0" stopIfTrue="1">
      <formula>0</formula>
    </cfRule>
  </conditionalFormatting>
  <conditionalFormatting sqref="L858:L869">
    <cfRule type="cellIs" priority="3" operator="lessThan" dxfId="0" stopIfTrue="1">
      <formula>0</formula>
    </cfRule>
  </conditionalFormatting>
  <conditionalFormatting sqref="L871:L887">
    <cfRule type="cellIs" priority="2" operator="lessThan" dxfId="0" stopIfTrue="1">
      <formula>0</formula>
    </cfRule>
  </conditionalFormatting>
  <conditionalFormatting sqref="L893:L897">
    <cfRule type="cellIs" priority="1" operator="lessThan" dxfId="0" stopIfTrue="1">
      <formula>0</formula>
    </cfRule>
  </conditionalFormatting>
  <dataValidations count="3">
    <dataValidation sqref="O278:O279 O284:O285 O292" showDropDown="0" showInputMessage="1" showErrorMessage="1" allowBlank="1" errorTitle="INGRESE LA FECHA" error="FECHA DE VENCIMIENTO" type="date" operator="greaterThan">
      <formula1>39083</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C903:C907 C912:C913" showDropDown="0" showInputMessage="1" showErrorMessage="1" allowBlank="1" type="list">
      <formula1>"SI,NO"</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xl/worksheets/sheet16.xml><?xml version="1.0" encoding="utf-8"?>
<worksheet xmlns="http://schemas.openxmlformats.org/spreadsheetml/2006/main">
  <sheetPr codeName="Hoja26">
    <tabColor theme="9" tint="0.3999755851924192"/>
    <outlinePr summaryBelow="1" summaryRight="1"/>
    <pageSetUpPr/>
  </sheetPr>
  <dimension ref="A1:AZ919"/>
  <sheetViews>
    <sheetView zoomScale="70" zoomScaleNormal="70" workbookViewId="0">
      <selection activeCell="D13" sqref="D13:D18"/>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n"/>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748"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496">
        <f>OCTUBRE!K13</f>
        <v/>
      </c>
      <c r="E13" s="731" t="n"/>
      <c r="F13" s="731" t="n"/>
      <c r="G13" s="730">
        <f>E13+F13</f>
        <v/>
      </c>
      <c r="H13" s="731" t="n"/>
      <c r="I13" s="731" t="n"/>
      <c r="J13" s="732">
        <f>AM13</f>
        <v/>
      </c>
      <c r="K13" s="738">
        <f>+(D13+G13)-(H13+I13+J13)</f>
        <v/>
      </c>
      <c r="L13" s="253" t="n"/>
      <c r="M13" s="254" t="n"/>
      <c r="N13" s="254" t="n"/>
      <c r="O13" s="1183" t="n"/>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inlineStr">
        <is>
          <t>AMAZONAS</t>
        </is>
      </c>
      <c r="AZ13" s="231" t="inlineStr">
        <is>
          <t>ENERO</t>
        </is>
      </c>
    </row>
    <row r="14" ht="18.75" customHeight="1">
      <c r="A14" s="973" t="n"/>
      <c r="B14" s="971" t="n"/>
      <c r="C14" s="972" t="n"/>
      <c r="D14" s="973" t="n"/>
      <c r="E14" s="994" t="n"/>
      <c r="F14" s="994" t="n"/>
      <c r="G14" s="973" t="n"/>
      <c r="H14" s="994" t="n"/>
      <c r="I14" s="994" t="n"/>
      <c r="J14" s="973" t="n"/>
      <c r="K14" s="973" t="n"/>
      <c r="L14" s="253" t="n"/>
      <c r="M14" s="254" t="n"/>
      <c r="N14" s="254" t="n"/>
      <c r="O14" s="1183" t="n"/>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inlineStr">
        <is>
          <t>ANTIOQUIA</t>
        </is>
      </c>
      <c r="AZ14" s="231" t="inlineStr">
        <is>
          <t>OCTUBRE</t>
        </is>
      </c>
    </row>
    <row r="15" ht="18.75" customHeight="1">
      <c r="A15" s="973" t="n"/>
      <c r="B15" s="971" t="n"/>
      <c r="C15" s="972" t="n"/>
      <c r="D15" s="973" t="n"/>
      <c r="E15" s="994" t="n"/>
      <c r="F15" s="994" t="n"/>
      <c r="G15" s="973" t="n"/>
      <c r="H15" s="994" t="n"/>
      <c r="I15" s="994" t="n"/>
      <c r="J15" s="973" t="n"/>
      <c r="K15" s="973" t="n"/>
      <c r="L15" s="253" t="n"/>
      <c r="M15" s="254" t="n"/>
      <c r="N15" s="254" t="n"/>
      <c r="O15" s="1183" t="n"/>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73"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inlineStr">
        <is>
          <t>ATLANTICO</t>
        </is>
      </c>
      <c r="AZ16" s="231" t="inlineStr">
        <is>
          <t>ABRIL</t>
        </is>
      </c>
    </row>
    <row r="17" ht="18.75" customHeight="1">
      <c r="A17" s="973" t="n"/>
      <c r="B17" s="971" t="n"/>
      <c r="C17" s="972" t="n"/>
      <c r="D17" s="973"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inlineStr">
        <is>
          <t>BARRANQUILLA</t>
        </is>
      </c>
      <c r="AZ17" s="231" t="inlineStr">
        <is>
          <t>MAYO</t>
        </is>
      </c>
    </row>
    <row r="18" ht="18.75" customHeight="1">
      <c r="A18" s="975" t="n"/>
      <c r="B18" s="1182" t="n"/>
      <c r="C18" s="1103" t="n"/>
      <c r="D18" s="975"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JUNIO</t>
        </is>
      </c>
    </row>
    <row r="19" ht="18.75" customHeight="1">
      <c r="A19" s="741">
        <f>A13+1</f>
        <v/>
      </c>
      <c r="B19" s="733" t="inlineStr">
        <is>
          <t>Vacuna de Hepatitis B Recombinante Pediátrica - Liquida</t>
        </is>
      </c>
      <c r="C19" s="965" t="n"/>
      <c r="D19" s="496">
        <f>OCTUBRE!K19</f>
        <v/>
      </c>
      <c r="E19" s="731" t="n"/>
      <c r="F19" s="731" t="n"/>
      <c r="G19" s="730">
        <f>E19+F19</f>
        <v/>
      </c>
      <c r="H19" s="731" t="n"/>
      <c r="I19" s="731" t="n"/>
      <c r="J19" s="732">
        <f>AM19</f>
        <v/>
      </c>
      <c r="K19" s="738">
        <f>+(D19+G19)-(H19+I19+J19)</f>
        <v/>
      </c>
      <c r="L19" s="253" t="n"/>
      <c r="M19" s="254" t="n"/>
      <c r="N19" s="254" t="n"/>
      <c r="O19" s="1183" t="n"/>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inlineStr">
        <is>
          <t>BOLIVAR</t>
        </is>
      </c>
      <c r="AZ19" s="231" t="inlineStr">
        <is>
          <t>JULIO</t>
        </is>
      </c>
    </row>
    <row r="20" ht="18.75" customHeight="1">
      <c r="A20" s="973" t="n"/>
      <c r="B20" s="971" t="n"/>
      <c r="C20" s="972" t="n"/>
      <c r="D20" s="973" t="n"/>
      <c r="E20" s="994" t="n"/>
      <c r="F20" s="994" t="n"/>
      <c r="G20" s="973" t="n"/>
      <c r="H20" s="994" t="n"/>
      <c r="I20" s="994" t="n"/>
      <c r="J20" s="973" t="n"/>
      <c r="K20" s="973" t="n"/>
      <c r="L20" s="253" t="n"/>
      <c r="M20" s="254" t="n"/>
      <c r="N20" s="254" t="n"/>
      <c r="O20" s="1183" t="n"/>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73" t="n"/>
      <c r="E21" s="994" t="n"/>
      <c r="F21" s="994" t="n"/>
      <c r="G21" s="973" t="n"/>
      <c r="H21" s="994" t="n"/>
      <c r="I21" s="994" t="n"/>
      <c r="J21" s="973" t="n"/>
      <c r="K21" s="973" t="n"/>
      <c r="L21" s="253" t="n"/>
      <c r="M21" s="254" t="n"/>
      <c r="N21" s="254" t="n"/>
      <c r="O21" s="1183" t="n"/>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inlineStr">
        <is>
          <t>CARTAGENA</t>
        </is>
      </c>
      <c r="AZ21" s="231" t="inlineStr">
        <is>
          <t>AGOSTO</t>
        </is>
      </c>
    </row>
    <row r="22" ht="18.75" customHeight="1">
      <c r="A22" s="973" t="n"/>
      <c r="B22" s="971" t="n"/>
      <c r="C22" s="972" t="n"/>
      <c r="D22" s="973" t="n"/>
      <c r="E22" s="994" t="n"/>
      <c r="F22" s="994" t="n"/>
      <c r="G22" s="973" t="n"/>
      <c r="H22" s="994" t="n"/>
      <c r="I22" s="994" t="n"/>
      <c r="J22" s="973" t="n"/>
      <c r="K22" s="973" t="n"/>
      <c r="L22" s="253" t="n"/>
      <c r="M22" s="254" t="n"/>
      <c r="N22" s="254" t="n"/>
      <c r="O22" s="1183" t="n"/>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inlineStr">
        <is>
          <t>BOYACA</t>
        </is>
      </c>
      <c r="AZ22" s="231" t="inlineStr">
        <is>
          <t>OCTUBRE</t>
        </is>
      </c>
    </row>
    <row r="23" ht="18.75" customHeight="1">
      <c r="A23" s="973" t="n"/>
      <c r="B23" s="971" t="n"/>
      <c r="C23" s="972" t="n"/>
      <c r="D23" s="973"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inlineStr">
        <is>
          <t>CAQUETA</t>
        </is>
      </c>
      <c r="AZ23" s="231" t="inlineStr">
        <is>
          <t>NOVIEMBRE</t>
        </is>
      </c>
    </row>
    <row r="24" ht="18.75" customHeight="1">
      <c r="A24" s="975" t="n"/>
      <c r="B24" s="1182" t="n"/>
      <c r="C24" s="1103" t="n"/>
      <c r="D24" s="975"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496">
        <f>OCTUBRE!K25</f>
        <v/>
      </c>
      <c r="E25" s="731" t="n"/>
      <c r="F25" s="731" t="n"/>
      <c r="G25" s="730">
        <f>E25+F25</f>
        <v/>
      </c>
      <c r="H25" s="731" t="n"/>
      <c r="I25" s="731" t="n"/>
      <c r="J25" s="732">
        <f>AM25</f>
        <v/>
      </c>
      <c r="K25" s="738">
        <f>+(D25+G25)-(H25+I25+J25)</f>
        <v/>
      </c>
      <c r="L25" s="253" t="n"/>
      <c r="M25" s="254" t="n"/>
      <c r="N25" s="254" t="n"/>
      <c r="O25" s="1183" t="n"/>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inlineStr">
        <is>
          <t>BOLIVAR</t>
        </is>
      </c>
    </row>
    <row r="26" ht="18.75" customHeight="1">
      <c r="A26" s="973" t="n"/>
      <c r="B26" s="971" t="n"/>
      <c r="C26" s="972" t="n"/>
      <c r="D26" s="973"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73"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inlineStr">
        <is>
          <t>CARTAGENA</t>
        </is>
      </c>
    </row>
    <row r="28" ht="18.75" customHeight="1">
      <c r="A28" s="973" t="n"/>
      <c r="B28" s="971" t="n"/>
      <c r="C28" s="972" t="n"/>
      <c r="D28" s="973"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inlineStr">
        <is>
          <t>BOYACA</t>
        </is>
      </c>
    </row>
    <row r="29" ht="18.75" customHeight="1">
      <c r="A29" s="973" t="n"/>
      <c r="B29" s="971" t="n"/>
      <c r="C29" s="972" t="n"/>
      <c r="D29" s="973"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inlineStr">
        <is>
          <t>CAQUETA</t>
        </is>
      </c>
    </row>
    <row r="30" ht="18.75" customHeight="1">
      <c r="A30" s="975" t="n"/>
      <c r="B30" s="1182" t="n"/>
      <c r="C30" s="1103" t="n"/>
      <c r="D30" s="975"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496">
        <f>OCTUBRE!K31</f>
        <v/>
      </c>
      <c r="E31" s="731" t="n"/>
      <c r="F31" s="731" t="n"/>
      <c r="G31" s="730">
        <f>E31+F31</f>
        <v/>
      </c>
      <c r="H31" s="731" t="n"/>
      <c r="I31" s="731" t="n"/>
      <c r="J31" s="732">
        <f>AM31</f>
        <v/>
      </c>
      <c r="K31" s="738">
        <f>+(D31+G31)-(H31+I31+J31)</f>
        <v/>
      </c>
      <c r="L31" s="253" t="n"/>
      <c r="M31" s="254" t="n"/>
      <c r="N31" s="254" t="n"/>
      <c r="O31" s="1183" t="n"/>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inlineStr">
        <is>
          <t>CAUCA</t>
        </is>
      </c>
    </row>
    <row r="32" ht="18.75" customHeight="1">
      <c r="A32" s="973" t="n"/>
      <c r="B32" s="971" t="n"/>
      <c r="C32" s="972" t="n"/>
      <c r="D32" s="973" t="n"/>
      <c r="E32" s="994" t="n"/>
      <c r="F32" s="994" t="n"/>
      <c r="G32" s="973" t="n"/>
      <c r="H32" s="994" t="n"/>
      <c r="I32" s="994" t="n"/>
      <c r="J32" s="973" t="n"/>
      <c r="K32" s="973" t="n"/>
      <c r="L32" s="253" t="n"/>
      <c r="M32" s="254" t="n"/>
      <c r="N32" s="254" t="n"/>
      <c r="O32" s="1183" t="n"/>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73" t="n"/>
      <c r="E33" s="994" t="n"/>
      <c r="F33" s="994" t="n"/>
      <c r="G33" s="973" t="n"/>
      <c r="H33" s="994" t="n"/>
      <c r="I33" s="994" t="n"/>
      <c r="J33" s="973" t="n"/>
      <c r="K33" s="973" t="n"/>
      <c r="L33" s="253" t="n"/>
      <c r="M33" s="254" t="n"/>
      <c r="N33" s="254" t="n"/>
      <c r="O33" s="1183" t="n"/>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inlineStr">
        <is>
          <t>CESAR</t>
        </is>
      </c>
    </row>
    <row r="34" ht="18.75" customHeight="1">
      <c r="A34" s="973" t="n"/>
      <c r="B34" s="971" t="n"/>
      <c r="C34" s="972" t="n"/>
      <c r="D34" s="973"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inlineStr">
        <is>
          <t>CHOCO</t>
        </is>
      </c>
    </row>
    <row r="35" ht="18.75" customHeight="1">
      <c r="A35" s="973" t="n"/>
      <c r="B35" s="971" t="n"/>
      <c r="C35" s="972" t="n"/>
      <c r="D35" s="973"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inlineStr">
        <is>
          <t>CORDOBA</t>
        </is>
      </c>
    </row>
    <row r="36" ht="18.75" customHeight="1">
      <c r="A36" s="975" t="n"/>
      <c r="B36" s="1182" t="n"/>
      <c r="C36" s="1103" t="n"/>
      <c r="D36" s="975"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496">
        <f>OCTUBRE!K37</f>
        <v/>
      </c>
      <c r="E37" s="731" t="n"/>
      <c r="F37" s="731" t="n"/>
      <c r="G37" s="730">
        <f>E37+F37</f>
        <v/>
      </c>
      <c r="H37" s="731" t="n"/>
      <c r="I37" s="731" t="n"/>
      <c r="J37" s="732">
        <f>AM37</f>
        <v/>
      </c>
      <c r="K37" s="738">
        <f>+(D37+G37)-(H37+I37+J37)</f>
        <v/>
      </c>
      <c r="L37" s="253" t="n"/>
      <c r="M37" s="254" t="n"/>
      <c r="N37" s="254" t="n"/>
      <c r="O37" s="1183" t="n"/>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inlineStr">
        <is>
          <t>NARIÑO</t>
        </is>
      </c>
    </row>
    <row r="38" ht="19.5" customHeight="1">
      <c r="A38" s="973" t="n"/>
      <c r="B38" s="971" t="n"/>
      <c r="C38" s="972" t="n"/>
      <c r="D38" s="973" t="n"/>
      <c r="E38" s="994" t="n"/>
      <c r="F38" s="994" t="n"/>
      <c r="G38" s="973" t="n"/>
      <c r="H38" s="994" t="n"/>
      <c r="I38" s="994" t="n"/>
      <c r="J38" s="973" t="n"/>
      <c r="K38" s="973" t="n"/>
      <c r="L38" s="253" t="n"/>
      <c r="M38" s="254" t="n"/>
      <c r="N38" s="254" t="n"/>
      <c r="O38" s="1183" t="n"/>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73" t="n"/>
      <c r="E39" s="994" t="n"/>
      <c r="F39" s="994" t="n"/>
      <c r="G39" s="973" t="n"/>
      <c r="H39" s="994" t="n"/>
      <c r="I39" s="994" t="n"/>
      <c r="J39" s="973" t="n"/>
      <c r="K39" s="973" t="n"/>
      <c r="L39" s="253" t="n"/>
      <c r="M39" s="254" t="n"/>
      <c r="N39" s="254" t="n"/>
      <c r="O39" s="1183" t="n"/>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inlineStr">
        <is>
          <t>NORTE DE SANTANDER</t>
        </is>
      </c>
    </row>
    <row r="40" ht="19.5" customHeight="1">
      <c r="A40" s="973" t="n"/>
      <c r="B40" s="971" t="n"/>
      <c r="C40" s="972" t="n"/>
      <c r="D40" s="973"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73"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inlineStr">
        <is>
          <t>PUTUMAYO</t>
        </is>
      </c>
    </row>
    <row r="42" ht="19.5" customHeight="1">
      <c r="A42" s="975" t="n"/>
      <c r="B42" s="1182" t="n"/>
      <c r="C42" s="1103" t="n"/>
      <c r="D42" s="975"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496">
        <f>OCTUBRE!K43</f>
        <v/>
      </c>
      <c r="E43" s="731" t="n"/>
      <c r="F43" s="731" t="n"/>
      <c r="G43" s="730">
        <f>E43+F43</f>
        <v/>
      </c>
      <c r="H43" s="731" t="n"/>
      <c r="I43" s="731" t="n"/>
      <c r="J43" s="732">
        <f>AM43</f>
        <v/>
      </c>
      <c r="K43" s="706">
        <f>+(D43+G43)-(H43+I43+J43)</f>
        <v/>
      </c>
      <c r="L43" s="253" t="n"/>
      <c r="M43" s="254" t="n"/>
      <c r="N43" s="254" t="n"/>
      <c r="O43" s="1183" t="n"/>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inlineStr">
        <is>
          <t>NARIÑO</t>
        </is>
      </c>
    </row>
    <row r="44" ht="19.5" customHeight="1">
      <c r="A44" s="973" t="n"/>
      <c r="B44" s="971" t="n"/>
      <c r="C44" s="972" t="n"/>
      <c r="D44" s="973"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73"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inlineStr">
        <is>
          <t>NORTE DE SANTANDER</t>
        </is>
      </c>
    </row>
    <row r="46" ht="19.5" customHeight="1">
      <c r="A46" s="973" t="n"/>
      <c r="B46" s="971" t="n"/>
      <c r="C46" s="972" t="n"/>
      <c r="D46" s="973"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inlineStr">
        <is>
          <t>PUTUMAYO</t>
        </is>
      </c>
    </row>
    <row r="47" ht="19.5" customHeight="1">
      <c r="A47" s="973" t="n"/>
      <c r="B47" s="971" t="n"/>
      <c r="C47" s="972" t="n"/>
      <c r="D47" s="973"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inlineStr">
        <is>
          <t>QUINDIO</t>
        </is>
      </c>
    </row>
    <row r="48" ht="19.5" customHeight="1">
      <c r="A48" s="975" t="n"/>
      <c r="B48" s="1182" t="n"/>
      <c r="C48" s="1103" t="n"/>
      <c r="D48" s="975"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496">
        <f>OCTUBRE!K49</f>
        <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inlineStr">
        <is>
          <t>NARIÑO</t>
        </is>
      </c>
    </row>
    <row r="50" ht="19.5" customHeight="1">
      <c r="A50" s="973" t="n"/>
      <c r="B50" s="971" t="n"/>
      <c r="C50" s="972" t="n"/>
      <c r="D50" s="973"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73"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inlineStr">
        <is>
          <t>NORTE DE SANTANDER</t>
        </is>
      </c>
    </row>
    <row r="52" ht="19.5" customHeight="1">
      <c r="A52" s="973" t="n"/>
      <c r="B52" s="971" t="n"/>
      <c r="C52" s="972" t="n"/>
      <c r="D52" s="973"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inlineStr">
        <is>
          <t>PUTUMAYO</t>
        </is>
      </c>
    </row>
    <row r="53" ht="19.5" customHeight="1">
      <c r="A53" s="973" t="n"/>
      <c r="B53" s="971" t="n"/>
      <c r="C53" s="972" t="n"/>
      <c r="D53" s="973"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inlineStr">
        <is>
          <t>QUINDIO</t>
        </is>
      </c>
    </row>
    <row r="54" ht="19.5" customHeight="1">
      <c r="A54" s="975" t="n"/>
      <c r="B54" s="1182" t="n"/>
      <c r="C54" s="1103" t="n"/>
      <c r="D54" s="975"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496">
        <f>OCTUBRE!K55</f>
        <v/>
      </c>
      <c r="E55" s="731" t="n"/>
      <c r="F55" s="731" t="n"/>
      <c r="G55" s="730">
        <f>E55+F55</f>
        <v/>
      </c>
      <c r="H55" s="731" t="n"/>
      <c r="I55" s="731" t="n"/>
      <c r="J55" s="732">
        <f>AM55</f>
        <v/>
      </c>
      <c r="K55" s="738">
        <f>+(D55+G55)-(H55+I55+J55)</f>
        <v/>
      </c>
      <c r="L55" s="253" t="n"/>
      <c r="M55" s="254" t="n"/>
      <c r="N55" s="254" t="n"/>
      <c r="O55" s="1183" t="n"/>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inlineStr">
        <is>
          <t>SANTANDER</t>
        </is>
      </c>
    </row>
    <row r="56" ht="19.5" customHeight="1">
      <c r="A56" s="973" t="n"/>
      <c r="B56" s="971" t="n"/>
      <c r="C56" s="972" t="n"/>
      <c r="D56" s="973" t="n"/>
      <c r="E56" s="994" t="n"/>
      <c r="F56" s="994" t="n"/>
      <c r="G56" s="973" t="n"/>
      <c r="H56" s="994" t="n"/>
      <c r="I56" s="994" t="n"/>
      <c r="J56" s="973" t="n"/>
      <c r="K56" s="973" t="n"/>
      <c r="L56" s="253" t="n"/>
      <c r="M56" s="254" t="n"/>
      <c r="N56" s="254" t="n"/>
      <c r="O56" s="1183" t="n"/>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73"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inlineStr">
        <is>
          <t>SUCRE</t>
        </is>
      </c>
    </row>
    <row r="58" ht="19.5" customHeight="1">
      <c r="A58" s="973" t="n"/>
      <c r="B58" s="971" t="n"/>
      <c r="C58" s="972" t="n"/>
      <c r="D58" s="973"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inlineStr">
        <is>
          <t>TOLIMA</t>
        </is>
      </c>
    </row>
    <row r="59" ht="19.5" customHeight="1">
      <c r="A59" s="973" t="n"/>
      <c r="B59" s="971" t="n"/>
      <c r="C59" s="972" t="n"/>
      <c r="D59" s="973"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inlineStr">
        <is>
          <t>VALLE</t>
        </is>
      </c>
    </row>
    <row r="60" ht="19.5" customHeight="1">
      <c r="A60" s="975" t="n"/>
      <c r="B60" s="971" t="n"/>
      <c r="C60" s="972" t="n"/>
      <c r="D60" s="975"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496">
        <f>OCTUBRE!K61</f>
        <v/>
      </c>
      <c r="E61" s="731" t="n"/>
      <c r="F61" s="731" t="n"/>
      <c r="G61" s="730">
        <f>E61+F61</f>
        <v/>
      </c>
      <c r="H61" s="731" t="n"/>
      <c r="I61" s="731" t="n"/>
      <c r="J61" s="732">
        <f>AM61</f>
        <v/>
      </c>
      <c r="K61" s="738">
        <f>+(D61+G61)-(H61+I61+J61)</f>
        <v/>
      </c>
      <c r="L61" s="253" t="n"/>
      <c r="M61" s="254" t="n"/>
      <c r="N61" s="254" t="n"/>
      <c r="O61" s="1183" t="n"/>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inlineStr">
        <is>
          <t>VICHADA</t>
        </is>
      </c>
    </row>
    <row r="62" ht="19.5" customHeight="1">
      <c r="A62" s="973" t="n"/>
      <c r="B62" s="971" t="n"/>
      <c r="C62" s="972" t="n"/>
      <c r="D62" s="973"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73"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73"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73"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75"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496">
        <f>OCTUBRE!K67</f>
        <v/>
      </c>
      <c r="E67" s="731" t="n"/>
      <c r="F67" s="731" t="n"/>
      <c r="G67" s="730">
        <f>E67+F67</f>
        <v/>
      </c>
      <c r="H67" s="731" t="n"/>
      <c r="I67" s="731" t="n"/>
      <c r="J67" s="732">
        <f>AM67</f>
        <v/>
      </c>
      <c r="K67" s="738">
        <f>+(D67+G67)-(H67+I67+J67)</f>
        <v/>
      </c>
      <c r="L67" s="253" t="n"/>
      <c r="M67" s="254" t="n"/>
      <c r="N67" s="254" t="n"/>
      <c r="O67" s="1183" t="n"/>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73" t="n"/>
      <c r="E68" s="994" t="n"/>
      <c r="F68" s="994" t="n"/>
      <c r="G68" s="973" t="n"/>
      <c r="H68" s="994" t="n"/>
      <c r="I68" s="994" t="n"/>
      <c r="J68" s="973" t="n"/>
      <c r="K68" s="973" t="n"/>
      <c r="L68" s="253" t="n"/>
      <c r="M68" s="254" t="n"/>
      <c r="N68" s="254" t="n"/>
      <c r="O68" s="1183" t="n"/>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73" t="n"/>
      <c r="E69" s="994" t="n"/>
      <c r="F69" s="994" t="n"/>
      <c r="G69" s="973" t="n"/>
      <c r="H69" s="994" t="n"/>
      <c r="I69" s="994" t="n"/>
      <c r="J69" s="973" t="n"/>
      <c r="K69" s="973" t="n"/>
      <c r="L69" s="253" t="n"/>
      <c r="M69" s="254" t="n"/>
      <c r="N69" s="254" t="n"/>
      <c r="O69" s="1183" t="n"/>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73"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73"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75"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496">
        <f>OCTUBRE!K73</f>
        <v/>
      </c>
      <c r="E73" s="731" t="n"/>
      <c r="F73" s="731" t="n"/>
      <c r="G73" s="730">
        <f>E73+F73</f>
        <v/>
      </c>
      <c r="H73" s="731" t="n"/>
      <c r="I73" s="731" t="n"/>
      <c r="J73" s="732">
        <f>AM73</f>
        <v/>
      </c>
      <c r="K73" s="738">
        <f>+(D73+G73)-(H73+I73+J73)</f>
        <v/>
      </c>
      <c r="L73" s="253" t="n"/>
      <c r="M73" s="254" t="n"/>
      <c r="N73" s="254" t="n"/>
      <c r="O73" s="1183" t="n"/>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73" t="n"/>
      <c r="E74" s="994" t="n"/>
      <c r="F74" s="994" t="n"/>
      <c r="G74" s="973" t="n"/>
      <c r="H74" s="994" t="n"/>
      <c r="I74" s="994" t="n"/>
      <c r="J74" s="973" t="n"/>
      <c r="K74" s="973" t="n"/>
      <c r="L74" s="253" t="n"/>
      <c r="M74" s="254" t="n"/>
      <c r="N74" s="254" t="n"/>
      <c r="O74" s="1183" t="n"/>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73" t="n"/>
      <c r="E75" s="994" t="n"/>
      <c r="F75" s="994" t="n"/>
      <c r="G75" s="973" t="n"/>
      <c r="H75" s="994" t="n"/>
      <c r="I75" s="994" t="n"/>
      <c r="J75" s="973" t="n"/>
      <c r="K75" s="973" t="n"/>
      <c r="L75" s="253" t="n"/>
      <c r="M75" s="254" t="n"/>
      <c r="N75" s="254" t="n"/>
      <c r="O75" s="1183" t="n"/>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73"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73"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75"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496">
        <f>OCTUBRE!K79</f>
        <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73"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73"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73"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73"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75"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496">
        <f>OCTUBRE!K85</f>
        <v/>
      </c>
      <c r="E85" s="731" t="n"/>
      <c r="F85" s="731" t="n"/>
      <c r="G85" s="730">
        <f>E85+F85</f>
        <v/>
      </c>
      <c r="H85" s="731" t="n"/>
      <c r="I85" s="731" t="n"/>
      <c r="J85" s="732">
        <f>AM85</f>
        <v/>
      </c>
      <c r="K85" s="738">
        <f>+(D85+G85)-(H85+I85+J85)</f>
        <v/>
      </c>
      <c r="L85" s="253" t="n"/>
      <c r="M85" s="254" t="n"/>
      <c r="N85" s="254" t="n"/>
      <c r="O85" s="1183" t="n"/>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73" t="n"/>
      <c r="E86" s="994" t="n"/>
      <c r="F86" s="994" t="n"/>
      <c r="G86" s="973" t="n"/>
      <c r="H86" s="994" t="n"/>
      <c r="I86" s="994" t="n"/>
      <c r="J86" s="973" t="n"/>
      <c r="K86" s="973" t="n"/>
      <c r="L86" s="253" t="n"/>
      <c r="M86" s="254" t="n"/>
      <c r="N86" s="254" t="n"/>
      <c r="O86" s="1183" t="n"/>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73" t="n"/>
      <c r="E87" s="994" t="n"/>
      <c r="F87" s="994" t="n"/>
      <c r="G87" s="973" t="n"/>
      <c r="H87" s="994" t="n"/>
      <c r="I87" s="994" t="n"/>
      <c r="J87" s="973" t="n"/>
      <c r="K87" s="973" t="n"/>
      <c r="L87" s="253" t="n"/>
      <c r="M87" s="254" t="n"/>
      <c r="N87" s="254" t="n"/>
      <c r="O87" s="1183" t="n"/>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73" t="n"/>
      <c r="E88" s="994" t="n"/>
      <c r="F88" s="994" t="n"/>
      <c r="G88" s="973" t="n"/>
      <c r="H88" s="994" t="n"/>
      <c r="I88" s="994" t="n"/>
      <c r="J88" s="973" t="n"/>
      <c r="K88" s="973" t="n"/>
      <c r="L88" s="253" t="n"/>
      <c r="M88" s="254" t="n"/>
      <c r="N88" s="254" t="n"/>
      <c r="O88" s="1183" t="n"/>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73"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75"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496">
        <f>OCTUBRE!K91</f>
        <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73"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73"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73"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73"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75"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496">
        <f>OCTUBRE!K97</f>
        <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73"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73"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73"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73"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75"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496">
        <f>OCTUBRE!K103</f>
        <v/>
      </c>
      <c r="E103" s="731" t="n"/>
      <c r="F103" s="731" t="n"/>
      <c r="G103" s="730">
        <f>E103+F103</f>
        <v/>
      </c>
      <c r="H103" s="731" t="n"/>
      <c r="I103" s="731" t="n"/>
      <c r="J103" s="732">
        <f>AM103</f>
        <v/>
      </c>
      <c r="K103" s="738">
        <f>+(D103+G103)-(H103+I103+J103)</f>
        <v/>
      </c>
      <c r="L103" s="253" t="n"/>
      <c r="M103" s="254" t="n"/>
      <c r="N103" s="254" t="n"/>
      <c r="O103" s="1183" t="n"/>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73" t="n"/>
      <c r="E104" s="994" t="n"/>
      <c r="F104" s="994" t="n"/>
      <c r="G104" s="973" t="n"/>
      <c r="H104" s="994" t="n"/>
      <c r="I104" s="994" t="n"/>
      <c r="J104" s="973" t="n"/>
      <c r="K104" s="973" t="n"/>
      <c r="L104" s="253" t="n"/>
      <c r="M104" s="254" t="n"/>
      <c r="N104" s="254" t="n"/>
      <c r="O104" s="1183" t="n"/>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73"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73"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73"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75"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496">
        <f>OCTUBRE!K109</f>
        <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73"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73"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73"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73"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75"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496">
        <f>OCTUBRE!K115</f>
        <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73"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73"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73"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73"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75"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496">
        <f>OCTUBRE!K121</f>
        <v/>
      </c>
      <c r="E121" s="731" t="n"/>
      <c r="F121" s="731" t="n"/>
      <c r="G121" s="730">
        <f>E121+F121</f>
        <v/>
      </c>
      <c r="H121" s="731" t="n"/>
      <c r="I121" s="731" t="n"/>
      <c r="J121" s="732">
        <f>AM121</f>
        <v/>
      </c>
      <c r="K121" s="738">
        <f>+(D121+G121)-(H121+I121+J121)</f>
        <v/>
      </c>
      <c r="L121" s="253" t="n"/>
      <c r="M121" s="254" t="n"/>
      <c r="N121" s="254" t="n"/>
      <c r="O121" s="1183" t="n"/>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73" t="n"/>
      <c r="E122" s="994" t="n"/>
      <c r="F122" s="994" t="n"/>
      <c r="G122" s="973" t="n"/>
      <c r="H122" s="994" t="n"/>
      <c r="I122" s="994" t="n"/>
      <c r="J122" s="973" t="n"/>
      <c r="K122" s="973" t="n"/>
      <c r="L122" s="253" t="n"/>
      <c r="M122" s="254" t="n"/>
      <c r="N122" s="254" t="n"/>
      <c r="O122" s="1183" t="n"/>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73" t="n"/>
      <c r="E123" s="994" t="n"/>
      <c r="F123" s="994" t="n"/>
      <c r="G123" s="973" t="n"/>
      <c r="H123" s="994" t="n"/>
      <c r="I123" s="994" t="n"/>
      <c r="J123" s="973" t="n"/>
      <c r="K123" s="973" t="n"/>
      <c r="L123" s="253" t="n"/>
      <c r="M123" s="254" t="n"/>
      <c r="N123" s="254" t="n"/>
      <c r="O123" s="1183" t="n"/>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73"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73"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75"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496">
        <f>OCTUBRE!K127</f>
        <v/>
      </c>
      <c r="E127" s="731" t="n"/>
      <c r="F127" s="731" t="n"/>
      <c r="G127" s="730">
        <f>E127+F127</f>
        <v/>
      </c>
      <c r="H127" s="731" t="n"/>
      <c r="I127" s="731" t="n"/>
      <c r="J127" s="732">
        <f>AM127</f>
        <v/>
      </c>
      <c r="K127" s="738">
        <f>+(D127+G127)-(H127+I127+J127)</f>
        <v/>
      </c>
      <c r="L127" s="253" t="n"/>
      <c r="M127" s="254" t="n"/>
      <c r="N127" s="254" t="n"/>
      <c r="O127" s="1183" t="n"/>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73" t="n"/>
      <c r="E128" s="994" t="n"/>
      <c r="F128" s="994" t="n"/>
      <c r="G128" s="973" t="n"/>
      <c r="H128" s="994" t="n"/>
      <c r="I128" s="994" t="n"/>
      <c r="J128" s="973" t="n"/>
      <c r="K128" s="973" t="n"/>
      <c r="L128" s="253" t="n"/>
      <c r="M128" s="254" t="n"/>
      <c r="N128" s="254" t="n"/>
      <c r="O128" s="1183" t="n"/>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73" t="n"/>
      <c r="E129" s="994" t="n"/>
      <c r="F129" s="994" t="n"/>
      <c r="G129" s="973" t="n"/>
      <c r="H129" s="994" t="n"/>
      <c r="I129" s="994" t="n"/>
      <c r="J129" s="973" t="n"/>
      <c r="K129" s="973" t="n"/>
      <c r="L129" s="253" t="n"/>
      <c r="M129" s="254" t="n"/>
      <c r="N129" s="254" t="n"/>
      <c r="O129" s="1183" t="n"/>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73"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73"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75"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496">
        <f>OCTUBRE!K133</f>
        <v/>
      </c>
      <c r="E133" s="731" t="n"/>
      <c r="F133" s="731" t="n"/>
      <c r="G133" s="730">
        <f>E133+F133</f>
        <v/>
      </c>
      <c r="H133" s="731" t="n"/>
      <c r="I133" s="731" t="n"/>
      <c r="J133" s="732">
        <f>AM133</f>
        <v/>
      </c>
      <c r="K133" s="738">
        <f>+(D133+G133)-(H133+I133+J133)</f>
        <v/>
      </c>
      <c r="L133" s="253" t="n"/>
      <c r="M133" s="254" t="n"/>
      <c r="N133" s="254" t="n"/>
      <c r="O133" s="1183" t="n"/>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73" t="n"/>
      <c r="E134" s="994" t="n"/>
      <c r="F134" s="994" t="n"/>
      <c r="G134" s="973" t="n"/>
      <c r="H134" s="994" t="n"/>
      <c r="I134" s="994" t="n"/>
      <c r="J134" s="973" t="n"/>
      <c r="K134" s="973" t="n"/>
      <c r="L134" s="253" t="n"/>
      <c r="M134" s="254" t="n"/>
      <c r="N134" s="254" t="n"/>
      <c r="O134" s="1183" t="n"/>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73" t="n"/>
      <c r="E135" s="994" t="n"/>
      <c r="F135" s="994" t="n"/>
      <c r="G135" s="973" t="n"/>
      <c r="H135" s="994" t="n"/>
      <c r="I135" s="994" t="n"/>
      <c r="J135" s="973" t="n"/>
      <c r="K135" s="973" t="n"/>
      <c r="L135" s="253" t="n"/>
      <c r="M135" s="254" t="n"/>
      <c r="N135" s="254" t="n"/>
      <c r="O135" s="1183" t="n"/>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73"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73"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75"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496">
        <f>OCTUBRE!K139</f>
        <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73"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73"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73"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73"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75"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496">
        <f>OCTUBRE!K145</f>
        <v/>
      </c>
      <c r="E145" s="731" t="n"/>
      <c r="F145" s="731" t="n"/>
      <c r="G145" s="730">
        <f>E145+F145</f>
        <v/>
      </c>
      <c r="H145" s="731" t="n"/>
      <c r="I145" s="731" t="n"/>
      <c r="J145" s="732">
        <f>AM145</f>
        <v/>
      </c>
      <c r="K145" s="738">
        <f>+(D145+G145)-(H145+I145+J145)</f>
        <v/>
      </c>
      <c r="L145" s="253" t="n"/>
      <c r="M145" s="254" t="n"/>
      <c r="N145" s="254" t="n"/>
      <c r="O145" s="1183" t="n"/>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73" t="n"/>
      <c r="E146" s="994" t="n"/>
      <c r="F146" s="994" t="n"/>
      <c r="G146" s="973" t="n"/>
      <c r="H146" s="994" t="n"/>
      <c r="I146" s="994" t="n"/>
      <c r="J146" s="973" t="n"/>
      <c r="K146" s="973" t="n"/>
      <c r="L146" s="253" t="n"/>
      <c r="M146" s="254" t="n"/>
      <c r="N146" s="254" t="n"/>
      <c r="O146" s="1183" t="n"/>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73"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73"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73"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75"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496">
        <f>OCTUBRE!K151</f>
        <v/>
      </c>
      <c r="E151" s="731" t="n"/>
      <c r="F151" s="731" t="n"/>
      <c r="G151" s="730">
        <f>E151+F151</f>
        <v/>
      </c>
      <c r="H151" s="731" t="n"/>
      <c r="I151" s="731" t="n"/>
      <c r="J151" s="732">
        <f>AM151</f>
        <v/>
      </c>
      <c r="K151" s="738">
        <f>+(D151+G151)-(H151+I151+J151)</f>
        <v/>
      </c>
      <c r="L151" s="253" t="n"/>
      <c r="M151" s="254" t="n"/>
      <c r="N151" s="254" t="n"/>
      <c r="O151" s="1183" t="n"/>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73" t="n"/>
      <c r="E152" s="994" t="n"/>
      <c r="F152" s="994" t="n"/>
      <c r="G152" s="973" t="n"/>
      <c r="H152" s="994" t="n"/>
      <c r="I152" s="994" t="n"/>
      <c r="J152" s="973" t="n"/>
      <c r="K152" s="973" t="n"/>
      <c r="L152" s="253" t="n"/>
      <c r="M152" s="254" t="n"/>
      <c r="N152" s="254" t="n"/>
      <c r="O152" s="1183" t="n"/>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73"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73"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73"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75"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496">
        <f>OCTUBRE!K157</f>
        <v/>
      </c>
      <c r="E157" s="731" t="n"/>
      <c r="F157" s="731" t="n"/>
      <c r="G157" s="730">
        <f>E157+F157</f>
        <v/>
      </c>
      <c r="H157" s="731" t="n"/>
      <c r="I157" s="731" t="n"/>
      <c r="J157" s="732">
        <f>AM157</f>
        <v/>
      </c>
      <c r="K157" s="738">
        <f>+(D157+G157)-(H157+I157+J157)</f>
        <v/>
      </c>
      <c r="L157" s="253" t="n"/>
      <c r="M157" s="254" t="n"/>
      <c r="N157" s="254" t="n"/>
      <c r="O157" s="1183" t="n"/>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73"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73"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73"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73"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75"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496">
        <f>OCTUBRE!K163</f>
        <v/>
      </c>
      <c r="E163" s="731" t="n"/>
      <c r="F163" s="731" t="n"/>
      <c r="G163" s="730">
        <f>E163+F163</f>
        <v/>
      </c>
      <c r="H163" s="731" t="n"/>
      <c r="I163" s="731" t="n"/>
      <c r="J163" s="732">
        <f>AM163</f>
        <v/>
      </c>
      <c r="K163" s="738">
        <f>+(D163+G163)-(H163+I163+J163)</f>
        <v/>
      </c>
      <c r="L163" s="253" t="n"/>
      <c r="M163" s="254" t="n"/>
      <c r="N163" s="254" t="n"/>
      <c r="O163" s="1183" t="n"/>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73" t="n"/>
      <c r="E164" s="994" t="n"/>
      <c r="F164" s="994" t="n"/>
      <c r="G164" s="973" t="n"/>
      <c r="H164" s="994" t="n"/>
      <c r="I164" s="994" t="n"/>
      <c r="J164" s="973" t="n"/>
      <c r="K164" s="973" t="n"/>
      <c r="L164" s="253" t="n"/>
      <c r="M164" s="254" t="n"/>
      <c r="N164" s="254" t="n"/>
      <c r="O164" s="1183" t="n"/>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73" t="n"/>
      <c r="E165" s="994" t="n"/>
      <c r="F165" s="994" t="n"/>
      <c r="G165" s="973" t="n"/>
      <c r="H165" s="994" t="n"/>
      <c r="I165" s="994" t="n"/>
      <c r="J165" s="973" t="n"/>
      <c r="K165" s="973" t="n"/>
      <c r="L165" s="253" t="n"/>
      <c r="M165" s="254" t="n"/>
      <c r="N165" s="254" t="n"/>
      <c r="O165" s="1183" t="n"/>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73"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73"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75"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496">
        <f>OCTUBRE!K169</f>
        <v/>
      </c>
      <c r="E169" s="731" t="n"/>
      <c r="F169" s="731" t="n"/>
      <c r="G169" s="730">
        <f>E169+F169</f>
        <v/>
      </c>
      <c r="H169" s="731" t="n"/>
      <c r="I169" s="731" t="n"/>
      <c r="J169" s="732">
        <f>AM169</f>
        <v/>
      </c>
      <c r="K169" s="738">
        <f>+(D169+G169)-(H169+I169+J169)</f>
        <v/>
      </c>
      <c r="L169" s="253" t="n"/>
      <c r="M169" s="254" t="n"/>
      <c r="N169" s="254" t="n"/>
      <c r="O169" s="1183" t="n"/>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73" t="n"/>
      <c r="E170" s="994" t="n"/>
      <c r="F170" s="994" t="n"/>
      <c r="G170" s="973" t="n"/>
      <c r="H170" s="994" t="n"/>
      <c r="I170" s="994" t="n"/>
      <c r="J170" s="973" t="n"/>
      <c r="K170" s="973" t="n"/>
      <c r="L170" s="253" t="n"/>
      <c r="M170" s="254"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73"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73"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73"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75"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496">
        <f>OCTUBRE!K175</f>
        <v/>
      </c>
      <c r="E175" s="731" t="n"/>
      <c r="F175" s="731" t="n"/>
      <c r="G175" s="730">
        <f>E175+F175</f>
        <v/>
      </c>
      <c r="H175" s="731" t="n"/>
      <c r="I175" s="731" t="n"/>
      <c r="J175" s="732">
        <f>AM175</f>
        <v/>
      </c>
      <c r="K175" s="738">
        <f>+(D175+G175)-(H175+I175+J175)</f>
        <v/>
      </c>
      <c r="L175" s="253" t="n"/>
      <c r="M175" s="254" t="n"/>
      <c r="N175" s="254" t="n"/>
      <c r="O175" s="1183" t="n"/>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73" t="n"/>
      <c r="E176" s="994" t="n"/>
      <c r="F176" s="994" t="n"/>
      <c r="G176" s="973" t="n"/>
      <c r="H176" s="994" t="n"/>
      <c r="I176" s="994" t="n"/>
      <c r="J176" s="973" t="n"/>
      <c r="K176" s="973" t="n"/>
      <c r="L176" s="253" t="n"/>
      <c r="M176" s="254" t="n"/>
      <c r="N176" s="254" t="n"/>
      <c r="O176" s="1183" t="n"/>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73" t="n"/>
      <c r="E177" s="994" t="n"/>
      <c r="F177" s="994" t="n"/>
      <c r="G177" s="973" t="n"/>
      <c r="H177" s="994" t="n"/>
      <c r="I177" s="994" t="n"/>
      <c r="J177" s="973" t="n"/>
      <c r="K177" s="973" t="n"/>
      <c r="L177" s="253" t="n"/>
      <c r="M177" s="254" t="n"/>
      <c r="N177" s="254" t="n"/>
      <c r="O177" s="1183" t="n"/>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73"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73"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75"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496">
        <f>OCTUBRE!K181</f>
        <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73"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73"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73"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73"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75"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496">
        <f>OCTUBRE!K187</f>
        <v/>
      </c>
      <c r="E187" s="731" t="n"/>
      <c r="F187" s="731" t="n"/>
      <c r="G187" s="730">
        <f>E187+F187</f>
        <v/>
      </c>
      <c r="H187" s="731" t="n"/>
      <c r="I187" s="731" t="n"/>
      <c r="J187" s="732">
        <f>AM187</f>
        <v/>
      </c>
      <c r="K187" s="738">
        <f>+(D187+G187)-(H187+I187+J187)</f>
        <v/>
      </c>
      <c r="L187" s="253" t="n"/>
      <c r="M187" s="254" t="n"/>
      <c r="N187" s="254" t="n"/>
      <c r="O187" s="1183" t="n"/>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73" t="n"/>
      <c r="E188" s="994" t="n"/>
      <c r="F188" s="994" t="n"/>
      <c r="G188" s="973" t="n"/>
      <c r="H188" s="994" t="n"/>
      <c r="I188" s="994" t="n"/>
      <c r="J188" s="973" t="n"/>
      <c r="K188" s="973" t="n"/>
      <c r="L188" s="253" t="n"/>
      <c r="M188" s="254" t="n"/>
      <c r="N188" s="254" t="n"/>
      <c r="O188" s="1183" t="n"/>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73"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73"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73"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75"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496">
        <f>OCTUBRE!K193</f>
        <v/>
      </c>
      <c r="E193" s="731" t="n"/>
      <c r="F193" s="731" t="n"/>
      <c r="G193" s="730">
        <f>E193+F193</f>
        <v/>
      </c>
      <c r="H193" s="731" t="n"/>
      <c r="I193" s="731" t="n"/>
      <c r="J193" s="732">
        <f>AM193</f>
        <v/>
      </c>
      <c r="K193" s="738">
        <f>+(D193+G193)-(H193+I193+J193)</f>
        <v/>
      </c>
      <c r="L193" s="253" t="n"/>
      <c r="M193" s="254" t="n"/>
      <c r="N193" s="254" t="n"/>
      <c r="O193" s="1183" t="n"/>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73"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73"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73"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73"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75"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496">
        <f>OCTUBRE!K199</f>
        <v/>
      </c>
      <c r="E199" s="731" t="n"/>
      <c r="F199" s="731" t="n"/>
      <c r="G199" s="730">
        <f>E199+F199</f>
        <v/>
      </c>
      <c r="H199" s="731" t="n"/>
      <c r="I199" s="731" t="n"/>
      <c r="J199" s="732">
        <f>AM199</f>
        <v/>
      </c>
      <c r="K199" s="738">
        <f>+(D199+G199)-(H199+I199+J199)</f>
        <v/>
      </c>
      <c r="L199" s="253" t="n"/>
      <c r="M199" s="254" t="n"/>
      <c r="N199" s="254" t="n"/>
      <c r="O199" s="1183" t="n"/>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73" t="n"/>
      <c r="E200" s="994" t="n"/>
      <c r="F200" s="994" t="n"/>
      <c r="G200" s="973" t="n"/>
      <c r="H200" s="994" t="n"/>
      <c r="I200" s="994" t="n"/>
      <c r="J200" s="973" t="n"/>
      <c r="K200" s="973" t="n"/>
      <c r="L200" s="253" t="n"/>
      <c r="M200" s="254" t="n"/>
      <c r="N200" s="254" t="n"/>
      <c r="O200" s="1183" t="n"/>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73"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73"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73"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75"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496">
        <f>OCTUBRE!K205</f>
        <v/>
      </c>
      <c r="E205" s="731" t="n"/>
      <c r="F205" s="731" t="n"/>
      <c r="G205" s="730">
        <f>E205+F205</f>
        <v/>
      </c>
      <c r="H205" s="731" t="n"/>
      <c r="I205" s="731" t="n"/>
      <c r="J205" s="732">
        <f>AM205</f>
        <v/>
      </c>
      <c r="K205" s="738">
        <f>+(D205+G205)-(H205+I205+J205)</f>
        <v/>
      </c>
      <c r="L205" s="253" t="n"/>
      <c r="M205" s="254" t="n"/>
      <c r="N205" s="254" t="n"/>
      <c r="O205" s="1183" t="n"/>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73"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73"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73"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73"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75"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496">
        <f>OCTUBRE!K211</f>
        <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73"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73"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73"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73"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75"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496">
        <f>OCTUBRE!K217</f>
        <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73"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73"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73"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73"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75"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496">
        <f>OCTUBRE!K223</f>
        <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73"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73"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73"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73"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75"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496">
        <f>OCTUBRE!K230</f>
        <v/>
      </c>
      <c r="E230" s="731" t="n"/>
      <c r="F230" s="731" t="n"/>
      <c r="G230" s="730">
        <f>E230+F230</f>
        <v/>
      </c>
      <c r="H230" s="731" t="n"/>
      <c r="I230" s="731" t="n"/>
      <c r="J230" s="732">
        <f>AM230</f>
        <v/>
      </c>
      <c r="K230" s="738">
        <f>+(D230+G230)-(H230+I230+J230)</f>
        <v/>
      </c>
      <c r="L230" s="253" t="n"/>
      <c r="M230" s="254" t="n"/>
      <c r="N230" s="254" t="n"/>
      <c r="O230" s="1183" t="n"/>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73" t="n"/>
      <c r="E231" s="994" t="n"/>
      <c r="F231" s="994" t="n"/>
      <c r="G231" s="973" t="n"/>
      <c r="H231" s="994" t="n"/>
      <c r="I231" s="994" t="n"/>
      <c r="J231" s="973" t="n"/>
      <c r="K231" s="973" t="n"/>
      <c r="L231" s="253" t="n"/>
      <c r="M231" s="254" t="n"/>
      <c r="N231" s="254" t="n"/>
      <c r="O231" s="1183" t="n"/>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73" t="n"/>
      <c r="E232" s="994" t="n"/>
      <c r="F232" s="994" t="n"/>
      <c r="G232" s="973" t="n"/>
      <c r="H232" s="994" t="n"/>
      <c r="I232" s="994" t="n"/>
      <c r="J232" s="973" t="n"/>
      <c r="K232" s="973" t="n"/>
      <c r="L232" s="253" t="n"/>
      <c r="M232" s="254" t="n"/>
      <c r="N232" s="254" t="n"/>
      <c r="O232" s="1183" t="n"/>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73"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73"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75" t="n"/>
      <c r="E235" s="998" t="n"/>
      <c r="F235" s="998" t="n"/>
      <c r="G235" s="975" t="n"/>
      <c r="H235" s="998" t="n"/>
      <c r="I235" s="998" t="n"/>
      <c r="J235" s="975" t="n"/>
      <c r="K235" s="1189">
        <f>K230=L235</f>
        <v/>
      </c>
      <c r="L235" s="491">
        <f>SUM(L230:L234)</f>
        <v/>
      </c>
      <c r="M235" s="1190" t="inlineStr">
        <is>
          <t xml:space="preserve">“Verdadero” indica que la cantidad por lote, coincide con el saldo que inicia al mes siguiente. "Falso" no coinicide. </t>
        </is>
      </c>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496">
        <f>OCTUBRE!K236</f>
        <v/>
      </c>
      <c r="E236" s="731" t="n"/>
      <c r="F236" s="731" t="n"/>
      <c r="G236" s="730">
        <f>E236+F236</f>
        <v/>
      </c>
      <c r="H236" s="731" t="n"/>
      <c r="I236" s="731" t="n"/>
      <c r="J236" s="732">
        <f>AM236</f>
        <v/>
      </c>
      <c r="K236" s="738">
        <f>+(D236+G236)-(H236+I236+J236)</f>
        <v/>
      </c>
      <c r="L236" s="253" t="n"/>
      <c r="M236" s="254" t="n"/>
      <c r="N236" s="254" t="n"/>
      <c r="O236" s="1183" t="n"/>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73" t="n"/>
      <c r="E237" s="994" t="n"/>
      <c r="F237" s="994" t="n"/>
      <c r="G237" s="973" t="n"/>
      <c r="H237" s="994" t="n"/>
      <c r="I237" s="994" t="n"/>
      <c r="J237" s="973" t="n"/>
      <c r="K237" s="973" t="n"/>
      <c r="L237" s="253" t="n"/>
      <c r="M237" s="254" t="n"/>
      <c r="N237" s="254" t="n"/>
      <c r="O237" s="1183" t="n"/>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73" t="n"/>
      <c r="E238" s="994" t="n"/>
      <c r="F238" s="994" t="n"/>
      <c r="G238" s="973" t="n"/>
      <c r="H238" s="994" t="n"/>
      <c r="I238" s="994" t="n"/>
      <c r="J238" s="973" t="n"/>
      <c r="K238" s="973" t="n"/>
      <c r="L238" s="253" t="n"/>
      <c r="M238" s="254" t="n"/>
      <c r="N238" s="254" t="n"/>
      <c r="O238" s="1183" t="n"/>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73"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73"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75" t="n"/>
      <c r="E241" s="998" t="n"/>
      <c r="F241" s="998" t="n"/>
      <c r="G241" s="975" t="n"/>
      <c r="H241" s="998" t="n"/>
      <c r="I241" s="998" t="n"/>
      <c r="J241" s="975" t="n"/>
      <c r="K241" s="1189">
        <f>K236=L241</f>
        <v/>
      </c>
      <c r="L241" s="491">
        <f>SUM(L236:L240)</f>
        <v/>
      </c>
      <c r="M241" s="1190" t="inlineStr">
        <is>
          <t xml:space="preserve">“Verdadero” indica que la cantidad por lote, coincide con el saldo que inicia al mes siguiente. "Falso" no coinicide. </t>
        </is>
      </c>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496">
        <f>OCTUBRE!K242</f>
        <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73"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73"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73"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73"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75" t="n"/>
      <c r="E247" s="998" t="n"/>
      <c r="F247" s="998" t="n"/>
      <c r="G247" s="975" t="n"/>
      <c r="H247" s="998" t="n"/>
      <c r="I247" s="998" t="n"/>
      <c r="J247" s="975" t="n"/>
      <c r="K247" s="1189">
        <f>K242=L247</f>
        <v/>
      </c>
      <c r="L247" s="491">
        <f>SUM(L242:L246)</f>
        <v/>
      </c>
      <c r="M247" s="1190" t="inlineStr">
        <is>
          <t xml:space="preserve">“Verdadero” indica que la cantidad por lote, coincide con el saldo que inicia al mes siguiente. "Falso" no coinicide. </t>
        </is>
      </c>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496">
        <f>OCTUBRE!K248</f>
        <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73"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73"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73"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73"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75" t="n"/>
      <c r="E253" s="998" t="n"/>
      <c r="F253" s="998" t="n"/>
      <c r="G253" s="975" t="n"/>
      <c r="H253" s="998" t="n"/>
      <c r="I253" s="998" t="n"/>
      <c r="J253" s="975" t="n"/>
      <c r="K253" s="1189">
        <f>K248=L253</f>
        <v/>
      </c>
      <c r="L253" s="491">
        <f>SUM(L248:L252)</f>
        <v/>
      </c>
      <c r="M253" s="1190" t="inlineStr">
        <is>
          <t xml:space="preserve">“Verdadero” indica que la cantidad por lote, coincide con el saldo que inicia al mes siguiente. "Falso" no coinicide. </t>
        </is>
      </c>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496">
        <f>OCTUBRE!K254</f>
        <v/>
      </c>
      <c r="E254" s="731" t="n"/>
      <c r="F254" s="731" t="n"/>
      <c r="G254" s="730">
        <f>E254+F254</f>
        <v/>
      </c>
      <c r="H254" s="731" t="n"/>
      <c r="I254" s="731" t="n"/>
      <c r="J254" s="732">
        <f>AM254</f>
        <v/>
      </c>
      <c r="K254" s="738">
        <f>+(D254+G254)-(H254+I254+J254)</f>
        <v/>
      </c>
      <c r="L254" s="253" t="n"/>
      <c r="M254" s="254" t="n"/>
      <c r="N254" s="254" t="n"/>
      <c r="O254" s="1183" t="n"/>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73" t="n"/>
      <c r="E255" s="994" t="n"/>
      <c r="F255" s="994" t="n"/>
      <c r="G255" s="973" t="n"/>
      <c r="H255" s="994" t="n"/>
      <c r="I255" s="994" t="n"/>
      <c r="J255" s="973" t="n"/>
      <c r="K255" s="973" t="n"/>
      <c r="L255" s="253" t="n"/>
      <c r="M255" s="254" t="n"/>
      <c r="N255" s="254" t="n"/>
      <c r="O255" s="1183" t="n"/>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73" t="n"/>
      <c r="E256" s="994" t="n"/>
      <c r="F256" s="994" t="n"/>
      <c r="G256" s="973" t="n"/>
      <c r="H256" s="994" t="n"/>
      <c r="I256" s="994" t="n"/>
      <c r="J256" s="973" t="n"/>
      <c r="K256" s="973" t="n"/>
      <c r="L256" s="253" t="n"/>
      <c r="M256" s="254" t="n"/>
      <c r="N256" s="254" t="n"/>
      <c r="O256" s="1183" t="n"/>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73" t="n"/>
      <c r="E257" s="994" t="n"/>
      <c r="F257" s="994" t="n"/>
      <c r="G257" s="973" t="n"/>
      <c r="H257" s="994" t="n"/>
      <c r="I257" s="994" t="n"/>
      <c r="J257" s="973" t="n"/>
      <c r="K257" s="973" t="n"/>
      <c r="L257" s="253" t="n"/>
      <c r="M257" s="254" t="n"/>
      <c r="N257" s="254" t="n"/>
      <c r="O257" s="1183" t="n"/>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73"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75" t="n"/>
      <c r="E259" s="998" t="n"/>
      <c r="F259" s="998" t="n"/>
      <c r="G259" s="975" t="n"/>
      <c r="H259" s="998" t="n"/>
      <c r="I259" s="998" t="n"/>
      <c r="J259" s="975" t="n"/>
      <c r="K259" s="1189">
        <f>K254=L259</f>
        <v/>
      </c>
      <c r="L259" s="491">
        <f>SUM(L254:L258)</f>
        <v/>
      </c>
      <c r="M259" s="1190" t="inlineStr">
        <is>
          <t xml:space="preserve">“Verdadero” indica que la cantidad por lote, coincide con el saldo que inicia al mes siguiente. "Falso" no coinicide. </t>
        </is>
      </c>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496">
        <f>OCTUBRE!K260</f>
        <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73"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73"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73"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73"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75" t="n"/>
      <c r="E265" s="998" t="n"/>
      <c r="F265" s="998" t="n"/>
      <c r="G265" s="975" t="n"/>
      <c r="H265" s="998" t="n"/>
      <c r="I265" s="998" t="n"/>
      <c r="J265" s="975" t="n"/>
      <c r="K265" s="1189">
        <f>K260=L265</f>
        <v/>
      </c>
      <c r="L265" s="491">
        <f>SUM(L260:L264)</f>
        <v/>
      </c>
      <c r="M265" s="1190" t="inlineStr">
        <is>
          <t xml:space="preserve">“Verdadero” indica que la cantidad por lote, coincide con el saldo que inicia al mes siguiente. "Falso" no coinicide. </t>
        </is>
      </c>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496">
        <f>OCTUBRE!K266</f>
        <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73"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73"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73"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73"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75" t="n"/>
      <c r="E271" s="998" t="n"/>
      <c r="F271" s="998" t="n"/>
      <c r="G271" s="975" t="n"/>
      <c r="H271" s="998" t="n"/>
      <c r="I271" s="998" t="n"/>
      <c r="J271" s="975" t="n"/>
      <c r="K271" s="1189">
        <f>K266=L271</f>
        <v/>
      </c>
      <c r="L271" s="491">
        <f>SUM(L266:L270)</f>
        <v/>
      </c>
      <c r="M271" s="1190" t="inlineStr">
        <is>
          <t xml:space="preserve">“Verdadero” indica que la cantidad por lote, coincide con el saldo que inicia al mes siguiente. "Falso" no coinicide. </t>
        </is>
      </c>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496">
        <f>OCTUBRE!K272</f>
        <v/>
      </c>
      <c r="E272" s="731" t="n"/>
      <c r="F272" s="731" t="n"/>
      <c r="G272" s="730">
        <f>E272+F272</f>
        <v/>
      </c>
      <c r="H272" s="731" t="n"/>
      <c r="I272" s="731" t="n"/>
      <c r="J272" s="732">
        <f>AM272</f>
        <v/>
      </c>
      <c r="K272" s="738">
        <f>+(D272+G272)-(H272+I272+J272)</f>
        <v/>
      </c>
      <c r="L272" s="253" t="n"/>
      <c r="M272" s="254" t="n"/>
      <c r="N272" s="254" t="n"/>
      <c r="O272" s="1183" t="n"/>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73" t="n"/>
      <c r="E273" s="994" t="n"/>
      <c r="F273" s="994" t="n"/>
      <c r="G273" s="973" t="n"/>
      <c r="H273" s="994" t="n"/>
      <c r="I273" s="994" t="n"/>
      <c r="J273" s="973" t="n"/>
      <c r="K273" s="973" t="n"/>
      <c r="L273" s="253" t="n"/>
      <c r="M273" s="254" t="n"/>
      <c r="N273" s="254" t="n"/>
      <c r="O273" s="1183" t="n"/>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73" t="n"/>
      <c r="E274" s="994" t="n"/>
      <c r="F274" s="994" t="n"/>
      <c r="G274" s="973" t="n"/>
      <c r="H274" s="994" t="n"/>
      <c r="I274" s="994" t="n"/>
      <c r="J274" s="973" t="n"/>
      <c r="K274" s="973" t="n"/>
      <c r="L274" s="253" t="n"/>
      <c r="M274" s="254" t="n"/>
      <c r="N274" s="254" t="n"/>
      <c r="O274" s="1183" t="n"/>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73"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73"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75" t="n"/>
      <c r="E277" s="998" t="n"/>
      <c r="F277" s="998" t="n"/>
      <c r="G277" s="975" t="n"/>
      <c r="H277" s="998" t="n"/>
      <c r="I277" s="998" t="n"/>
      <c r="J277" s="975" t="n"/>
      <c r="K277" s="1189">
        <f>K272=L277</f>
        <v/>
      </c>
      <c r="L277" s="491">
        <f>SUM(L272:L276)</f>
        <v/>
      </c>
      <c r="M277" s="1190" t="inlineStr">
        <is>
          <t xml:space="preserve">“Verdadero” indica que la cantidad por lote, coincide con el saldo que inicia al mes siguiente. "Falso" no coinicide. </t>
        </is>
      </c>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496">
        <f>OCTUBRE!K278</f>
        <v/>
      </c>
      <c r="E278" s="731" t="n"/>
      <c r="F278" s="731" t="n"/>
      <c r="G278" s="730">
        <f>E278+F278</f>
        <v/>
      </c>
      <c r="H278" s="731" t="n"/>
      <c r="I278" s="731" t="n"/>
      <c r="J278" s="732">
        <f>AM278</f>
        <v/>
      </c>
      <c r="K278" s="738">
        <f>+(D278+G278)-(H278+I278+J278)</f>
        <v/>
      </c>
      <c r="L278" s="253" t="n"/>
      <c r="M278" s="254" t="n"/>
      <c r="N278" s="254" t="n"/>
      <c r="O278" s="1183" t="n"/>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73" t="n"/>
      <c r="E279" s="994" t="n"/>
      <c r="F279" s="994" t="n"/>
      <c r="G279" s="973" t="n"/>
      <c r="H279" s="994" t="n"/>
      <c r="I279" s="994" t="n"/>
      <c r="J279" s="973" t="n"/>
      <c r="K279" s="973" t="n"/>
      <c r="L279" s="253" t="n"/>
      <c r="M279" s="254" t="n"/>
      <c r="N279" s="254" t="n"/>
      <c r="O279" s="1183" t="n"/>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73"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73"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73"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75" t="n"/>
      <c r="E283" s="998" t="n"/>
      <c r="F283" s="998" t="n"/>
      <c r="G283" s="975" t="n"/>
      <c r="H283" s="998" t="n"/>
      <c r="I283" s="998" t="n"/>
      <c r="J283" s="975" t="n"/>
      <c r="K283" s="1189">
        <f>K278=L283</f>
        <v/>
      </c>
      <c r="L283" s="491">
        <f>SUM(L278:L282)</f>
        <v/>
      </c>
      <c r="M283" s="1190" t="inlineStr">
        <is>
          <t xml:space="preserve">“Verdadero” indica que la cantidad por lote, coincide con el saldo que inicia al mes siguiente. "Falso" no coinicide. </t>
        </is>
      </c>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496">
        <f>OCTUBRE!K284</f>
        <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73"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73"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73"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73"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75" t="n"/>
      <c r="E289" s="998" t="n"/>
      <c r="F289" s="998" t="n"/>
      <c r="G289" s="975" t="n"/>
      <c r="H289" s="998" t="n"/>
      <c r="I289" s="998" t="n"/>
      <c r="J289" s="975" t="n"/>
      <c r="K289" s="1189">
        <f>K284=L289</f>
        <v/>
      </c>
      <c r="L289" s="491">
        <f>SUM(L284:L288)</f>
        <v/>
      </c>
      <c r="M289" s="1190" t="inlineStr">
        <is>
          <t xml:space="preserve">“Verdadero” indica que la cantidad por lote, coincide con el saldo que inicia al mes siguiente. "Falso" no coinicide. </t>
        </is>
      </c>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496">
        <f>OCTUBRE!K290</f>
        <v/>
      </c>
      <c r="E290" s="731" t="n"/>
      <c r="F290" s="731" t="n"/>
      <c r="G290" s="730">
        <f>E290+F290</f>
        <v/>
      </c>
      <c r="H290" s="731" t="n"/>
      <c r="I290" s="731" t="n"/>
      <c r="J290" s="732">
        <f>AM290</f>
        <v/>
      </c>
      <c r="K290" s="738">
        <f>+(D290+G290)-(H290+I290+J290)</f>
        <v/>
      </c>
      <c r="L290" s="253" t="n"/>
      <c r="M290" s="254" t="n"/>
      <c r="N290" s="254" t="n"/>
      <c r="O290" s="1183" t="n"/>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73" t="n"/>
      <c r="E291" s="994" t="n"/>
      <c r="F291" s="994" t="n"/>
      <c r="G291" s="973" t="n"/>
      <c r="H291" s="994" t="n"/>
      <c r="I291" s="994" t="n"/>
      <c r="J291" s="973" t="n"/>
      <c r="K291" s="973" t="n"/>
      <c r="L291" s="253" t="n"/>
      <c r="M291" s="254" t="n"/>
      <c r="N291" s="254" t="n"/>
      <c r="O291" s="1183" t="n"/>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73"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73"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73"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75" t="n"/>
      <c r="E295" s="998" t="n"/>
      <c r="F295" s="998" t="n"/>
      <c r="G295" s="975" t="n"/>
      <c r="H295" s="998" t="n"/>
      <c r="I295" s="998" t="n"/>
      <c r="J295" s="975" t="n"/>
      <c r="K295" s="1189">
        <f>K290=L295</f>
        <v/>
      </c>
      <c r="L295" s="491">
        <f>SUM(L290:L294)</f>
        <v/>
      </c>
      <c r="M295" s="1190" t="inlineStr">
        <is>
          <t xml:space="preserve">“Verdadero” indica que la cantidad por lote, coincide con el saldo que inicia al mes siguiente. "Falso" no coinicide. </t>
        </is>
      </c>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496">
        <f>OCTUBRE!K296</f>
        <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73"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73"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73"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73"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75" t="n"/>
      <c r="E301" s="998" t="n"/>
      <c r="F301" s="998" t="n"/>
      <c r="G301" s="975" t="n"/>
      <c r="H301" s="998" t="n"/>
      <c r="I301" s="998" t="n"/>
      <c r="J301" s="975" t="n"/>
      <c r="K301" s="1189">
        <f>K296=L301</f>
        <v/>
      </c>
      <c r="L301" s="491">
        <f>SUM(L296:L300)</f>
        <v/>
      </c>
      <c r="M301" s="1190" t="inlineStr">
        <is>
          <t xml:space="preserve">“Verdadero” indica que la cantidad por lote, coincide con el saldo que inicia al mes siguiente. "Falso" no coinicide. </t>
        </is>
      </c>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647" t="inlineStr">
        <is>
          <t>JERINGAS</t>
        </is>
      </c>
      <c r="C302" s="967" t="n"/>
      <c r="D302" s="1257"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496">
        <f>OCTUBRE!K303</f>
        <v/>
      </c>
      <c r="E303" s="731" t="n"/>
      <c r="F303" s="731" t="n"/>
      <c r="G303" s="730">
        <f>E303+F303</f>
        <v/>
      </c>
      <c r="H303" s="731" t="n"/>
      <c r="I303" s="731" t="n"/>
      <c r="J303" s="732">
        <f>+AM303</f>
        <v/>
      </c>
      <c r="K303" s="706">
        <f>+(D303+G303)-(H303+I303+J303)</f>
        <v/>
      </c>
      <c r="L303" s="253" t="n"/>
      <c r="M303" s="254" t="n"/>
      <c r="N303" s="254" t="n"/>
      <c r="O303" s="1183" t="n"/>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73"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73" t="n"/>
      <c r="E305" s="994" t="n"/>
      <c r="F305" s="994" t="n"/>
      <c r="G305" s="973" t="n"/>
      <c r="H305" s="994" t="n"/>
      <c r="I305" s="994" t="n"/>
      <c r="J305" s="973" t="n"/>
      <c r="K305" s="973" t="n"/>
      <c r="L305" s="253" t="n"/>
      <c r="M305" s="254" t="n"/>
      <c r="N305" s="254" t="n"/>
      <c r="O305" s="1183" t="n"/>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73"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73"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73"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75" t="n"/>
      <c r="E309" s="998" t="n"/>
      <c r="F309" s="998" t="n"/>
      <c r="G309" s="975" t="n"/>
      <c r="H309" s="998" t="n"/>
      <c r="I309" s="998" t="n"/>
      <c r="J309" s="975" t="n"/>
      <c r="K309" s="1189">
        <f>K303=L309</f>
        <v/>
      </c>
      <c r="L309" s="491">
        <f>SUM(L303:L308)</f>
        <v/>
      </c>
      <c r="M309" s="1190" t="inlineStr">
        <is>
          <t xml:space="preserve">“Verdadero” indica que la cantidad por lote, coincide con el saldo que inicia al mes siguiente. "Falso" no coinicide. </t>
        </is>
      </c>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496">
        <f>OCTUBRE!K310</f>
        <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73"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73"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73"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73"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73"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75" t="n"/>
      <c r="E316" s="998" t="n"/>
      <c r="F316" s="998" t="n"/>
      <c r="G316" s="975" t="n"/>
      <c r="H316" s="998" t="n"/>
      <c r="I316" s="998" t="n"/>
      <c r="J316" s="975" t="n"/>
      <c r="K316" s="1189">
        <f>K310=L316</f>
        <v/>
      </c>
      <c r="L316" s="491">
        <f>SUM(L310:L315)</f>
        <v/>
      </c>
      <c r="M316" s="1190" t="inlineStr">
        <is>
          <t xml:space="preserve">“Verdadero” indica que la cantidad por lote, coincide con el saldo que inicia al mes siguiente. "Falso" no coinicide. </t>
        </is>
      </c>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496">
        <f>OCTUBRE!K317</f>
        <v/>
      </c>
      <c r="E317" s="731" t="n"/>
      <c r="F317" s="731" t="n"/>
      <c r="G317" s="730">
        <f>E317+F317</f>
        <v/>
      </c>
      <c r="H317" s="731" t="n"/>
      <c r="I317" s="731" t="n"/>
      <c r="J317" s="732">
        <f>+AM317</f>
        <v/>
      </c>
      <c r="K317" s="706">
        <f>+(D317+G317)-(H317+I317+J317)</f>
        <v/>
      </c>
      <c r="L317" s="253" t="n"/>
      <c r="M317" s="254" t="n"/>
      <c r="N317" s="254" t="n"/>
      <c r="O317" s="1183" t="n"/>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73" t="n"/>
      <c r="E318" s="994" t="n"/>
      <c r="F318" s="994" t="n"/>
      <c r="G318" s="973" t="n"/>
      <c r="H318" s="994" t="n"/>
      <c r="I318" s="994" t="n"/>
      <c r="J318" s="973" t="n"/>
      <c r="K318" s="973" t="n"/>
      <c r="L318" s="253" t="n"/>
      <c r="M318" s="254" t="n"/>
      <c r="N318" s="254" t="n"/>
      <c r="O318" s="1183" t="n"/>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73" t="n"/>
      <c r="E319" s="994" t="n"/>
      <c r="F319" s="994" t="n"/>
      <c r="G319" s="973" t="n"/>
      <c r="H319" s="994" t="n"/>
      <c r="I319" s="994" t="n"/>
      <c r="J319" s="973" t="n"/>
      <c r="K319" s="973" t="n"/>
      <c r="L319" s="253" t="n"/>
      <c r="M319" s="254" t="n"/>
      <c r="N319" s="254" t="n"/>
      <c r="O319" s="1183" t="n"/>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73"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73"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73"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75" t="n"/>
      <c r="E323" s="998" t="n"/>
      <c r="F323" s="998" t="n"/>
      <c r="G323" s="975" t="n"/>
      <c r="H323" s="998" t="n"/>
      <c r="I323" s="998" t="n"/>
      <c r="J323" s="975" t="n"/>
      <c r="K323" s="1189">
        <f>K317=L323</f>
        <v/>
      </c>
      <c r="L323" s="491">
        <f>SUM(L317:L322)</f>
        <v/>
      </c>
      <c r="M323" s="1190" t="inlineStr">
        <is>
          <t xml:space="preserve">“Verdadero” indica que la cantidad por lote, coincide con el saldo que inicia al mes siguiente. "Falso" no coinicide. </t>
        </is>
      </c>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496">
        <f>OCTUBRE!K324</f>
        <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73"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73"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73"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73"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73"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75"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496">
        <f>OCTUBRE!K331</f>
        <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73"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73"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73"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73"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73"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75" t="n"/>
      <c r="E337" s="998" t="n"/>
      <c r="F337" s="998" t="n"/>
      <c r="G337" s="975" t="n"/>
      <c r="H337" s="998" t="n"/>
      <c r="I337" s="998" t="n"/>
      <c r="J337" s="975" t="n"/>
      <c r="K337" s="1189">
        <f>K331=L337</f>
        <v/>
      </c>
      <c r="L337" s="491">
        <f>SUM(L331:L336)</f>
        <v/>
      </c>
      <c r="M337" s="1190" t="inlineStr">
        <is>
          <t xml:space="preserve">“Verdadero” indica que la cantidad por lote, coincide con el saldo que inicia al mes siguiente. "Falso" no coinicide. </t>
        </is>
      </c>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496">
        <f>OCTUBRE!K338</f>
        <v/>
      </c>
      <c r="E338" s="731" t="n"/>
      <c r="F338" s="731" t="n"/>
      <c r="G338" s="730">
        <f>E338+F338</f>
        <v/>
      </c>
      <c r="H338" s="731" t="n"/>
      <c r="I338" s="731" t="n"/>
      <c r="J338" s="732">
        <f>+AM338</f>
        <v/>
      </c>
      <c r="K338" s="706">
        <f>+(D338+G338)-(H338+I338+J338)</f>
        <v/>
      </c>
      <c r="L338" s="253" t="n"/>
      <c r="M338" s="254" t="n"/>
      <c r="N338" s="254" t="n"/>
      <c r="O338" s="1183" t="n"/>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73" t="n"/>
      <c r="E339" s="994" t="n"/>
      <c r="F339" s="994" t="n"/>
      <c r="G339" s="973" t="n"/>
      <c r="H339" s="994" t="n"/>
      <c r="I339" s="994" t="n"/>
      <c r="J339" s="973" t="n"/>
      <c r="K339" s="973" t="n"/>
      <c r="L339" s="253" t="n"/>
      <c r="M339" s="254" t="n"/>
      <c r="N339" s="254" t="n"/>
      <c r="O339" s="1183" t="n"/>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73" t="n"/>
      <c r="E340" s="994" t="n"/>
      <c r="F340" s="994" t="n"/>
      <c r="G340" s="973" t="n"/>
      <c r="H340" s="994" t="n"/>
      <c r="I340" s="994" t="n"/>
      <c r="J340" s="973" t="n"/>
      <c r="K340" s="973" t="n"/>
      <c r="L340" s="253" t="n"/>
      <c r="M340" s="254" t="n"/>
      <c r="N340" s="254" t="n"/>
      <c r="O340" s="1183" t="n"/>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73"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73"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73"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75" t="n"/>
      <c r="E344" s="998" t="n"/>
      <c r="F344" s="998" t="n"/>
      <c r="G344" s="975" t="n"/>
      <c r="H344" s="998" t="n"/>
      <c r="I344" s="998" t="n"/>
      <c r="J344" s="975" t="n"/>
      <c r="K344" s="1189">
        <f>K338=L344</f>
        <v/>
      </c>
      <c r="L344" s="491">
        <f>SUM(L338:L343)</f>
        <v/>
      </c>
      <c r="M344" s="1190" t="inlineStr">
        <is>
          <t xml:space="preserve">“Verdadero” indica que la cantidad por lote, coincide con el saldo que inicia al mes siguiente. "Falso" no coinicide. </t>
        </is>
      </c>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496">
        <f>OCTUBRE!K345</f>
        <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73"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73"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73"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73"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73"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75" t="n"/>
      <c r="E351" s="998" t="n"/>
      <c r="F351" s="998" t="n"/>
      <c r="G351" s="975" t="n"/>
      <c r="H351" s="998" t="n"/>
      <c r="I351" s="998" t="n"/>
      <c r="J351" s="975" t="n"/>
      <c r="K351" s="1189">
        <f>K345=L351</f>
        <v/>
      </c>
      <c r="L351" s="491">
        <f>SUM(L345:L350)</f>
        <v/>
      </c>
      <c r="M351" s="1190" t="inlineStr">
        <is>
          <t xml:space="preserve">“Verdadero” indica que la cantidad por lote, coincide con el saldo que inicia al mes siguiente. "Falso" no coinicide. </t>
        </is>
      </c>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496">
        <f>OCTUBRE!K352</f>
        <v/>
      </c>
      <c r="E352" s="731" t="n"/>
      <c r="F352" s="731" t="n"/>
      <c r="G352" s="730">
        <f>E352+F352</f>
        <v/>
      </c>
      <c r="H352" s="731" t="n"/>
      <c r="I352" s="731" t="n"/>
      <c r="J352" s="732">
        <f>AM352</f>
        <v/>
      </c>
      <c r="K352" s="706">
        <f>+(D352+G352)-(H352+I352+J352)</f>
        <v/>
      </c>
      <c r="L352" s="253" t="n"/>
      <c r="M352" s="254" t="n"/>
      <c r="N352" s="254" t="n"/>
      <c r="O352" s="1183" t="n"/>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73" t="n"/>
      <c r="E353" s="994" t="n"/>
      <c r="F353" s="994" t="n"/>
      <c r="G353" s="973" t="n"/>
      <c r="H353" s="994" t="n"/>
      <c r="I353" s="994" t="n"/>
      <c r="J353" s="973" t="n"/>
      <c r="K353" s="973" t="n"/>
      <c r="L353" s="253" t="n"/>
      <c r="M353" s="254" t="n"/>
      <c r="N353" s="254" t="n"/>
      <c r="O353" s="1183" t="n"/>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73" t="n"/>
      <c r="E354" s="994" t="n"/>
      <c r="F354" s="994" t="n"/>
      <c r="G354" s="973" t="n"/>
      <c r="H354" s="994" t="n"/>
      <c r="I354" s="994" t="n"/>
      <c r="J354" s="973" t="n"/>
      <c r="K354" s="973" t="n"/>
      <c r="L354" s="253" t="n"/>
      <c r="M354" s="254" t="n"/>
      <c r="N354" s="254" t="n"/>
      <c r="O354" s="1183" t="n"/>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73"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73"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73"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75" t="n"/>
      <c r="E358" s="998" t="n"/>
      <c r="F358" s="998" t="n"/>
      <c r="G358" s="975" t="n"/>
      <c r="H358" s="998" t="n"/>
      <c r="I358" s="998" t="n"/>
      <c r="J358" s="975" t="n"/>
      <c r="K358" s="1189">
        <f>K352=L358</f>
        <v/>
      </c>
      <c r="L358" s="491">
        <f>SUM(L352:L357)</f>
        <v/>
      </c>
      <c r="M358" s="1190" t="inlineStr">
        <is>
          <t xml:space="preserve">“Verdadero” indica que la cantidad por lote, coincide con el saldo que inicia al mes siguiente. "Falso" no coinicide. </t>
        </is>
      </c>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496">
        <f>OCTUBRE!K359</f>
        <v/>
      </c>
      <c r="E359" s="731" t="n"/>
      <c r="F359" s="731" t="n"/>
      <c r="G359" s="730">
        <f>E359+F359</f>
        <v/>
      </c>
      <c r="H359" s="731" t="n"/>
      <c r="I359" s="731" t="n"/>
      <c r="J359" s="732">
        <f>AM359</f>
        <v/>
      </c>
      <c r="K359" s="706">
        <f>+(D359+G359)-(H359+I359+J359)</f>
        <v/>
      </c>
      <c r="L359" s="253" t="n"/>
      <c r="M359" s="254" t="n"/>
      <c r="N359" s="254" t="n"/>
      <c r="O359" s="1183" t="n"/>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73" t="n"/>
      <c r="E360" s="994" t="n"/>
      <c r="F360" s="994" t="n"/>
      <c r="G360" s="973" t="n"/>
      <c r="H360" s="994" t="n"/>
      <c r="I360" s="994" t="n"/>
      <c r="J360" s="973" t="n"/>
      <c r="K360" s="973" t="n"/>
      <c r="L360" s="253" t="n"/>
      <c r="M360" s="254" t="n"/>
      <c r="N360" s="254" t="n"/>
      <c r="O360" s="1183" t="n"/>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73" t="n"/>
      <c r="E361" s="994" t="n"/>
      <c r="F361" s="994" t="n"/>
      <c r="G361" s="973" t="n"/>
      <c r="H361" s="994" t="n"/>
      <c r="I361" s="994" t="n"/>
      <c r="J361" s="973" t="n"/>
      <c r="K361" s="973" t="n"/>
      <c r="L361" s="253" t="n"/>
      <c r="M361" s="254" t="n"/>
      <c r="N361" s="254" t="n"/>
      <c r="O361" s="1183" t="n"/>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73" t="n"/>
      <c r="E362" s="994" t="n"/>
      <c r="F362" s="994" t="n"/>
      <c r="G362" s="973" t="n"/>
      <c r="H362" s="994" t="n"/>
      <c r="I362" s="994" t="n"/>
      <c r="J362" s="973" t="n"/>
      <c r="K362" s="973" t="n"/>
      <c r="L362" s="253" t="n"/>
      <c r="M362" s="254" t="n"/>
      <c r="N362" s="254" t="n"/>
      <c r="O362" s="1183" t="n"/>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73"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73"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75" t="n"/>
      <c r="E365" s="998" t="n"/>
      <c r="F365" s="998" t="n"/>
      <c r="G365" s="975" t="n"/>
      <c r="H365" s="998" t="n"/>
      <c r="I365" s="998" t="n"/>
      <c r="J365" s="975" t="n"/>
      <c r="K365" s="1189">
        <f>K359=L365</f>
        <v/>
      </c>
      <c r="L365" s="491">
        <f>SUM(L359:L364)</f>
        <v/>
      </c>
      <c r="M365" s="1190" t="inlineStr">
        <is>
          <t xml:space="preserve">“Verdadero” indica que la cantidad por lote, coincide con el saldo que inicia al mes siguiente. "Falso" no coinicide. </t>
        </is>
      </c>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496">
        <f>OCTUBRE!K366</f>
        <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73"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73"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73"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73"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73"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75"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496">
        <f>OCTUBRE!K373</f>
        <v/>
      </c>
      <c r="E373" s="731" t="n"/>
      <c r="F373" s="731" t="n"/>
      <c r="G373" s="730">
        <f>E373+F373</f>
        <v/>
      </c>
      <c r="H373" s="731" t="n"/>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496">
        <f>OCTUBRE!K374</f>
        <v/>
      </c>
      <c r="E374" s="731" t="n"/>
      <c r="F374" s="731" t="n"/>
      <c r="G374" s="730">
        <f>E374+F374</f>
        <v/>
      </c>
      <c r="H374" s="731" t="n"/>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496">
        <f>OCTUBRE!K375</f>
        <v/>
      </c>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496">
        <f>OCTUBRE!K376</f>
        <v/>
      </c>
      <c r="E376" s="731" t="n"/>
      <c r="F376" s="731" t="n"/>
      <c r="G376" s="730">
        <f>E376+F376</f>
        <v/>
      </c>
      <c r="H376" s="731" t="n"/>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496">
        <f>OCTUBRE!K377</f>
        <v/>
      </c>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496">
        <f>OCTUBRE!K378</f>
        <v/>
      </c>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496">
        <f>OCTUBRE!K379</f>
        <v/>
      </c>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623" t="inlineStr">
        <is>
          <t>ÍTEM</t>
        </is>
      </c>
      <c r="B381" s="719" t="inlineStr">
        <is>
          <t>VACUNA COVID-19</t>
        </is>
      </c>
      <c r="C381" s="965" t="n"/>
      <c r="D381" s="716" t="inlineStr">
        <is>
          <t>SALDO MES ANTERIOR</t>
        </is>
      </c>
      <c r="E381" s="1179" t="inlineStr">
        <is>
          <t>ENTRADA</t>
        </is>
      </c>
      <c r="F381" s="1180" t="n"/>
      <c r="G381" s="965" t="n"/>
      <c r="H381" s="715" t="inlineStr">
        <is>
          <t>SALIDAS</t>
        </is>
      </c>
      <c r="I381" s="968" t="n"/>
      <c r="J381" s="967" t="n"/>
      <c r="K381" s="623" t="inlineStr">
        <is>
          <t>SALDO QUE INICIA EL MES SIGUIENTE</t>
        </is>
      </c>
      <c r="L381" s="623" t="inlineStr">
        <is>
          <t>DOSIS POR LOTES</t>
        </is>
      </c>
      <c r="M381" s="623" t="inlineStr">
        <is>
          <t xml:space="preserve">No. LOTE </t>
        </is>
      </c>
      <c r="N381" s="623" t="inlineStr">
        <is>
          <t>LABORATORIO</t>
        </is>
      </c>
      <c r="O381" s="623" t="inlineStr">
        <is>
          <t>FECHA DE VENCIMIENTO</t>
        </is>
      </c>
      <c r="P381" s="623" t="inlineStr">
        <is>
          <t>SEMAFORIZACION VIDA  ÚTIL DEL BIOLÓGICO</t>
        </is>
      </c>
      <c r="Q381" s="623" t="inlineStr">
        <is>
          <t>CONDICIÓN FINAL DEL BIOLÓGICO, DILUYENTE Y CARNET</t>
        </is>
      </c>
      <c r="R381" s="613" t="inlineStr">
        <is>
          <t>DOSIS EN CUARENTENA</t>
        </is>
      </c>
      <c r="S381" s="613" t="inlineStr">
        <is>
          <t>LABORATORIO</t>
        </is>
      </c>
      <c r="T381" s="613" t="inlineStr">
        <is>
          <t>No. LOTE</t>
        </is>
      </c>
      <c r="U381" s="613" t="inlineStr">
        <is>
          <t>FECHA DE VENCIMEINTO</t>
        </is>
      </c>
      <c r="V381" s="613" t="inlineStr">
        <is>
          <t>FECHA DE INICIO CUARENTENA</t>
        </is>
      </c>
      <c r="W381" s="613" t="inlineStr">
        <is>
          <t>OBSERVACIONES</t>
        </is>
      </c>
      <c r="X381" s="250" t="n"/>
      <c r="Z381" s="1221" t="inlineStr">
        <is>
          <t>MOTIVOS DE NO USO DE VACUNAS CONTRA LA COVID-19
RESOLUCIÓN 0118 DEL 27 DE ENERO DE 2026
DISPONIBLE EN EL SIGUIENTE LINK: https://www.minsalud.gov.co/Normatividad_Nuevo/Resolucion%20No%20118%20de%202026.pdf</t>
        </is>
      </c>
      <c r="AA381" s="968" t="n"/>
      <c r="AB381" s="968" t="n"/>
      <c r="AC381" s="968" t="n"/>
      <c r="AD381" s="968" t="n"/>
      <c r="AE381" s="968" t="n"/>
      <c r="AF381" s="968" t="n"/>
      <c r="AG381" s="968" t="n"/>
      <c r="AH381" s="968" t="n"/>
      <c r="AI381" s="968" t="n"/>
      <c r="AJ381" s="968" t="n"/>
      <c r="AK381" s="968" t="n"/>
      <c r="AL381" s="967" t="n"/>
      <c r="AM381" s="532" t="inlineStr">
        <is>
          <t xml:space="preserve">TOTAL DOSIS PERDIDAS        </t>
        </is>
      </c>
      <c r="AN381" s="478" t="n"/>
      <c r="AO381" s="368" t="n"/>
      <c r="AU381" s="251" t="n"/>
      <c r="AV381" s="251" t="n"/>
    </row>
    <row r="382" ht="28.5" customHeight="1">
      <c r="A382" s="973" t="n"/>
      <c r="B382" s="971" t="n"/>
      <c r="C382" s="972" t="n"/>
      <c r="D382" s="973" t="n"/>
      <c r="E382" s="623" t="inlineStr">
        <is>
          <t>DOSIS RECIBIDAS DEL ALMACÉN CENTRAL DEL MSPS</t>
        </is>
      </c>
      <c r="F382" s="623" t="inlineStr">
        <is>
          <t>DOSIS RECIBIDAS X TRASLADO DEL CA DEPARTAMENTAL O DISTRITAL</t>
        </is>
      </c>
      <c r="G382" s="623" t="inlineStr">
        <is>
          <t>TOTAL ENTRADAS</t>
        </is>
      </c>
      <c r="H382" s="711" t="inlineStr">
        <is>
          <t>DOSIS DESPACHADAS A LOS MUNICIPIOS / DISTRITOS A IPS</t>
        </is>
      </c>
      <c r="I382" s="711" t="inlineStr">
        <is>
          <t>DOSIS TRASLADADAS A OTROS DEPARTAMENTOS O DISTRITOS</t>
        </is>
      </c>
      <c r="J382" s="716" t="inlineStr">
        <is>
          <t>DOSIS PERDIDAS</t>
        </is>
      </c>
      <c r="K382" s="973" t="n"/>
      <c r="L382" s="973" t="n"/>
      <c r="M382" s="973" t="n"/>
      <c r="N382" s="973" t="n"/>
      <c r="O382" s="973" t="n"/>
      <c r="P382" s="973" t="n"/>
      <c r="Q382" s="973" t="n"/>
      <c r="R382" s="973" t="n"/>
      <c r="S382" s="973" t="n"/>
      <c r="T382" s="973" t="n"/>
      <c r="U382" s="973" t="n"/>
      <c r="V382" s="973" t="n"/>
      <c r="W382" s="973" t="n"/>
      <c r="X382" s="250" t="n"/>
      <c r="Y382" s="252" t="n"/>
      <c r="Z382" s="533" t="n">
        <v>1</v>
      </c>
      <c r="AA382" s="967" t="n"/>
      <c r="AB382" s="533" t="n">
        <v>2</v>
      </c>
      <c r="AC382" s="533" t="n">
        <v>3</v>
      </c>
      <c r="AD382" s="533" t="n">
        <v>4</v>
      </c>
      <c r="AE382" s="533" t="n">
        <v>5</v>
      </c>
      <c r="AF382" s="533" t="n">
        <v>6</v>
      </c>
      <c r="AG382" s="533" t="n">
        <v>7</v>
      </c>
      <c r="AH382" s="533" t="n">
        <v>8</v>
      </c>
      <c r="AI382" s="533" t="n">
        <v>9</v>
      </c>
      <c r="AJ382" s="533" t="n">
        <v>10</v>
      </c>
      <c r="AK382" s="533" t="n">
        <v>11</v>
      </c>
      <c r="AL382" s="533" t="n">
        <v>12</v>
      </c>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inlineStr">
        <is>
          <t>POLÍTICA DE FRASCOS ABIERTO</t>
        </is>
      </c>
      <c r="AA383" s="967" t="n"/>
      <c r="AB383" s="1222" t="inlineStr">
        <is>
          <t>INTERRUPCIÓN DE LA CADENA DE FRÍO</t>
        </is>
      </c>
      <c r="AC383" s="537" t="inlineStr">
        <is>
          <t>CONTAMINACIÓN DEL BIOLÓGICO</t>
        </is>
      </c>
      <c r="AD383" s="1222" t="inlineStr">
        <is>
          <t>ERROR EN LA MANIPULACIÓN</t>
        </is>
      </c>
      <c r="AE383" s="537" t="inlineStr">
        <is>
          <t>ERROR EN LA RECONSTITUCIÓN/DILUCIÓN</t>
        </is>
      </c>
      <c r="AF383" s="1222" t="inlineStr">
        <is>
          <t>ERROR EN LA DOSIFICACIÓN</t>
        </is>
      </c>
      <c r="AG383" s="537" t="inlineStr">
        <is>
          <t>VACUNA QUE EXCEDE EL TIEMPO DE ALMACENAMIENTO EN REFRIGERACIÓN</t>
        </is>
      </c>
      <c r="AH383" s="1222" t="inlineStr">
        <is>
          <t>VENCIMIENTO DEL BIOLÓGICO</t>
        </is>
      </c>
      <c r="AI383" s="537" t="inlineStr">
        <is>
          <t>FRASCO VIAL ROTO</t>
        </is>
      </c>
      <c r="AJ383" s="1222" t="inlineStr">
        <is>
          <t>FALLAS DE FABRICACIÓN/CALIDAD</t>
        </is>
      </c>
      <c r="AK383" s="537" t="inlineStr">
        <is>
          <t>SINIESTRO / ACCIDENTE</t>
        </is>
      </c>
      <c r="AL383" s="1222" t="inlineStr">
        <is>
          <t>ROBO/HURTO BIOLÓGICO</t>
        </is>
      </c>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496">
        <f>OCTUBRE!K385</f>
        <v/>
      </c>
      <c r="E385" s="731" t="n"/>
      <c r="F385" s="731" t="n"/>
      <c r="G385" s="730">
        <f>E385+F385</f>
        <v/>
      </c>
      <c r="H385" s="731" t="n"/>
      <c r="I385" s="731" t="n"/>
      <c r="J385" s="732">
        <f>AM385</f>
        <v/>
      </c>
      <c r="K385" s="706">
        <f>+(D385+G385)-(H385+I385+J385)</f>
        <v/>
      </c>
      <c r="L385" s="486" t="n"/>
      <c r="M385" s="487" t="n"/>
      <c r="N385" s="487" t="n"/>
      <c r="O385" s="1223" t="n"/>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73"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73"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73"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75" t="n"/>
      <c r="E389" s="998" t="n"/>
      <c r="F389" s="998" t="n"/>
      <c r="G389" s="975" t="n"/>
      <c r="H389" s="998" t="n"/>
      <c r="I389" s="998" t="n"/>
      <c r="J389" s="975" t="n"/>
      <c r="K389" s="1189">
        <f>K385=L389</f>
        <v/>
      </c>
      <c r="L389" s="491">
        <f>SUM(L385:L388)</f>
        <v/>
      </c>
      <c r="M389" s="1190" t="inlineStr">
        <is>
          <t xml:space="preserve">“Verdadero” indica que la cantidad por lote, coincide con el saldo que inicia al mes siguiente. "Falso" no coinicide. </t>
        </is>
      </c>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496">
        <f>OCTUBRE!K390</f>
        <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73"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73"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73"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75" t="n"/>
      <c r="E394" s="998" t="n"/>
      <c r="F394" s="998" t="n"/>
      <c r="G394" s="975" t="n"/>
      <c r="H394" s="998" t="n"/>
      <c r="I394" s="998" t="n"/>
      <c r="J394" s="975" t="n"/>
      <c r="K394" s="1189">
        <f>K390=L394</f>
        <v/>
      </c>
      <c r="L394" s="491">
        <f>SUM(L390:L393)</f>
        <v/>
      </c>
      <c r="M394" s="1190" t="inlineStr">
        <is>
          <t xml:space="preserve">“Verdadero” indica que la cantidad por lote, coincide con el saldo que inicia al mes siguiente. "Falso" no coinicide. </t>
        </is>
      </c>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496">
        <f>OCTUBRE!K395</f>
        <v/>
      </c>
      <c r="E395" s="731" t="n"/>
      <c r="F395" s="731" t="n"/>
      <c r="G395" s="730">
        <f>E395+F395</f>
        <v/>
      </c>
      <c r="H395" s="731" t="n"/>
      <c r="I395" s="731" t="n"/>
      <c r="J395" s="732">
        <f>AM395</f>
        <v/>
      </c>
      <c r="K395" s="706">
        <f>+(D395+G395)-(H395+I395+J395)</f>
        <v/>
      </c>
      <c r="L395" s="486" t="n"/>
      <c r="M395" s="487" t="n"/>
      <c r="N395" s="487" t="n"/>
      <c r="O395" s="1223" t="n"/>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73"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73"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73"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75" t="n"/>
      <c r="E399" s="998" t="n"/>
      <c r="F399" s="998" t="n"/>
      <c r="G399" s="975" t="n"/>
      <c r="H399" s="998" t="n"/>
      <c r="I399" s="998" t="n"/>
      <c r="J399" s="975" t="n"/>
      <c r="K399" s="1189">
        <f>K395=L399</f>
        <v/>
      </c>
      <c r="L399" s="491">
        <f>SUM(L395:L398)</f>
        <v/>
      </c>
      <c r="M399" s="1190" t="inlineStr">
        <is>
          <t xml:space="preserve">“Verdadero” indica que la cantidad por lote, coincide con el saldo que inicia al mes siguiente. "Falso" no coinicide. </t>
        </is>
      </c>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496">
        <f>OCTUBRE!K400</f>
        <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73"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73"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73"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75" t="n"/>
      <c r="E404" s="998" t="n"/>
      <c r="F404" s="998" t="n"/>
      <c r="G404" s="975" t="n"/>
      <c r="H404" s="998" t="n"/>
      <c r="I404" s="998" t="n"/>
      <c r="J404" s="975" t="n"/>
      <c r="K404" s="1189">
        <f>K400=L404</f>
        <v/>
      </c>
      <c r="L404" s="491">
        <f>SUM(L400:L403)</f>
        <v/>
      </c>
      <c r="M404" s="1190" t="inlineStr">
        <is>
          <t xml:space="preserve">“Verdadero” indica que la cantidad por lote, coincide con el saldo que inicia al mes siguiente. "Falso" no coinicide. </t>
        </is>
      </c>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496">
        <f>OCTUBRE!K405</f>
        <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73"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73"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73"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75" t="n"/>
      <c r="E409" s="998" t="n"/>
      <c r="F409" s="998" t="n"/>
      <c r="G409" s="975" t="n"/>
      <c r="H409" s="998" t="n"/>
      <c r="I409" s="998" t="n"/>
      <c r="J409" s="975" t="n"/>
      <c r="K409" s="1189">
        <f>K405=L409</f>
        <v/>
      </c>
      <c r="L409" s="491">
        <f>SUM(L405:L408)</f>
        <v/>
      </c>
      <c r="M409" s="1190" t="inlineStr">
        <is>
          <t xml:space="preserve">“Verdadero” indica que la cantidad por lote, coincide con el saldo que inicia al mes siguiente. "Falso" no coinicide. </t>
        </is>
      </c>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1268" t="inlineStr">
        <is>
          <t>ÍTEM</t>
        </is>
      </c>
      <c r="B413" s="1268" t="inlineStr">
        <is>
          <t>INSUMOS</t>
        </is>
      </c>
      <c r="C413" s="965" t="n"/>
      <c r="D413" s="1231" t="inlineStr">
        <is>
          <t>SALDO MES ANTERIOR</t>
        </is>
      </c>
      <c r="E413" s="961" t="inlineStr">
        <is>
          <t>BIOLÓGICO RECIBIDO DEL CENTRO DE ACOPIO DEPARTAMENTAL / DISTRITAL</t>
        </is>
      </c>
      <c r="F413" s="1231" t="inlineStr">
        <is>
          <t>DOSIS APLICADAS</t>
        </is>
      </c>
      <c r="G413" s="967" t="n"/>
      <c r="H413" s="1232" t="inlineStr">
        <is>
          <t>TOTAL DOSIS APLICADAS</t>
        </is>
      </c>
      <c r="I413" s="961" t="inlineStr">
        <is>
          <t>DOSIS PERDIDAS</t>
        </is>
      </c>
      <c r="J413" s="1231" t="inlineStr">
        <is>
          <t>TOTAL DOSIS ÚTILIZADAS EN EL MES</t>
        </is>
      </c>
      <c r="K413" s="623" t="inlineStr">
        <is>
          <t>SALDO QUE INICIA EL MES SIGUIENTE (SOLO MUNICIPIOS)</t>
        </is>
      </c>
      <c r="L413" s="623" t="inlineStr">
        <is>
          <t>DOSIS POR LOTES</t>
        </is>
      </c>
      <c r="M413" s="623" t="inlineStr">
        <is>
          <t xml:space="preserve">No. LOTE </t>
        </is>
      </c>
      <c r="N413" s="1233" t="inlineStr">
        <is>
          <t>LABORATORIO</t>
        </is>
      </c>
      <c r="O413" s="623" t="inlineStr">
        <is>
          <t>FECHA DE VENCIMIENTO</t>
        </is>
      </c>
      <c r="P413" s="623" t="inlineStr">
        <is>
          <t>SEMAFORIZACION VIDA  ÚTIL DEL BIOLÓGICO</t>
        </is>
      </c>
      <c r="Q413" s="623" t="inlineStr">
        <is>
          <t>CONDICIÓN FINAL DEL BIOLÓGICO, DILUYENTE Y CARNET</t>
        </is>
      </c>
      <c r="R413" s="613" t="inlineStr">
        <is>
          <t>DOSIS EN CUARENTENA</t>
        </is>
      </c>
      <c r="S413" s="613" t="inlineStr">
        <is>
          <t>LABORATORIO</t>
        </is>
      </c>
      <c r="T413" s="613" t="inlineStr">
        <is>
          <t>No. LOTE</t>
        </is>
      </c>
      <c r="U413" s="613" t="inlineStr">
        <is>
          <t>FECHA DE VENCIMEINTO</t>
        </is>
      </c>
      <c r="V413" s="613" t="inlineStr">
        <is>
          <t>FECHA DE INICIO CUARENTENA</t>
        </is>
      </c>
      <c r="W413" s="961" t="inlineStr">
        <is>
          <t>PORCENTAJE DE PERDIDA DEL MES</t>
        </is>
      </c>
      <c r="X413" s="961" t="inlineStr">
        <is>
          <t>OBSERVACIONES</t>
        </is>
      </c>
      <c r="Y413" s="232" t="n"/>
      <c r="Z413" s="400" t="inlineStr">
        <is>
          <t>CAUSAS PERDIDA DE BIOLÓGICOS (Remítase a la primera hoja donde se especifica la clasificación de las perdidas)</t>
        </is>
      </c>
      <c r="AA413" s="400" t="n"/>
      <c r="AB413" s="400" t="n"/>
      <c r="AC413" s="400" t="n"/>
      <c r="AD413" s="400" t="n"/>
      <c r="AE413" s="400" t="n"/>
      <c r="AF413" s="400" t="n"/>
      <c r="AG413" s="400" t="n"/>
      <c r="AH413" s="400" t="n"/>
      <c r="AI413" s="400" t="n"/>
      <c r="AJ413" s="400" t="n"/>
      <c r="AK413" s="400" t="n"/>
      <c r="AL413" s="400" t="n"/>
      <c r="AM413" s="1181" t="inlineStr">
        <is>
          <t xml:space="preserve">TOTAL DOSIS PERDIDAS        </t>
        </is>
      </c>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inlineStr">
        <is>
          <t>POLÍTICA DE FRASCOS ABIERTO</t>
        </is>
      </c>
      <c r="AA415" s="968" t="n"/>
      <c r="AB415" s="967" t="n"/>
      <c r="AC415" s="330" t="inlineStr">
        <is>
          <t>INTERRUPCIÓN DE CADENA DE FRÍO</t>
        </is>
      </c>
      <c r="AD415" s="566" t="inlineStr">
        <is>
          <t>CONTAMINACION DEL BIOLÓGICO/DISPOSITIVO MÉDICO</t>
        </is>
      </c>
      <c r="AE415" s="533" t="inlineStr">
        <is>
          <t>VIAL ROTO</t>
        </is>
      </c>
      <c r="AF415" s="566" t="inlineStr">
        <is>
          <t>ERRORES EN LA MANIPULACIÓN</t>
        </is>
      </c>
      <c r="AG415" s="533" t="inlineStr">
        <is>
          <t>VENCIMIENTO DEL BIOLÓGICO O JERINGA</t>
        </is>
      </c>
      <c r="AH415" s="566" t="inlineStr">
        <is>
          <t>FARMACOVIGILANCIA / TECNOVIGILANCIA</t>
        </is>
      </c>
      <c r="AI415" s="533" t="inlineStr">
        <is>
          <t>VOMITO FRANCO</t>
        </is>
      </c>
      <c r="AJ415" s="533" t="inlineStr">
        <is>
          <t>APLICACIÓN FUERA DE LA EDAD</t>
        </is>
      </c>
      <c r="AK415" s="533" t="inlineStr">
        <is>
          <t>POR DECISIÓN FINAL DEL PACIENTE DE NO VACUNACIÓN</t>
        </is>
      </c>
      <c r="AL415" s="566" t="inlineStr">
        <is>
          <t>SINIESTRO O ROBO</t>
        </is>
      </c>
      <c r="AM415" s="973" t="n"/>
      <c r="AN415" s="333" t="n"/>
      <c r="AQ415" s="332" t="n"/>
      <c r="AR415" s="332" t="n"/>
      <c r="AS415" s="332" t="n"/>
      <c r="AT415" s="332" t="n"/>
      <c r="AU415" s="332" t="n"/>
      <c r="AV415" s="566" t="inlineStr">
        <is>
          <t>Dosis reportadas Plantilla Cero</t>
        </is>
      </c>
      <c r="AW415" s="566" t="inlineStr">
        <is>
          <t>Diferencia dosis aplicadas vs dosis reportadas plantilla cero</t>
        </is>
      </c>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inlineStr">
        <is>
          <t>INSTITUCIONAL</t>
        </is>
      </c>
      <c r="AA416" s="533" t="inlineStr">
        <is>
          <t>EXTRAMURAL</t>
        </is>
      </c>
      <c r="AB416" s="533" t="inlineStr">
        <is>
          <t>TOTAL</t>
        </is>
      </c>
      <c r="AC416" s="975" t="n"/>
      <c r="AD416" s="975" t="n"/>
      <c r="AE416" s="975" t="n"/>
      <c r="AF416" s="975" t="n"/>
      <c r="AG416" s="975" t="n"/>
      <c r="AH416" s="975" t="n"/>
      <c r="AI416" s="975" t="n"/>
      <c r="AJ416" s="975" t="n"/>
      <c r="AK416" s="975" t="n"/>
      <c r="AL416" s="975" t="n"/>
      <c r="AM416" s="975" t="n"/>
      <c r="AN416" s="333" t="n"/>
      <c r="AQ416" s="546" t="inlineStr">
        <is>
          <t>PORCENTAJE DE PERDIDA DEL MES
%</t>
        </is>
      </c>
      <c r="AR416" s="546" t="inlineStr">
        <is>
          <t>FACTOR DE PERDIDA DEL MES</t>
        </is>
      </c>
      <c r="AS416" s="420" t="inlineStr">
        <is>
          <t>% DE PERDIDA DEL MSPS</t>
        </is>
      </c>
      <c r="AT416" s="420" t="inlineStr">
        <is>
          <t>DOSIS POR VIAL</t>
        </is>
      </c>
      <c r="AU416" s="332" t="n"/>
      <c r="AV416" s="975" t="n"/>
      <c r="AW416" s="975" t="n"/>
    </row>
    <row r="417" ht="17.25" customHeight="1">
      <c r="A417" s="585" t="n">
        <v>1</v>
      </c>
      <c r="B417" s="640" t="inlineStr">
        <is>
          <t>Vacuna de BCG (Bacilo de Calmette y Guérin) Liofilizada</t>
        </is>
      </c>
      <c r="C417" s="965" t="n"/>
      <c r="D417" s="413">
        <f>OCTUBRE!K417</f>
        <v/>
      </c>
      <c r="E417" s="339">
        <f>H13</f>
        <v/>
      </c>
      <c r="F417" s="338" t="n"/>
      <c r="G417" s="338" t="n"/>
      <c r="H417" s="1235">
        <f>+F417+G417</f>
        <v/>
      </c>
      <c r="I417" s="340">
        <f>+AM417</f>
        <v/>
      </c>
      <c r="J417" s="341">
        <f>+H417+I417</f>
        <v/>
      </c>
      <c r="K417" s="583">
        <f>+(D417+E417)-(J417)</f>
        <v/>
      </c>
      <c r="L417" s="253" t="n"/>
      <c r="M417" s="254" t="n"/>
      <c r="N417" s="254" t="n"/>
      <c r="O417" s="1183" t="n"/>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c r="AA417" s="648" t="n"/>
      <c r="AB417" s="649">
        <f>+Z417+AA417</f>
        <v/>
      </c>
      <c r="AC417" s="648" t="n"/>
      <c r="AD417" s="648" t="n"/>
      <c r="AE417" s="648" t="n"/>
      <c r="AF417" s="648" t="n"/>
      <c r="AG417" s="648" t="n"/>
      <c r="AH417" s="648" t="n"/>
      <c r="AI417" s="648" t="n"/>
      <c r="AJ417" s="648" t="n"/>
      <c r="AK417" s="648" t="n"/>
      <c r="AL417" s="648" t="n"/>
      <c r="AM417" s="421">
        <f>SUM(AB417:AL421)</f>
        <v/>
      </c>
      <c r="AN417" s="726" t="n"/>
      <c r="AQ417" s="1238">
        <f>IFERROR(I417/J417*100,"0")</f>
        <v/>
      </c>
      <c r="AR417" s="343">
        <f>IFERROR(1/(1-(AQ417/100)),"0")</f>
        <v/>
      </c>
      <c r="AS417" s="1239" t="n">
        <v>75</v>
      </c>
      <c r="AT417" s="345" t="n">
        <v>20</v>
      </c>
      <c r="AU417" s="1240" t="n"/>
      <c r="AV417" s="1241" t="n"/>
      <c r="AW417" s="1242">
        <f>+H417-AV417</f>
        <v/>
      </c>
    </row>
    <row r="418" ht="17.25" customHeight="1">
      <c r="A418" s="973" t="n"/>
      <c r="B418" s="971" t="n"/>
      <c r="C418" s="972" t="n"/>
      <c r="D418" s="973" t="n"/>
      <c r="E418" s="973" t="n"/>
      <c r="F418" s="994" t="n"/>
      <c r="G418" s="994" t="n"/>
      <c r="H418" s="973" t="n"/>
      <c r="I418" s="973" t="n"/>
      <c r="J418" s="973" t="n"/>
      <c r="K418" s="973" t="n"/>
      <c r="L418" s="253" t="n"/>
      <c r="M418" s="254" t="n"/>
      <c r="N418" s="254" t="n"/>
      <c r="O418" s="1183" t="n"/>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73" t="n"/>
      <c r="E419" s="973" t="n"/>
      <c r="F419" s="994" t="n"/>
      <c r="G419" s="994" t="n"/>
      <c r="H419" s="973" t="n"/>
      <c r="I419" s="973" t="n"/>
      <c r="J419" s="973" t="n"/>
      <c r="K419" s="973" t="n"/>
      <c r="L419" s="253" t="n"/>
      <c r="M419" s="254" t="n"/>
      <c r="N419" s="254" t="n"/>
      <c r="O419" s="1183" t="n"/>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73" t="n"/>
      <c r="E420" s="973" t="n"/>
      <c r="F420" s="994" t="n"/>
      <c r="G420" s="994" t="n"/>
      <c r="H420" s="973" t="n"/>
      <c r="I420" s="973" t="n"/>
      <c r="J420" s="973" t="n"/>
      <c r="K420" s="973" t="n"/>
      <c r="L420" s="253" t="n"/>
      <c r="M420" s="254" t="n"/>
      <c r="N420" s="254" t="n"/>
      <c r="O420" s="1183" t="n"/>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73"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75" t="n"/>
      <c r="E422" s="975" t="n"/>
      <c r="F422" s="998" t="n"/>
      <c r="G422" s="998" t="n"/>
      <c r="H422" s="975" t="n"/>
      <c r="I422" s="975" t="n"/>
      <c r="J422" s="975" t="n"/>
      <c r="K422" s="1189">
        <f>K417=L422</f>
        <v/>
      </c>
      <c r="L422" s="491">
        <f>SUM(L417:L421)</f>
        <v/>
      </c>
      <c r="M422" s="1190" t="inlineStr">
        <is>
          <t xml:space="preserve">“Verdadero” indica que la cantidad por lote, coincide con el saldo que inicia al mes siguiente. "Falso" no coinicide. </t>
        </is>
      </c>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413">
        <f>OCTUBRE!K423</f>
        <v/>
      </c>
      <c r="E423" s="339">
        <f>H19</f>
        <v/>
      </c>
      <c r="F423" s="338" t="n"/>
      <c r="G423" s="338" t="n"/>
      <c r="H423" s="1235">
        <f>+F423+G423</f>
        <v/>
      </c>
      <c r="I423" s="340">
        <f>+AM423</f>
        <v/>
      </c>
      <c r="J423" s="341">
        <f>+H423+I423</f>
        <v/>
      </c>
      <c r="K423" s="583">
        <f>+(D423+E423)-(J423)</f>
        <v/>
      </c>
      <c r="L423" s="253" t="n"/>
      <c r="M423" s="254" t="n"/>
      <c r="N423" s="254" t="n"/>
      <c r="O423" s="1183" t="n"/>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c r="AA423" s="648" t="n"/>
      <c r="AB423" s="649">
        <f>+Z423+AA423</f>
        <v/>
      </c>
      <c r="AC423" s="648" t="n"/>
      <c r="AD423" s="648" t="n"/>
      <c r="AE423" s="648" t="n"/>
      <c r="AF423" s="648" t="n"/>
      <c r="AG423" s="648" t="n"/>
      <c r="AH423" s="648" t="n"/>
      <c r="AI423" s="648" t="n"/>
      <c r="AJ423" s="648" t="n"/>
      <c r="AK423" s="648" t="n"/>
      <c r="AL423" s="648" t="n"/>
      <c r="AM423" s="421">
        <f>SUM(AB423:AL427)</f>
        <v/>
      </c>
      <c r="AN423" s="726" t="n"/>
      <c r="AQ423" s="1238">
        <f>IFERROR(I423/J423*100,"0")</f>
        <v/>
      </c>
      <c r="AR423" s="343">
        <f>IFERROR(1/(1-(AQ423/100)),"0")</f>
        <v/>
      </c>
      <c r="AS423" s="1239" t="n">
        <v>0</v>
      </c>
      <c r="AT423" s="345" t="n">
        <v>1</v>
      </c>
      <c r="AU423" s="1240" t="n"/>
      <c r="AV423" s="1241" t="n"/>
      <c r="AW423" s="1242">
        <f>+H423-AV423</f>
        <v/>
      </c>
    </row>
    <row r="424" ht="17.25" customHeight="1">
      <c r="A424" s="973" t="n"/>
      <c r="B424" s="971" t="n"/>
      <c r="C424" s="972" t="n"/>
      <c r="D424" s="973" t="n"/>
      <c r="E424" s="973" t="n"/>
      <c r="F424" s="994" t="n"/>
      <c r="G424" s="994" t="n"/>
      <c r="H424" s="973" t="n"/>
      <c r="I424" s="973" t="n"/>
      <c r="J424" s="973" t="n"/>
      <c r="K424" s="973" t="n"/>
      <c r="L424" s="253" t="n"/>
      <c r="M424" s="254" t="n"/>
      <c r="N424" s="254" t="n"/>
      <c r="O424" s="1183" t="n"/>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73" t="n"/>
      <c r="E425" s="973" t="n"/>
      <c r="F425" s="994" t="n"/>
      <c r="G425" s="994" t="n"/>
      <c r="H425" s="973" t="n"/>
      <c r="I425" s="973" t="n"/>
      <c r="J425" s="973" t="n"/>
      <c r="K425" s="973" t="n"/>
      <c r="L425" s="253" t="n"/>
      <c r="M425" s="254" t="n"/>
      <c r="N425" s="254" t="n"/>
      <c r="O425" s="1183" t="n"/>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73" t="n"/>
      <c r="E426" s="973" t="n"/>
      <c r="F426" s="994" t="n"/>
      <c r="G426" s="994" t="n"/>
      <c r="H426" s="973" t="n"/>
      <c r="I426" s="973" t="n"/>
      <c r="J426" s="973" t="n"/>
      <c r="K426" s="973" t="n"/>
      <c r="L426" s="253" t="n"/>
      <c r="M426" s="254" t="n"/>
      <c r="N426" s="254" t="n"/>
      <c r="O426" s="1183" t="n"/>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73" t="n"/>
      <c r="E427" s="973" t="n"/>
      <c r="F427" s="994" t="n"/>
      <c r="G427" s="994" t="n"/>
      <c r="H427" s="973" t="n"/>
      <c r="I427" s="973" t="n"/>
      <c r="J427" s="973" t="n"/>
      <c r="K427" s="975" t="n"/>
      <c r="L427" s="253" t="n"/>
      <c r="M427" s="254" t="n"/>
      <c r="N427" s="254" t="n"/>
      <c r="O427" s="1183" t="n"/>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75" t="n"/>
      <c r="E428" s="975" t="n"/>
      <c r="F428" s="998" t="n"/>
      <c r="G428" s="998" t="n"/>
      <c r="H428" s="975" t="n"/>
      <c r="I428" s="975" t="n"/>
      <c r="J428" s="975" t="n"/>
      <c r="K428" s="1189">
        <f>K423=L428</f>
        <v/>
      </c>
      <c r="L428" s="491">
        <f>SUM(L423:L427)</f>
        <v/>
      </c>
      <c r="M428" s="1190" t="inlineStr">
        <is>
          <t xml:space="preserve">“Verdadero” indica que la cantidad por lote, coincide con el saldo que inicia al mes siguiente. "Falso" no coinicide. </t>
        </is>
      </c>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413">
        <f>OCTUBRE!K429</f>
        <v/>
      </c>
      <c r="E429" s="339">
        <f>H25</f>
        <v/>
      </c>
      <c r="F429" s="338" t="n"/>
      <c r="G429" s="338" t="n"/>
      <c r="H429" s="1235">
        <f>+F429+G429</f>
        <v/>
      </c>
      <c r="I429" s="340">
        <f>+AM429</f>
        <v/>
      </c>
      <c r="J429" s="341">
        <f>+H429+I429</f>
        <v/>
      </c>
      <c r="K429" s="583">
        <f>+(D429+E429)-(J429)</f>
        <v/>
      </c>
      <c r="L429" s="253" t="n"/>
      <c r="M429" s="254" t="n"/>
      <c r="N429" s="254" t="n"/>
      <c r="O429" s="1183" t="n"/>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c r="AA429" s="648" t="n"/>
      <c r="AB429" s="649">
        <f>+Z429+AA429</f>
        <v/>
      </c>
      <c r="AC429" s="648" t="n"/>
      <c r="AD429" s="648" t="n"/>
      <c r="AE429" s="648" t="n"/>
      <c r="AF429" s="648" t="n"/>
      <c r="AG429" s="648" t="n"/>
      <c r="AH429" s="648" t="n"/>
      <c r="AI429" s="648" t="n"/>
      <c r="AJ429" s="648" t="n"/>
      <c r="AK429" s="648" t="n"/>
      <c r="AL429" s="648" t="n"/>
      <c r="AM429" s="421">
        <f>SUM(AB429:AL433)</f>
        <v/>
      </c>
      <c r="AN429" s="726" t="n"/>
      <c r="AQ429" s="1238">
        <f>IFERROR(I429/J429*100,"0")</f>
        <v/>
      </c>
      <c r="AR429" s="343">
        <f>IFERROR(1/(1-(AQ429/100)),"0")</f>
        <v/>
      </c>
      <c r="AS429" s="1239" t="n">
        <v>0</v>
      </c>
      <c r="AT429" s="345" t="n">
        <v>1</v>
      </c>
      <c r="AU429" s="1240" t="n"/>
      <c r="AV429" s="1241" t="n"/>
      <c r="AW429" s="1242">
        <f>+H429-AV429</f>
        <v/>
      </c>
    </row>
    <row r="430" ht="17.25" customHeight="1">
      <c r="A430" s="973" t="n"/>
      <c r="B430" s="971" t="n"/>
      <c r="C430" s="972" t="n"/>
      <c r="D430" s="973" t="n"/>
      <c r="E430" s="973" t="n"/>
      <c r="F430" s="994" t="n"/>
      <c r="G430" s="994" t="n"/>
      <c r="H430" s="973" t="n"/>
      <c r="I430" s="973" t="n"/>
      <c r="J430" s="973" t="n"/>
      <c r="K430" s="973" t="n"/>
      <c r="L430" s="253" t="n"/>
      <c r="M430" s="254" t="n"/>
      <c r="N430" s="254" t="n"/>
      <c r="O430" s="1183" t="n"/>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73" t="n"/>
      <c r="E431" s="973" t="n"/>
      <c r="F431" s="994" t="n"/>
      <c r="G431" s="994" t="n"/>
      <c r="H431" s="973" t="n"/>
      <c r="I431" s="973" t="n"/>
      <c r="J431" s="973" t="n"/>
      <c r="K431" s="973" t="n"/>
      <c r="L431" s="253" t="n"/>
      <c r="M431" s="254" t="n"/>
      <c r="N431" s="254" t="n"/>
      <c r="O431" s="1183" t="n"/>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73" t="n"/>
      <c r="E432" s="973" t="n"/>
      <c r="F432" s="994" t="n"/>
      <c r="G432" s="994" t="n"/>
      <c r="H432" s="973" t="n"/>
      <c r="I432" s="973" t="n"/>
      <c r="J432" s="973" t="n"/>
      <c r="K432" s="973" t="n"/>
      <c r="L432" s="253" t="n"/>
      <c r="M432" s="254" t="n"/>
      <c r="N432" s="254" t="n"/>
      <c r="O432" s="1183" t="n"/>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73"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75" t="n"/>
      <c r="E434" s="975" t="n"/>
      <c r="F434" s="998" t="n"/>
      <c r="G434" s="998" t="n"/>
      <c r="H434" s="975" t="n"/>
      <c r="I434" s="975" t="n"/>
      <c r="J434" s="975" t="n"/>
      <c r="K434" s="1189">
        <f>K429=L434</f>
        <v/>
      </c>
      <c r="L434" s="491">
        <f>SUM(L429:L433)</f>
        <v/>
      </c>
      <c r="M434" s="1190" t="inlineStr">
        <is>
          <t xml:space="preserve">“Verdadero” indica que la cantidad por lote, coincide con el saldo que inicia al mes siguiente. "Falso" no coinicide. </t>
        </is>
      </c>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413">
        <f>OCTUBRE!K435</f>
        <v/>
      </c>
      <c r="E435" s="339">
        <f>H31</f>
        <v/>
      </c>
      <c r="F435" s="338" t="n"/>
      <c r="G435" s="338" t="n"/>
      <c r="H435" s="1235">
        <f>+F435+G435</f>
        <v/>
      </c>
      <c r="I435" s="340">
        <f>+AM435</f>
        <v/>
      </c>
      <c r="J435" s="341">
        <f>+H435+I435</f>
        <v/>
      </c>
      <c r="K435" s="583">
        <f>+(D435+E435)-(J435)</f>
        <v/>
      </c>
      <c r="L435" s="253" t="n"/>
      <c r="M435" s="254" t="n"/>
      <c r="N435" s="254" t="n"/>
      <c r="O435" s="1183" t="n"/>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c r="AA435" s="648" t="n"/>
      <c r="AB435" s="649">
        <f>+Z435+AA435</f>
        <v/>
      </c>
      <c r="AC435" s="648" t="n"/>
      <c r="AD435" s="648" t="n"/>
      <c r="AE435" s="648" t="n"/>
      <c r="AF435" s="648" t="n"/>
      <c r="AG435" s="648" t="n"/>
      <c r="AH435" s="648" t="n"/>
      <c r="AI435" s="648" t="n"/>
      <c r="AJ435" s="648" t="n"/>
      <c r="AK435" s="648" t="n"/>
      <c r="AL435" s="648" t="n"/>
      <c r="AM435" s="421">
        <f>SUM(AB435:AL439)</f>
        <v/>
      </c>
      <c r="AN435" s="726" t="n"/>
      <c r="AQ435" s="1238">
        <f>IFERROR(I435/J435*100,"0")</f>
        <v/>
      </c>
      <c r="AR435" s="343">
        <f>IFERROR(1/(1-(AQ435/100)),"0")</f>
        <v/>
      </c>
      <c r="AS435" s="1239" t="n">
        <v>15</v>
      </c>
      <c r="AT435" s="345" t="n">
        <v>5</v>
      </c>
      <c r="AU435" s="1240" t="n"/>
      <c r="AV435" s="1241" t="n"/>
      <c r="AW435" s="1242">
        <f>+H435-AV435</f>
        <v/>
      </c>
    </row>
    <row r="436" ht="17.25" customHeight="1">
      <c r="A436" s="973" t="n"/>
      <c r="B436" s="971" t="n"/>
      <c r="C436" s="972" t="n"/>
      <c r="D436" s="973" t="n"/>
      <c r="E436" s="973" t="n"/>
      <c r="F436" s="994" t="n"/>
      <c r="G436" s="994" t="n"/>
      <c r="H436" s="973" t="n"/>
      <c r="I436" s="973" t="n"/>
      <c r="J436" s="973" t="n"/>
      <c r="K436" s="973" t="n"/>
      <c r="L436" s="253" t="n"/>
      <c r="M436" s="254" t="n"/>
      <c r="N436" s="254" t="n"/>
      <c r="O436" s="1183" t="n"/>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73" t="n"/>
      <c r="E437" s="973" t="n"/>
      <c r="F437" s="994" t="n"/>
      <c r="G437" s="994" t="n"/>
      <c r="H437" s="973" t="n"/>
      <c r="I437" s="973" t="n"/>
      <c r="J437" s="973" t="n"/>
      <c r="K437" s="973" t="n"/>
      <c r="L437" s="253" t="n"/>
      <c r="M437" s="254" t="n"/>
      <c r="N437" s="254" t="n"/>
      <c r="O437" s="1183" t="n"/>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73" t="n"/>
      <c r="E438" s="973" t="n"/>
      <c r="F438" s="994" t="n"/>
      <c r="G438" s="994" t="n"/>
      <c r="H438" s="973" t="n"/>
      <c r="I438" s="973" t="n"/>
      <c r="J438" s="973" t="n"/>
      <c r="K438" s="973" t="n"/>
      <c r="L438" s="253" t="n"/>
      <c r="M438" s="254" t="n"/>
      <c r="N438" s="254" t="n"/>
      <c r="O438" s="1183" t="n"/>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73" t="n"/>
      <c r="E439" s="973" t="n"/>
      <c r="F439" s="994" t="n"/>
      <c r="G439" s="994" t="n"/>
      <c r="H439" s="973" t="n"/>
      <c r="I439" s="973" t="n"/>
      <c r="J439" s="973" t="n"/>
      <c r="K439" s="975" t="n"/>
      <c r="L439" s="253" t="n"/>
      <c r="M439" s="254" t="n"/>
      <c r="N439" s="254" t="n"/>
      <c r="O439" s="1183" t="n"/>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75" t="n"/>
      <c r="E440" s="975" t="n"/>
      <c r="F440" s="998" t="n"/>
      <c r="G440" s="998" t="n"/>
      <c r="H440" s="975" t="n"/>
      <c r="I440" s="975" t="n"/>
      <c r="J440" s="975" t="n"/>
      <c r="K440" s="1189">
        <f>K435=L440</f>
        <v/>
      </c>
      <c r="L440" s="491">
        <f>SUM(L435:L439)</f>
        <v/>
      </c>
      <c r="M440" s="1190" t="inlineStr">
        <is>
          <t xml:space="preserve">“Verdadero” indica que la cantidad por lote, coincide con el saldo que inicia al mes siguiente. "Falso" no coinicide. </t>
        </is>
      </c>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413">
        <f>OCTUBRE!K441</f>
        <v/>
      </c>
      <c r="E441" s="339">
        <f>H37</f>
        <v/>
      </c>
      <c r="F441" s="338" t="n"/>
      <c r="G441" s="338" t="n"/>
      <c r="H441" s="1235">
        <f>+F441+G441</f>
        <v/>
      </c>
      <c r="I441" s="340">
        <f>+AM441</f>
        <v/>
      </c>
      <c r="J441" s="341">
        <f>+H441+I441</f>
        <v/>
      </c>
      <c r="K441" s="583">
        <f>+(D441+E441)-(J441)</f>
        <v/>
      </c>
      <c r="L441" s="253" t="n"/>
      <c r="M441" s="254" t="n"/>
      <c r="N441" s="254" t="n"/>
      <c r="O441" s="1183" t="n"/>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c r="AA441" s="648" t="n"/>
      <c r="AB441" s="649">
        <f>+Z441+AA441</f>
        <v/>
      </c>
      <c r="AC441" s="648" t="n"/>
      <c r="AD441" s="648" t="n"/>
      <c r="AE441" s="648" t="n"/>
      <c r="AF441" s="648" t="n"/>
      <c r="AG441" s="648" t="n"/>
      <c r="AH441" s="648" t="n"/>
      <c r="AI441" s="648" t="n"/>
      <c r="AJ441" s="648" t="n"/>
      <c r="AK441" s="648" t="n"/>
      <c r="AL441" s="648" t="n"/>
      <c r="AM441" s="421">
        <f>SUM(AB441:AL445)</f>
        <v/>
      </c>
      <c r="AN441" s="726" t="n"/>
      <c r="AQ441" s="1238">
        <f>IFERROR(I441/J441*100,"0")</f>
        <v/>
      </c>
      <c r="AR441" s="343">
        <f>IFERROR(1/(1-(AQ441/100)),"0")</f>
        <v/>
      </c>
      <c r="AS441" s="1239" t="n">
        <v>0</v>
      </c>
      <c r="AT441" s="345" t="n">
        <v>1</v>
      </c>
      <c r="AU441" s="1240" t="n"/>
      <c r="AV441" s="1241" t="n"/>
      <c r="AW441" s="1242">
        <f>+H441-AV441</f>
        <v/>
      </c>
    </row>
    <row r="442" ht="17.25" customHeight="1">
      <c r="A442" s="973" t="n"/>
      <c r="B442" s="971" t="n"/>
      <c r="C442" s="972" t="n"/>
      <c r="D442" s="973" t="n"/>
      <c r="E442" s="973" t="n"/>
      <c r="F442" s="994" t="n"/>
      <c r="G442" s="994" t="n"/>
      <c r="H442" s="973" t="n"/>
      <c r="I442" s="973" t="n"/>
      <c r="J442" s="973" t="n"/>
      <c r="K442" s="973" t="n"/>
      <c r="L442" s="253" t="n"/>
      <c r="M442" s="254" t="n"/>
      <c r="N442" s="254" t="n"/>
      <c r="O442" s="1183" t="n"/>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73" t="n"/>
      <c r="E443" s="973" t="n"/>
      <c r="F443" s="994" t="n"/>
      <c r="G443" s="994" t="n"/>
      <c r="H443" s="973" t="n"/>
      <c r="I443" s="973" t="n"/>
      <c r="J443" s="973" t="n"/>
      <c r="K443" s="973" t="n"/>
      <c r="L443" s="253" t="n"/>
      <c r="M443" s="254" t="n"/>
      <c r="N443" s="254" t="n"/>
      <c r="O443" s="1183" t="n"/>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73" t="n"/>
      <c r="E444" s="973" t="n"/>
      <c r="F444" s="994" t="n"/>
      <c r="G444" s="994" t="n"/>
      <c r="H444" s="973" t="n"/>
      <c r="I444" s="973" t="n"/>
      <c r="J444" s="973" t="n"/>
      <c r="K444" s="973" t="n"/>
      <c r="L444" s="253" t="n"/>
      <c r="M444" s="254" t="n"/>
      <c r="N444" s="254" t="n"/>
      <c r="O444" s="1183" t="n"/>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73"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75" t="n"/>
      <c r="E446" s="975" t="n"/>
      <c r="F446" s="998" t="n"/>
      <c r="G446" s="998" t="n"/>
      <c r="H446" s="975" t="n"/>
      <c r="I446" s="975" t="n"/>
      <c r="J446" s="975" t="n"/>
      <c r="K446" s="1189">
        <f>K441=L446</f>
        <v/>
      </c>
      <c r="L446" s="491">
        <f>SUM(L441:L445)</f>
        <v/>
      </c>
      <c r="M446" s="1190" t="inlineStr">
        <is>
          <t xml:space="preserve">“Verdadero” indica que la cantidad por lote, coincide con el saldo que inicia al mes siguiente. "Falso" no coinicide. </t>
        </is>
      </c>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413">
        <f>OCTUBRE!K447</f>
        <v/>
      </c>
      <c r="E447" s="339">
        <f>H43</f>
        <v/>
      </c>
      <c r="F447" s="338" t="n"/>
      <c r="G447" s="338" t="n"/>
      <c r="H447" s="1235">
        <f>+F447+G447</f>
        <v/>
      </c>
      <c r="I447" s="340">
        <f>+AM447</f>
        <v/>
      </c>
      <c r="J447" s="341">
        <f>+H447+I447</f>
        <v/>
      </c>
      <c r="K447" s="583">
        <f>+(D447+E447)-(J447)</f>
        <v/>
      </c>
      <c r="L447" s="253" t="n"/>
      <c r="M447" s="254" t="n"/>
      <c r="N447" s="254" t="n"/>
      <c r="O447" s="1183" t="n"/>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c r="AA447" s="648" t="n"/>
      <c r="AB447" s="649">
        <f>+Z447+AA447</f>
        <v/>
      </c>
      <c r="AC447" s="648" t="n"/>
      <c r="AD447" s="648" t="n"/>
      <c r="AE447" s="648" t="n"/>
      <c r="AF447" s="648" t="n"/>
      <c r="AG447" s="648" t="n"/>
      <c r="AH447" s="648" t="n"/>
      <c r="AI447" s="648" t="n"/>
      <c r="AJ447" s="648" t="n"/>
      <c r="AK447" s="648" t="n"/>
      <c r="AL447" s="648" t="n"/>
      <c r="AM447" s="421">
        <f>SUM(AB447:AL451)</f>
        <v/>
      </c>
      <c r="AN447" s="726" t="n"/>
      <c r="AQ447" s="1238">
        <f>IFERROR(I447/J447*100,"0")</f>
        <v/>
      </c>
      <c r="AR447" s="343">
        <f>IFERROR(1/(1-(AQ447/100)),"0")</f>
        <v/>
      </c>
      <c r="AS447" s="1239" t="n">
        <v>0</v>
      </c>
      <c r="AT447" s="345" t="n">
        <v>1</v>
      </c>
      <c r="AU447" s="1240" t="n"/>
      <c r="AV447" s="1241" t="n"/>
      <c r="AW447" s="1242">
        <f>+H447-AV447</f>
        <v/>
      </c>
    </row>
    <row r="448" ht="17.25" customHeight="1">
      <c r="A448" s="973" t="n"/>
      <c r="B448" s="971" t="n"/>
      <c r="C448" s="972" t="n"/>
      <c r="D448" s="973" t="n"/>
      <c r="E448" s="973" t="n"/>
      <c r="F448" s="994" t="n"/>
      <c r="G448" s="994" t="n"/>
      <c r="H448" s="973" t="n"/>
      <c r="I448" s="973" t="n"/>
      <c r="J448" s="973" t="n"/>
      <c r="K448" s="973" t="n"/>
      <c r="L448" s="253" t="n"/>
      <c r="M448" s="254" t="n"/>
      <c r="N448" s="254" t="n"/>
      <c r="O448" s="1183" t="n"/>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73" t="n"/>
      <c r="E449" s="973" t="n"/>
      <c r="F449" s="994" t="n"/>
      <c r="G449" s="994" t="n"/>
      <c r="H449" s="973" t="n"/>
      <c r="I449" s="973" t="n"/>
      <c r="J449" s="973" t="n"/>
      <c r="K449" s="973" t="n"/>
      <c r="L449" s="253" t="n"/>
      <c r="M449" s="254" t="n"/>
      <c r="N449" s="254" t="n"/>
      <c r="O449" s="1183" t="n"/>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73" t="n"/>
      <c r="E450" s="973" t="n"/>
      <c r="F450" s="994" t="n"/>
      <c r="G450" s="994" t="n"/>
      <c r="H450" s="973" t="n"/>
      <c r="I450" s="973" t="n"/>
      <c r="J450" s="973" t="n"/>
      <c r="K450" s="973" t="n"/>
      <c r="L450" s="253" t="n"/>
      <c r="M450" s="254" t="n"/>
      <c r="N450" s="254" t="n"/>
      <c r="O450" s="1183" t="n"/>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73" t="n"/>
      <c r="E451" s="973" t="n"/>
      <c r="F451" s="994" t="n"/>
      <c r="G451" s="994" t="n"/>
      <c r="H451" s="973" t="n"/>
      <c r="I451" s="973" t="n"/>
      <c r="J451" s="973" t="n"/>
      <c r="K451" s="975" t="n"/>
      <c r="L451" s="253" t="n"/>
      <c r="M451" s="254" t="n"/>
      <c r="N451" s="254" t="n"/>
      <c r="O451" s="1183" t="n"/>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75" t="n"/>
      <c r="E452" s="975" t="n"/>
      <c r="F452" s="998" t="n"/>
      <c r="G452" s="998" t="n"/>
      <c r="H452" s="975" t="n"/>
      <c r="I452" s="975" t="n"/>
      <c r="J452" s="975" t="n"/>
      <c r="K452" s="1189">
        <f>K447=L452</f>
        <v/>
      </c>
      <c r="L452" s="491">
        <f>SUM(L447:L451)</f>
        <v/>
      </c>
      <c r="M452" s="1190" t="inlineStr">
        <is>
          <t xml:space="preserve">“Verdadero” indica que la cantidad por lote, coincide con el saldo que inicia al mes siguiente. "Falso" no coinicide. </t>
        </is>
      </c>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413">
        <f>OCTUBRE!K453</f>
        <v/>
      </c>
      <c r="E453" s="339">
        <f>H49</f>
        <v/>
      </c>
      <c r="F453" s="338" t="n"/>
      <c r="G453" s="338" t="n"/>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c r="AA453" s="648" t="n"/>
      <c r="AB453" s="649">
        <f>+Z453+AA453</f>
        <v/>
      </c>
      <c r="AC453" s="648" t="n"/>
      <c r="AD453" s="648" t="n"/>
      <c r="AE453" s="648" t="n"/>
      <c r="AF453" s="648" t="n"/>
      <c r="AG453" s="648" t="n"/>
      <c r="AH453" s="648" t="n"/>
      <c r="AI453" s="648" t="n"/>
      <c r="AJ453" s="648" t="n"/>
      <c r="AK453" s="648" t="n"/>
      <c r="AL453" s="648" t="n"/>
      <c r="AM453" s="421">
        <f>SUM(AB453:AL457)</f>
        <v/>
      </c>
      <c r="AN453" s="726" t="n"/>
      <c r="AQ453" s="1238">
        <f>IFERROR(I453/J453*100,"0")</f>
        <v/>
      </c>
      <c r="AR453" s="343">
        <f>IFERROR(1/(1-(AQ453/100)),"0")</f>
        <v/>
      </c>
      <c r="AS453" s="1239" t="n">
        <v>0</v>
      </c>
      <c r="AT453" s="345" t="n">
        <v>1</v>
      </c>
      <c r="AU453" s="1240" t="n"/>
      <c r="AV453" s="1241" t="n"/>
      <c r="AW453" s="1242">
        <f>+H453-AV453</f>
        <v/>
      </c>
    </row>
    <row r="454" ht="17.25" customHeight="1">
      <c r="A454" s="973" t="n"/>
      <c r="B454" s="971" t="n"/>
      <c r="C454" s="972" t="n"/>
      <c r="D454" s="973"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73"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73"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73"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75" t="n"/>
      <c r="E458" s="975" t="n"/>
      <c r="F458" s="998" t="n"/>
      <c r="G458" s="998" t="n"/>
      <c r="H458" s="975" t="n"/>
      <c r="I458" s="975" t="n"/>
      <c r="J458" s="975" t="n"/>
      <c r="K458" s="1189">
        <f>K453=L458</f>
        <v/>
      </c>
      <c r="L458" s="491">
        <f>SUM(L453:L457)</f>
        <v/>
      </c>
      <c r="M458" s="1190" t="inlineStr">
        <is>
          <t xml:space="preserve">“Verdadero” indica que la cantidad por lote, coincide con el saldo que inicia al mes siguiente. "Falso" no coinicide. </t>
        </is>
      </c>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413">
        <f>OCTUBRE!K459</f>
        <v/>
      </c>
      <c r="E459" s="339">
        <f>H55</f>
        <v/>
      </c>
      <c r="F459" s="338" t="n"/>
      <c r="G459" s="338" t="n"/>
      <c r="H459" s="1235">
        <f>+F459+G459</f>
        <v/>
      </c>
      <c r="I459" s="340">
        <f>+AM459</f>
        <v/>
      </c>
      <c r="J459" s="341">
        <f>+H459+I459</f>
        <v/>
      </c>
      <c r="K459" s="583">
        <f>+(D459+E459)-(J459)</f>
        <v/>
      </c>
      <c r="L459" s="253" t="n"/>
      <c r="M459" s="254" t="n"/>
      <c r="N459" s="254" t="n"/>
      <c r="O459" s="1183" t="n"/>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c r="AA459" s="648" t="n"/>
      <c r="AB459" s="649">
        <f>+Z459+AA459</f>
        <v/>
      </c>
      <c r="AC459" s="648" t="n"/>
      <c r="AD459" s="648" t="n"/>
      <c r="AE459" s="648" t="n"/>
      <c r="AF459" s="648" t="n"/>
      <c r="AG459" s="648" t="n"/>
      <c r="AH459" s="648" t="n"/>
      <c r="AI459" s="648" t="n"/>
      <c r="AJ459" s="648" t="n"/>
      <c r="AK459" s="648" t="n"/>
      <c r="AL459" s="648" t="n"/>
      <c r="AM459" s="421">
        <f>SUM(AB459:AL463)</f>
        <v/>
      </c>
      <c r="AN459" s="726" t="n"/>
      <c r="AQ459" s="1238">
        <f>IFERROR(I459/J459*100,"0")</f>
        <v/>
      </c>
      <c r="AR459" s="343">
        <f>IFERROR(1/(1-(AQ459/100)),"0")</f>
        <v/>
      </c>
      <c r="AS459" s="1239" t="n">
        <v>30</v>
      </c>
      <c r="AT459" s="345" t="n">
        <v>10</v>
      </c>
      <c r="AU459" s="1240" t="n"/>
      <c r="AV459" s="1241" t="n"/>
      <c r="AW459" s="1242">
        <f>+H459-AV459</f>
        <v/>
      </c>
    </row>
    <row r="460" ht="17.25" customHeight="1">
      <c r="A460" s="973" t="n"/>
      <c r="B460" s="971" t="n"/>
      <c r="C460" s="972" t="n"/>
      <c r="D460" s="973" t="n"/>
      <c r="E460" s="973" t="n"/>
      <c r="F460" s="994" t="n"/>
      <c r="G460" s="994" t="n"/>
      <c r="H460" s="973" t="n"/>
      <c r="I460" s="973" t="n"/>
      <c r="J460" s="973" t="n"/>
      <c r="K460" s="973" t="n"/>
      <c r="L460" s="253" t="n"/>
      <c r="M460" s="254" t="n"/>
      <c r="N460" s="254" t="n"/>
      <c r="O460" s="1183" t="n"/>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73"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73"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73"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75" t="n"/>
      <c r="E464" s="975" t="n"/>
      <c r="F464" s="998" t="n"/>
      <c r="G464" s="998" t="n"/>
      <c r="H464" s="975" t="n"/>
      <c r="I464" s="975" t="n"/>
      <c r="J464" s="975" t="n"/>
      <c r="K464" s="1189">
        <f>K459=L464</f>
        <v/>
      </c>
      <c r="L464" s="491">
        <f>SUM(L459:L463)</f>
        <v/>
      </c>
      <c r="M464" s="1190" t="inlineStr">
        <is>
          <t xml:space="preserve">“Verdadero” indica que la cantidad por lote, coincide con el saldo que inicia al mes siguiente. "Falso" no coinicide. </t>
        </is>
      </c>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413">
        <f>OCTUBRE!K465</f>
        <v/>
      </c>
      <c r="E465" s="339">
        <f>H61</f>
        <v/>
      </c>
      <c r="F465" s="338" t="n"/>
      <c r="G465" s="338" t="n"/>
      <c r="H465" s="1235">
        <f>+F465+G465</f>
        <v/>
      </c>
      <c r="I465" s="340">
        <f>+AM465</f>
        <v/>
      </c>
      <c r="J465" s="341">
        <f>+H465+I465</f>
        <v/>
      </c>
      <c r="K465" s="583">
        <f>+(D465+E465)-(J465)</f>
        <v/>
      </c>
      <c r="L465" s="253" t="n"/>
      <c r="M465" s="254" t="n"/>
      <c r="N465" s="254" t="n"/>
      <c r="O465" s="1183" t="n"/>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c r="AA465" s="648" t="n"/>
      <c r="AB465" s="649">
        <f>+Z465+AA465</f>
        <v/>
      </c>
      <c r="AC465" s="648" t="n"/>
      <c r="AD465" s="648" t="n"/>
      <c r="AE465" s="648" t="n"/>
      <c r="AF465" s="648" t="n"/>
      <c r="AG465" s="648" t="n"/>
      <c r="AH465" s="648" t="n"/>
      <c r="AI465" s="648" t="n"/>
      <c r="AJ465" s="648" t="n"/>
      <c r="AK465" s="648" t="n"/>
      <c r="AL465" s="648" t="n"/>
      <c r="AM465" s="421">
        <f>SUM(AB465:AL469)</f>
        <v/>
      </c>
      <c r="AN465" s="726" t="n"/>
      <c r="AQ465" s="1238">
        <f>IFERROR(I465/J465*100,"0")</f>
        <v/>
      </c>
      <c r="AR465" s="343">
        <f>IFERROR(1/(1-(AQ465/100)),"0")</f>
        <v/>
      </c>
      <c r="AS465" s="1239" t="n">
        <v>0</v>
      </c>
      <c r="AT465" s="345" t="n">
        <v>1</v>
      </c>
      <c r="AU465" s="1240" t="n"/>
      <c r="AV465" s="1241" t="n"/>
      <c r="AW465" s="1242">
        <f>+H465-AV465</f>
        <v/>
      </c>
    </row>
    <row r="466" ht="17.25" customHeight="1">
      <c r="A466" s="973" t="n"/>
      <c r="B466" s="971" t="n"/>
      <c r="C466" s="972" t="n"/>
      <c r="D466" s="973" t="n"/>
      <c r="E466" s="973" t="n"/>
      <c r="F466" s="994" t="n"/>
      <c r="G466" s="994" t="n"/>
      <c r="H466" s="973" t="n"/>
      <c r="I466" s="973" t="n"/>
      <c r="J466" s="973" t="n"/>
      <c r="K466" s="973" t="n"/>
      <c r="L466" s="253" t="n"/>
      <c r="M466" s="254" t="n"/>
      <c r="N466" s="254" t="n"/>
      <c r="O466" s="1183" t="n"/>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73" t="n"/>
      <c r="E467" s="973" t="n"/>
      <c r="F467" s="994" t="n"/>
      <c r="G467" s="994" t="n"/>
      <c r="H467" s="973" t="n"/>
      <c r="I467" s="973" t="n"/>
      <c r="J467" s="973" t="n"/>
      <c r="K467" s="973" t="n"/>
      <c r="L467" s="253" t="n"/>
      <c r="M467" s="254" t="n"/>
      <c r="N467" s="254" t="n"/>
      <c r="O467" s="1183" t="n"/>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73" t="n"/>
      <c r="E468" s="973" t="n"/>
      <c r="F468" s="994" t="n"/>
      <c r="G468" s="994" t="n"/>
      <c r="H468" s="973" t="n"/>
      <c r="I468" s="973" t="n"/>
      <c r="J468" s="973" t="n"/>
      <c r="K468" s="973" t="n"/>
      <c r="L468" s="253" t="n"/>
      <c r="M468" s="254" t="n"/>
      <c r="N468" s="254" t="n"/>
      <c r="O468" s="1183" t="n"/>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73"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75" t="n"/>
      <c r="E470" s="975" t="n"/>
      <c r="F470" s="998" t="n"/>
      <c r="G470" s="998" t="n"/>
      <c r="H470" s="975" t="n"/>
      <c r="I470" s="975" t="n"/>
      <c r="J470" s="975" t="n"/>
      <c r="K470" s="1189">
        <f>K465=L470</f>
        <v/>
      </c>
      <c r="L470" s="491">
        <f>SUM(L465:L469)</f>
        <v/>
      </c>
      <c r="M470" s="1190" t="inlineStr">
        <is>
          <t xml:space="preserve">“Verdadero” indica que la cantidad por lote, coincide con el saldo que inicia al mes siguiente. "Falso" no coinicide. </t>
        </is>
      </c>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413">
        <f>OCTUBRE!K471</f>
        <v/>
      </c>
      <c r="E471" s="339">
        <f>H67</f>
        <v/>
      </c>
      <c r="F471" s="338" t="n"/>
      <c r="G471" s="338" t="n"/>
      <c r="H471" s="1235">
        <f>+F471+G471</f>
        <v/>
      </c>
      <c r="I471" s="340">
        <f>+AM471</f>
        <v/>
      </c>
      <c r="J471" s="341">
        <f>+H471+I471</f>
        <v/>
      </c>
      <c r="K471" s="583">
        <f>+(D471+E471)-(J471)</f>
        <v/>
      </c>
      <c r="L471" s="253" t="n"/>
      <c r="M471" s="254" t="n"/>
      <c r="N471" s="254" t="n"/>
      <c r="O471" s="1183" t="n"/>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c r="AA471" s="648" t="n"/>
      <c r="AB471" s="649">
        <f>+Z471+AA471</f>
        <v/>
      </c>
      <c r="AC471" s="648" t="n"/>
      <c r="AD471" s="648" t="n"/>
      <c r="AE471" s="648" t="n"/>
      <c r="AF471" s="648" t="n"/>
      <c r="AG471" s="648" t="n"/>
      <c r="AH471" s="648" t="n"/>
      <c r="AI471" s="648" t="n"/>
      <c r="AJ471" s="648" t="n"/>
      <c r="AK471" s="648" t="n"/>
      <c r="AL471" s="648" t="n"/>
      <c r="AM471" s="421">
        <f>SUM(AB471:AL475)</f>
        <v/>
      </c>
      <c r="AN471" s="726" t="n"/>
      <c r="AQ471" s="1238">
        <f>IFERROR(I471/J471*100,"0")</f>
        <v/>
      </c>
      <c r="AR471" s="343">
        <f>IFERROR(1/(1-(AQ471/100)),"0")</f>
        <v/>
      </c>
      <c r="AS471" s="1239" t="n">
        <v>0</v>
      </c>
      <c r="AT471" s="345" t="n">
        <v>1</v>
      </c>
      <c r="AU471" s="1240" t="n"/>
      <c r="AV471" s="1241" t="n"/>
      <c r="AW471" s="1242">
        <f>+H471-AV471</f>
        <v/>
      </c>
    </row>
    <row r="472" ht="17.25" customHeight="1">
      <c r="A472" s="973" t="n"/>
      <c r="B472" s="971" t="n"/>
      <c r="C472" s="972" t="n"/>
      <c r="D472" s="973" t="n"/>
      <c r="E472" s="973" t="n"/>
      <c r="F472" s="994" t="n"/>
      <c r="G472" s="994" t="n"/>
      <c r="H472" s="973" t="n"/>
      <c r="I472" s="973" t="n"/>
      <c r="J472" s="973" t="n"/>
      <c r="K472" s="973" t="n"/>
      <c r="L472" s="253" t="n"/>
      <c r="M472" s="254" t="n"/>
      <c r="N472" s="254" t="n"/>
      <c r="O472" s="1183" t="n"/>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73" t="n"/>
      <c r="E473" s="973" t="n"/>
      <c r="F473" s="994" t="n"/>
      <c r="G473" s="994" t="n"/>
      <c r="H473" s="973" t="n"/>
      <c r="I473" s="973" t="n"/>
      <c r="J473" s="973" t="n"/>
      <c r="K473" s="973" t="n"/>
      <c r="L473" s="253" t="n"/>
      <c r="M473" s="254" t="n"/>
      <c r="N473" s="254" t="n"/>
      <c r="O473" s="1183" t="n"/>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73" t="n"/>
      <c r="E474" s="973" t="n"/>
      <c r="F474" s="994" t="n"/>
      <c r="G474" s="994" t="n"/>
      <c r="H474" s="973" t="n"/>
      <c r="I474" s="973" t="n"/>
      <c r="J474" s="973" t="n"/>
      <c r="K474" s="973" t="n"/>
      <c r="L474" s="253" t="n"/>
      <c r="M474" s="254" t="n"/>
      <c r="N474" s="254" t="n"/>
      <c r="O474" s="1183" t="n"/>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73" t="n"/>
      <c r="E475" s="973" t="n"/>
      <c r="F475" s="994" t="n"/>
      <c r="G475" s="994" t="n"/>
      <c r="H475" s="973" t="n"/>
      <c r="I475" s="973" t="n"/>
      <c r="J475" s="973" t="n"/>
      <c r="K475" s="975" t="n"/>
      <c r="L475" s="253" t="n"/>
      <c r="M475" s="254" t="n"/>
      <c r="N475" s="254" t="n"/>
      <c r="O475" s="1183" t="n"/>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75" t="n"/>
      <c r="E476" s="975" t="n"/>
      <c r="F476" s="998" t="n"/>
      <c r="G476" s="998" t="n"/>
      <c r="H476" s="975" t="n"/>
      <c r="I476" s="975" t="n"/>
      <c r="J476" s="975" t="n"/>
      <c r="K476" s="1189">
        <f>K471=L476</f>
        <v/>
      </c>
      <c r="L476" s="491">
        <f>SUM(L471:L475)</f>
        <v/>
      </c>
      <c r="M476" s="1190" t="inlineStr">
        <is>
          <t xml:space="preserve">“Verdadero” indica que la cantidad por lote, coincide con el saldo que inicia al mes siguiente. "Falso" no coinicide. </t>
        </is>
      </c>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413">
        <f>OCTUBRE!K477</f>
        <v/>
      </c>
      <c r="E477" s="339">
        <f>H73</f>
        <v/>
      </c>
      <c r="F477" s="338" t="n"/>
      <c r="G477" s="338" t="n"/>
      <c r="H477" s="1235">
        <f>+F477+G477</f>
        <v/>
      </c>
      <c r="I477" s="340">
        <f>+AM477</f>
        <v/>
      </c>
      <c r="J477" s="341">
        <f>+H477+I477</f>
        <v/>
      </c>
      <c r="K477" s="583">
        <f>+(D477+E477)-(J477)</f>
        <v/>
      </c>
      <c r="L477" s="253" t="n"/>
      <c r="M477" s="254" t="n"/>
      <c r="N477" s="254" t="n"/>
      <c r="O477" s="1183" t="n"/>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c r="AA477" s="648" t="n"/>
      <c r="AB477" s="649">
        <f>+Z477+AA477</f>
        <v/>
      </c>
      <c r="AC477" s="648" t="n"/>
      <c r="AD477" s="648" t="n"/>
      <c r="AE477" s="648" t="n"/>
      <c r="AF477" s="648" t="n"/>
      <c r="AG477" s="648" t="n"/>
      <c r="AH477" s="648" t="n"/>
      <c r="AI477" s="648" t="n"/>
      <c r="AJ477" s="648" t="n"/>
      <c r="AK477" s="648" t="n"/>
      <c r="AL477" s="648" t="n"/>
      <c r="AM477" s="421">
        <f>SUM(AB477:AL481)</f>
        <v/>
      </c>
      <c r="AN477" s="726" t="n"/>
      <c r="AQ477" s="1238">
        <f>IFERROR(I477/J477*100,"0")</f>
        <v/>
      </c>
      <c r="AR477" s="343">
        <f>IFERROR(1/(1-(AQ477/100)),"0")</f>
        <v/>
      </c>
      <c r="AS477" s="1239" t="n">
        <v>0</v>
      </c>
      <c r="AT477" s="345" t="n">
        <v>1</v>
      </c>
      <c r="AU477" s="1240" t="n"/>
      <c r="AV477" s="1241" t="n"/>
      <c r="AW477" s="1242">
        <f>+H477-AV477</f>
        <v/>
      </c>
    </row>
    <row r="478" ht="17.25" customHeight="1">
      <c r="A478" s="973" t="n"/>
      <c r="B478" s="971" t="n"/>
      <c r="C478" s="972" t="n"/>
      <c r="D478" s="973" t="n"/>
      <c r="E478" s="973" t="n"/>
      <c r="F478" s="994" t="n"/>
      <c r="G478" s="994" t="n"/>
      <c r="H478" s="973" t="n"/>
      <c r="I478" s="973" t="n"/>
      <c r="J478" s="973" t="n"/>
      <c r="K478" s="973" t="n"/>
      <c r="L478" s="253" t="n"/>
      <c r="M478" s="254" t="n"/>
      <c r="N478" s="254" t="n"/>
      <c r="O478" s="1183" t="n"/>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73" t="n"/>
      <c r="E479" s="973" t="n"/>
      <c r="F479" s="994" t="n"/>
      <c r="G479" s="994" t="n"/>
      <c r="H479" s="973" t="n"/>
      <c r="I479" s="973" t="n"/>
      <c r="J479" s="973" t="n"/>
      <c r="K479" s="973" t="n"/>
      <c r="L479" s="253" t="n"/>
      <c r="M479" s="254" t="n"/>
      <c r="N479" s="254" t="n"/>
      <c r="O479" s="1183" t="n"/>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73" t="n"/>
      <c r="E480" s="973" t="n"/>
      <c r="F480" s="994" t="n"/>
      <c r="G480" s="994" t="n"/>
      <c r="H480" s="973" t="n"/>
      <c r="I480" s="973" t="n"/>
      <c r="J480" s="973" t="n"/>
      <c r="K480" s="973" t="n"/>
      <c r="L480" s="253" t="n"/>
      <c r="M480" s="254" t="n"/>
      <c r="N480" s="254" t="n"/>
      <c r="O480" s="1183" t="n"/>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73"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75" t="n"/>
      <c r="E482" s="975" t="n"/>
      <c r="F482" s="998" t="n"/>
      <c r="G482" s="998" t="n"/>
      <c r="H482" s="975" t="n"/>
      <c r="I482" s="975" t="n"/>
      <c r="J482" s="975" t="n"/>
      <c r="K482" s="1189">
        <f>K477=L482</f>
        <v/>
      </c>
      <c r="L482" s="491">
        <f>SUM(L477:L481)</f>
        <v/>
      </c>
      <c r="M482" s="1190" t="inlineStr">
        <is>
          <t xml:space="preserve">“Verdadero” indica que la cantidad por lote, coincide con el saldo que inicia al mes siguiente. "Falso" no coinicide. </t>
        </is>
      </c>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413">
        <f>OCTUBRE!K483</f>
        <v/>
      </c>
      <c r="E483" s="339">
        <f>H79</f>
        <v/>
      </c>
      <c r="F483" s="338" t="n"/>
      <c r="G483" s="338" t="n"/>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c r="AA483" s="648" t="n"/>
      <c r="AB483" s="649">
        <f>+Z483+AA483</f>
        <v/>
      </c>
      <c r="AC483" s="648" t="n"/>
      <c r="AD483" s="648" t="n"/>
      <c r="AE483" s="648" t="n"/>
      <c r="AF483" s="648" t="n"/>
      <c r="AG483" s="648" t="n"/>
      <c r="AH483" s="648" t="n"/>
      <c r="AI483" s="648" t="n"/>
      <c r="AJ483" s="648" t="n"/>
      <c r="AK483" s="648" t="n"/>
      <c r="AL483" s="648" t="n"/>
      <c r="AM483" s="421">
        <f>SUM(AB483:AL487)</f>
        <v/>
      </c>
      <c r="AN483" s="726" t="n"/>
      <c r="AQ483" s="1238">
        <f>IFERROR(I483/J483*100,"0")</f>
        <v/>
      </c>
      <c r="AR483" s="343">
        <f>IFERROR(1/(1-(AQ483/100)),"0")</f>
        <v/>
      </c>
      <c r="AS483" s="1239" t="n">
        <v>0</v>
      </c>
      <c r="AT483" s="345" t="n">
        <v>1</v>
      </c>
      <c r="AU483" s="1240" t="n"/>
      <c r="AV483" s="1241" t="n"/>
      <c r="AW483" s="1242">
        <f>+H483-AV483</f>
        <v/>
      </c>
    </row>
    <row r="484" ht="17.25" customHeight="1">
      <c r="A484" s="973" t="n"/>
      <c r="B484" s="971" t="n"/>
      <c r="C484" s="972" t="n"/>
      <c r="D484" s="973"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73"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73"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73"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75" t="n"/>
      <c r="E488" s="975" t="n"/>
      <c r="F488" s="998" t="n"/>
      <c r="G488" s="998" t="n"/>
      <c r="H488" s="975" t="n"/>
      <c r="I488" s="975" t="n"/>
      <c r="J488" s="975" t="n"/>
      <c r="K488" s="1189">
        <f>K483=L488</f>
        <v/>
      </c>
      <c r="L488" s="491">
        <f>SUM(L483:L487)</f>
        <v/>
      </c>
      <c r="M488" s="1190" t="inlineStr">
        <is>
          <t xml:space="preserve">“Verdadero” indica que la cantidad por lote, coincide con el saldo que inicia al mes siguiente. "Falso" no coinicide. </t>
        </is>
      </c>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413">
        <f>OCTUBRE!K489</f>
        <v/>
      </c>
      <c r="E489" s="339">
        <f>H85</f>
        <v/>
      </c>
      <c r="F489" s="338" t="n"/>
      <c r="G489" s="338" t="n"/>
      <c r="H489" s="1235">
        <f>+F489+G489</f>
        <v/>
      </c>
      <c r="I489" s="340">
        <f>+AM489</f>
        <v/>
      </c>
      <c r="J489" s="341">
        <f>+H489+I489</f>
        <v/>
      </c>
      <c r="K489" s="583">
        <f>+(D489+E489)-(J489)</f>
        <v/>
      </c>
      <c r="L489" s="253" t="n"/>
      <c r="M489" s="254" t="n"/>
      <c r="N489" s="254" t="n"/>
      <c r="O489" s="1183" t="n"/>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c r="AA489" s="648" t="n"/>
      <c r="AB489" s="649">
        <f>+Z489+AA489</f>
        <v/>
      </c>
      <c r="AC489" s="648" t="n"/>
      <c r="AD489" s="648" t="n"/>
      <c r="AE489" s="648" t="n"/>
      <c r="AF489" s="648" t="n"/>
      <c r="AG489" s="648" t="n"/>
      <c r="AH489" s="648" t="n"/>
      <c r="AI489" s="648" t="n"/>
      <c r="AJ489" s="648" t="n"/>
      <c r="AK489" s="648" t="n"/>
      <c r="AL489" s="648" t="n"/>
      <c r="AM489" s="421">
        <f>SUM(AB489:AL493)</f>
        <v/>
      </c>
      <c r="AN489" s="726" t="n"/>
      <c r="AQ489" s="1238">
        <f>IFERROR(I489/J489*100,"0")</f>
        <v/>
      </c>
      <c r="AR489" s="343">
        <f>IFERROR(1/(1-(AQ489/100)),"0")</f>
        <v/>
      </c>
      <c r="AS489" s="1239" t="n">
        <v>0</v>
      </c>
      <c r="AT489" s="345" t="n">
        <v>1</v>
      </c>
      <c r="AU489" s="1240" t="n"/>
      <c r="AV489" s="1241" t="n"/>
      <c r="AW489" s="1242">
        <f>+H489-AV489</f>
        <v/>
      </c>
    </row>
    <row r="490" ht="17.25" customHeight="1">
      <c r="A490" s="973" t="n"/>
      <c r="B490" s="971" t="n"/>
      <c r="C490" s="972" t="n"/>
      <c r="D490" s="973" t="n"/>
      <c r="E490" s="973" t="n"/>
      <c r="F490" s="994" t="n"/>
      <c r="G490" s="994" t="n"/>
      <c r="H490" s="973" t="n"/>
      <c r="I490" s="973" t="n"/>
      <c r="J490" s="973" t="n"/>
      <c r="K490" s="973" t="n"/>
      <c r="L490" s="253" t="n"/>
      <c r="M490" s="254" t="n"/>
      <c r="N490" s="254" t="n"/>
      <c r="O490" s="1183" t="n"/>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73" t="n"/>
      <c r="E491" s="973" t="n"/>
      <c r="F491" s="994" t="n"/>
      <c r="G491" s="994" t="n"/>
      <c r="H491" s="973" t="n"/>
      <c r="I491" s="973" t="n"/>
      <c r="J491" s="973" t="n"/>
      <c r="K491" s="973" t="n"/>
      <c r="L491" s="253" t="n"/>
      <c r="M491" s="254" t="n"/>
      <c r="N491" s="254" t="n"/>
      <c r="O491" s="1183" t="n"/>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73" t="n"/>
      <c r="E492" s="973" t="n"/>
      <c r="F492" s="994" t="n"/>
      <c r="G492" s="994" t="n"/>
      <c r="H492" s="973" t="n"/>
      <c r="I492" s="973" t="n"/>
      <c r="J492" s="973" t="n"/>
      <c r="K492" s="973" t="n"/>
      <c r="L492" s="253" t="n"/>
      <c r="M492" s="254" t="n"/>
      <c r="N492" s="254" t="n"/>
      <c r="O492" s="1183" t="n"/>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73"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75" t="n"/>
      <c r="E494" s="975" t="n"/>
      <c r="F494" s="998" t="n"/>
      <c r="G494" s="998" t="n"/>
      <c r="H494" s="975" t="n"/>
      <c r="I494" s="975" t="n"/>
      <c r="J494" s="975" t="n"/>
      <c r="K494" s="1189">
        <f>K489=L494</f>
        <v/>
      </c>
      <c r="L494" s="491">
        <f>SUM(L489:L493)</f>
        <v/>
      </c>
      <c r="M494" s="1190" t="inlineStr">
        <is>
          <t xml:space="preserve">“Verdadero” indica que la cantidad por lote, coincide con el saldo que inicia al mes siguiente. "Falso" no coinicide. </t>
        </is>
      </c>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413">
        <f>OCTUBRE!K495</f>
        <v/>
      </c>
      <c r="E495" s="339">
        <f>H91</f>
        <v/>
      </c>
      <c r="F495" s="338" t="n"/>
      <c r="G495" s="338" t="n"/>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c r="AA495" s="648" t="n"/>
      <c r="AB495" s="649">
        <f>+Z495+AA495</f>
        <v/>
      </c>
      <c r="AC495" s="648" t="n"/>
      <c r="AD495" s="648" t="n"/>
      <c r="AE495" s="648" t="n"/>
      <c r="AF495" s="648" t="n"/>
      <c r="AG495" s="648" t="n"/>
      <c r="AH495" s="648" t="n"/>
      <c r="AI495" s="648" t="n"/>
      <c r="AJ495" s="648" t="n"/>
      <c r="AK495" s="648" t="n"/>
      <c r="AL495" s="648" t="n"/>
      <c r="AM495" s="421">
        <f>SUM(AB495:AL499)</f>
        <v/>
      </c>
      <c r="AN495" s="726" t="n"/>
      <c r="AQ495" s="1238">
        <f>IFERROR(I495/J495*100,"0")</f>
        <v/>
      </c>
      <c r="AR495" s="343">
        <f>IFERROR(1/(1-(AQ495/100)),"0")</f>
        <v/>
      </c>
      <c r="AS495" s="1239" t="n">
        <v>25</v>
      </c>
      <c r="AT495" s="345" t="n">
        <v>5</v>
      </c>
      <c r="AU495" s="1240" t="n"/>
      <c r="AV495" s="1241" t="n"/>
      <c r="AW495" s="1242">
        <f>+H495-AV495</f>
        <v/>
      </c>
    </row>
    <row r="496" ht="17.25" customHeight="1">
      <c r="A496" s="973" t="n"/>
      <c r="B496" s="971" t="n"/>
      <c r="C496" s="972" t="n"/>
      <c r="D496" s="973"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73"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73"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73"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75" t="n"/>
      <c r="E500" s="975" t="n"/>
      <c r="F500" s="998" t="n"/>
      <c r="G500" s="998" t="n"/>
      <c r="H500" s="975" t="n"/>
      <c r="I500" s="975" t="n"/>
      <c r="J500" s="975" t="n"/>
      <c r="K500" s="1189">
        <f>K495=L500</f>
        <v/>
      </c>
      <c r="L500" s="491">
        <f>SUM(L495:L499)</f>
        <v/>
      </c>
      <c r="M500" s="1190" t="inlineStr">
        <is>
          <t xml:space="preserve">“Verdadero” indica que la cantidad por lote, coincide con el saldo que inicia al mes siguiente. "Falso" no coinicide. </t>
        </is>
      </c>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413">
        <f>OCTUBRE!K501</f>
        <v/>
      </c>
      <c r="E501" s="339">
        <f>H97</f>
        <v/>
      </c>
      <c r="F501" s="338" t="n"/>
      <c r="G501" s="338" t="n"/>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c r="AA501" s="648" t="n"/>
      <c r="AB501" s="649">
        <f>+Z501+AA501</f>
        <v/>
      </c>
      <c r="AC501" s="648" t="n"/>
      <c r="AD501" s="648" t="n"/>
      <c r="AE501" s="648" t="n"/>
      <c r="AF501" s="648" t="n"/>
      <c r="AG501" s="648" t="n"/>
      <c r="AH501" s="648" t="n"/>
      <c r="AI501" s="648" t="n"/>
      <c r="AJ501" s="648" t="n"/>
      <c r="AK501" s="648" t="n"/>
      <c r="AL501" s="648" t="n"/>
      <c r="AM501" s="421">
        <f>SUM(AB501:AL505)</f>
        <v/>
      </c>
      <c r="AN501" s="726" t="n"/>
      <c r="AQ501" s="1238">
        <f>IFERROR(I501/J501*100,"0")</f>
        <v/>
      </c>
      <c r="AR501" s="343">
        <f>IFERROR(1/(1-(AQ501/100)),"0")</f>
        <v/>
      </c>
      <c r="AS501" s="1239" t="n">
        <v>30</v>
      </c>
      <c r="AT501" s="345" t="n">
        <v>10</v>
      </c>
      <c r="AU501" s="1240" t="n"/>
      <c r="AV501" s="1241" t="n"/>
      <c r="AW501" s="1242">
        <f>+H501-AV501</f>
        <v/>
      </c>
    </row>
    <row r="502" ht="17.25" customHeight="1">
      <c r="A502" s="973" t="n"/>
      <c r="B502" s="971" t="n"/>
      <c r="C502" s="972" t="n"/>
      <c r="D502" s="973"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73"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73"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73"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75" t="n"/>
      <c r="E506" s="975" t="n"/>
      <c r="F506" s="998" t="n"/>
      <c r="G506" s="998" t="n"/>
      <c r="H506" s="975" t="n"/>
      <c r="I506" s="975" t="n"/>
      <c r="J506" s="975" t="n"/>
      <c r="K506" s="1189">
        <f>K501=L506</f>
        <v/>
      </c>
      <c r="L506" s="491">
        <f>SUM(L501:L505)</f>
        <v/>
      </c>
      <c r="M506" s="1190" t="inlineStr">
        <is>
          <t xml:space="preserve">“Verdadero” indica que la cantidad por lote, coincide con el saldo que inicia al mes siguiente. "Falso" no coinicide. </t>
        </is>
      </c>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413">
        <f>OCTUBRE!K507</f>
        <v/>
      </c>
      <c r="E507" s="339">
        <f>H103</f>
        <v/>
      </c>
      <c r="F507" s="338" t="n"/>
      <c r="G507" s="338" t="n"/>
      <c r="H507" s="1235">
        <f>+F507+G507</f>
        <v/>
      </c>
      <c r="I507" s="340">
        <f>+AM507</f>
        <v/>
      </c>
      <c r="J507" s="341">
        <f>+H507+I507</f>
        <v/>
      </c>
      <c r="K507" s="583">
        <f>+(D507+E507)-(J507)</f>
        <v/>
      </c>
      <c r="L507" s="253" t="n"/>
      <c r="M507" s="254" t="n"/>
      <c r="N507" s="254" t="n"/>
      <c r="O507" s="1183" t="n"/>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c r="AA507" s="648" t="n"/>
      <c r="AB507" s="649">
        <f>+Z507+AA507</f>
        <v/>
      </c>
      <c r="AC507" s="648" t="n"/>
      <c r="AD507" s="648" t="n"/>
      <c r="AE507" s="648" t="n"/>
      <c r="AF507" s="648" t="n"/>
      <c r="AG507" s="648" t="n"/>
      <c r="AH507" s="648" t="n"/>
      <c r="AI507" s="648" t="n"/>
      <c r="AJ507" s="648" t="n"/>
      <c r="AK507" s="648" t="n"/>
      <c r="AL507" s="648" t="n"/>
      <c r="AM507" s="421">
        <f>SUM(AB507:AL511)</f>
        <v/>
      </c>
      <c r="AN507" s="726" t="n"/>
      <c r="AQ507" s="1238">
        <f>IFERROR(I507/J507*100,"0")</f>
        <v/>
      </c>
      <c r="AR507" s="343">
        <f>IFERROR(1/(1-(AQ507/100)),"0")</f>
        <v/>
      </c>
      <c r="AS507" s="1239" t="n">
        <v>0</v>
      </c>
      <c r="AT507" s="345" t="n">
        <v>1</v>
      </c>
      <c r="AU507" s="1240" t="n"/>
      <c r="AV507" s="1241" t="n"/>
      <c r="AW507" s="1242">
        <f>+H507-AV507</f>
        <v/>
      </c>
    </row>
    <row r="508" ht="17.25" customHeight="1">
      <c r="A508" s="973" t="n"/>
      <c r="B508" s="971" t="n"/>
      <c r="C508" s="972" t="n"/>
      <c r="D508" s="973" t="n"/>
      <c r="E508" s="973" t="n"/>
      <c r="F508" s="994" t="n"/>
      <c r="G508" s="994" t="n"/>
      <c r="H508" s="973" t="n"/>
      <c r="I508" s="973" t="n"/>
      <c r="J508" s="973" t="n"/>
      <c r="K508" s="973" t="n"/>
      <c r="L508" s="253" t="n"/>
      <c r="M508" s="254" t="n"/>
      <c r="N508" s="254" t="n"/>
      <c r="O508" s="1183" t="n"/>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73" t="n"/>
      <c r="E509" s="973" t="n"/>
      <c r="F509" s="994" t="n"/>
      <c r="G509" s="994" t="n"/>
      <c r="H509" s="973" t="n"/>
      <c r="I509" s="973" t="n"/>
      <c r="J509" s="973" t="n"/>
      <c r="K509" s="973" t="n"/>
      <c r="L509" s="253" t="n"/>
      <c r="M509" s="254" t="n"/>
      <c r="N509" s="254" t="n"/>
      <c r="O509" s="1183" t="n"/>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73" t="n"/>
      <c r="E510" s="973" t="n"/>
      <c r="F510" s="994" t="n"/>
      <c r="G510" s="994" t="n"/>
      <c r="H510" s="973" t="n"/>
      <c r="I510" s="973" t="n"/>
      <c r="J510" s="973" t="n"/>
      <c r="K510" s="973" t="n"/>
      <c r="L510" s="253" t="n"/>
      <c r="M510" s="254" t="n"/>
      <c r="N510" s="254" t="n"/>
      <c r="O510" s="1183" t="n"/>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73" t="n"/>
      <c r="E511" s="973" t="n"/>
      <c r="F511" s="994" t="n"/>
      <c r="G511" s="994" t="n"/>
      <c r="H511" s="973" t="n"/>
      <c r="I511" s="973" t="n"/>
      <c r="J511" s="973" t="n"/>
      <c r="K511" s="975" t="n"/>
      <c r="L511" s="253" t="n"/>
      <c r="M511" s="254" t="n"/>
      <c r="N511" s="254" t="n"/>
      <c r="O511" s="1183" t="n"/>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75" t="n"/>
      <c r="E512" s="975" t="n"/>
      <c r="F512" s="998" t="n"/>
      <c r="G512" s="998" t="n"/>
      <c r="H512" s="975" t="n"/>
      <c r="I512" s="975" t="n"/>
      <c r="J512" s="975" t="n"/>
      <c r="K512" s="1189">
        <f>K507=L512</f>
        <v/>
      </c>
      <c r="L512" s="491">
        <f>SUM(L507:L511)</f>
        <v/>
      </c>
      <c r="M512" s="1190" t="inlineStr">
        <is>
          <t xml:space="preserve">“Verdadero” indica que la cantidad por lote, coincide con el saldo que inicia al mes siguiente. "Falso" no coinicide. </t>
        </is>
      </c>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413">
        <f>OCTUBRE!K513</f>
        <v/>
      </c>
      <c r="E513" s="339">
        <f>H109</f>
        <v/>
      </c>
      <c r="F513" s="338" t="n"/>
      <c r="G513" s="338" t="n"/>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c r="AA513" s="648" t="n"/>
      <c r="AB513" s="649">
        <f>+Z513+AA513</f>
        <v/>
      </c>
      <c r="AC513" s="648" t="n"/>
      <c r="AD513" s="648" t="n"/>
      <c r="AE513" s="648" t="n"/>
      <c r="AF513" s="648" t="n"/>
      <c r="AG513" s="648" t="n"/>
      <c r="AH513" s="648" t="n"/>
      <c r="AI513" s="648" t="n"/>
      <c r="AJ513" s="648" t="n"/>
      <c r="AK513" s="648" t="n"/>
      <c r="AL513" s="648" t="n"/>
      <c r="AM513" s="421">
        <f>SUM(AB513:AL517)</f>
        <v/>
      </c>
      <c r="AN513" s="726" t="n"/>
      <c r="AQ513" s="1238">
        <f>IFERROR(I513/J513*100,"0")</f>
        <v/>
      </c>
      <c r="AR513" s="343">
        <f>IFERROR(1/(1-(AQ513/100)),"0")</f>
        <v/>
      </c>
      <c r="AS513" s="1239" t="n">
        <v>30</v>
      </c>
      <c r="AT513" s="345" t="n">
        <v>10</v>
      </c>
      <c r="AU513" s="1240" t="n"/>
      <c r="AV513" s="1241" t="n"/>
      <c r="AW513" s="1242">
        <f>+H513-AV513</f>
        <v/>
      </c>
    </row>
    <row r="514" ht="17.25" customHeight="1">
      <c r="A514" s="973" t="n"/>
      <c r="B514" s="971" t="n"/>
      <c r="C514" s="972" t="n"/>
      <c r="D514" s="973"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73"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73"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73"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75" t="n"/>
      <c r="E518" s="975" t="n"/>
      <c r="F518" s="998" t="n"/>
      <c r="G518" s="998" t="n"/>
      <c r="H518" s="975" t="n"/>
      <c r="I518" s="975" t="n"/>
      <c r="J518" s="975" t="n"/>
      <c r="K518" s="1189">
        <f>K513=L518</f>
        <v/>
      </c>
      <c r="L518" s="491">
        <f>SUM(L513:L517)</f>
        <v/>
      </c>
      <c r="M518" s="1190" t="inlineStr">
        <is>
          <t xml:space="preserve">“Verdadero” indica que la cantidad por lote, coincide con el saldo que inicia al mes siguiente. "Falso" no coinicide. </t>
        </is>
      </c>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413">
        <f>OCTUBRE!K519</f>
        <v/>
      </c>
      <c r="E519" s="339">
        <f>H115</f>
        <v/>
      </c>
      <c r="F519" s="338" t="n"/>
      <c r="G519" s="338" t="n"/>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c r="AA519" s="648" t="n"/>
      <c r="AB519" s="649">
        <f>+Z519+AA519</f>
        <v/>
      </c>
      <c r="AC519" s="648" t="n"/>
      <c r="AD519" s="648" t="n"/>
      <c r="AE519" s="648" t="n"/>
      <c r="AF519" s="648" t="n"/>
      <c r="AG519" s="648" t="n"/>
      <c r="AH519" s="648" t="n"/>
      <c r="AI519" s="648" t="n"/>
      <c r="AJ519" s="648" t="n"/>
      <c r="AK519" s="648" t="n"/>
      <c r="AL519" s="648" t="n"/>
      <c r="AM519" s="421">
        <f>SUM(AB519:AL523)</f>
        <v/>
      </c>
      <c r="AN519" s="726" t="n"/>
      <c r="AQ519" s="1238">
        <f>IFERROR(I519/J519*100,"0")</f>
        <v/>
      </c>
      <c r="AR519" s="343">
        <f>IFERROR(1/(1-(AQ519/100)),"0")</f>
        <v/>
      </c>
      <c r="AS519" s="1239" t="n">
        <v>0</v>
      </c>
      <c r="AT519" s="345" t="n">
        <v>1</v>
      </c>
      <c r="AU519" s="1240" t="n"/>
      <c r="AV519" s="1241" t="n"/>
      <c r="AW519" s="1242">
        <f>+H519-AV519</f>
        <v/>
      </c>
    </row>
    <row r="520" ht="17.25" customHeight="1">
      <c r="A520" s="973" t="n"/>
      <c r="B520" s="971" t="n"/>
      <c r="C520" s="972" t="n"/>
      <c r="D520" s="973"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73"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73"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73"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75" t="n"/>
      <c r="E524" s="975" t="n"/>
      <c r="F524" s="998" t="n"/>
      <c r="G524" s="998" t="n"/>
      <c r="H524" s="975" t="n"/>
      <c r="I524" s="975" t="n"/>
      <c r="J524" s="975" t="n"/>
      <c r="K524" s="1189">
        <f>K519=L524</f>
        <v/>
      </c>
      <c r="L524" s="491">
        <f>SUM(L519:L523)</f>
        <v/>
      </c>
      <c r="M524" s="1190" t="inlineStr">
        <is>
          <t xml:space="preserve">“Verdadero” indica que la cantidad por lote, coincide con el saldo que inicia al mes siguiente. "Falso" no coinicide. </t>
        </is>
      </c>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413">
        <f>OCTUBRE!K525</f>
        <v/>
      </c>
      <c r="E525" s="339">
        <f>H121</f>
        <v/>
      </c>
      <c r="F525" s="338" t="n"/>
      <c r="G525" s="338" t="n"/>
      <c r="H525" s="1235">
        <f>+F525+G525</f>
        <v/>
      </c>
      <c r="I525" s="340">
        <f>+AM525</f>
        <v/>
      </c>
      <c r="J525" s="341">
        <f>+H525+I525</f>
        <v/>
      </c>
      <c r="K525" s="583">
        <f>+(D525+E525)-(J525)</f>
        <v/>
      </c>
      <c r="L525" s="253" t="n"/>
      <c r="M525" s="254" t="n"/>
      <c r="N525" s="254" t="n"/>
      <c r="O525" s="1183" t="n"/>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c r="AA525" s="648" t="n"/>
      <c r="AB525" s="649">
        <f>+Z525+AA525</f>
        <v/>
      </c>
      <c r="AC525" s="648" t="n"/>
      <c r="AD525" s="648" t="n"/>
      <c r="AE525" s="648" t="n"/>
      <c r="AF525" s="648" t="n"/>
      <c r="AG525" s="648" t="n"/>
      <c r="AH525" s="648" t="n"/>
      <c r="AI525" s="648" t="n"/>
      <c r="AJ525" s="648" t="n"/>
      <c r="AK525" s="648" t="n"/>
      <c r="AL525" s="648" t="n"/>
      <c r="AM525" s="421">
        <f>SUM(AB525:AL529)</f>
        <v/>
      </c>
      <c r="AN525" s="726" t="n"/>
      <c r="AQ525" s="1238">
        <f>IFERROR(I525/J525*100,"0")</f>
        <v/>
      </c>
      <c r="AR525" s="343">
        <f>IFERROR(1/(1-(AQ525/100)),"0")</f>
        <v/>
      </c>
      <c r="AS525" s="1239" t="n">
        <v>70</v>
      </c>
      <c r="AT525" s="345" t="n">
        <v>10</v>
      </c>
      <c r="AU525" s="1240" t="n"/>
      <c r="AV525" s="1241" t="n"/>
      <c r="AW525" s="1242">
        <f>+H525-AV525</f>
        <v/>
      </c>
    </row>
    <row r="526" ht="17.25" customHeight="1">
      <c r="A526" s="973" t="n"/>
      <c r="B526" s="971" t="n"/>
      <c r="C526" s="972" t="n"/>
      <c r="D526" s="973" t="n"/>
      <c r="E526" s="973" t="n"/>
      <c r="F526" s="994" t="n"/>
      <c r="G526" s="994" t="n"/>
      <c r="H526" s="973" t="n"/>
      <c r="I526" s="973" t="n"/>
      <c r="J526" s="973" t="n"/>
      <c r="K526" s="973" t="n"/>
      <c r="L526" s="253" t="n"/>
      <c r="M526" s="254" t="n"/>
      <c r="N526" s="254" t="n"/>
      <c r="O526" s="1183" t="n"/>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73" t="n"/>
      <c r="E527" s="973" t="n"/>
      <c r="F527" s="994" t="n"/>
      <c r="G527" s="994" t="n"/>
      <c r="H527" s="973" t="n"/>
      <c r="I527" s="973" t="n"/>
      <c r="J527" s="973" t="n"/>
      <c r="K527" s="973" t="n"/>
      <c r="L527" s="253" t="n"/>
      <c r="M527" s="254" t="n"/>
      <c r="N527" s="254" t="n"/>
      <c r="O527" s="1183" t="n"/>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73" t="n"/>
      <c r="E528" s="973" t="n"/>
      <c r="F528" s="994" t="n"/>
      <c r="G528" s="994" t="n"/>
      <c r="H528" s="973" t="n"/>
      <c r="I528" s="973" t="n"/>
      <c r="J528" s="973" t="n"/>
      <c r="K528" s="973" t="n"/>
      <c r="L528" s="253" t="n"/>
      <c r="M528" s="254" t="n"/>
      <c r="N528" s="254" t="n"/>
      <c r="O528" s="1183" t="n"/>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73" t="n"/>
      <c r="E529" s="973" t="n"/>
      <c r="F529" s="994" t="n"/>
      <c r="G529" s="994" t="n"/>
      <c r="H529" s="973" t="n"/>
      <c r="I529" s="973" t="n"/>
      <c r="J529" s="973" t="n"/>
      <c r="K529" s="975" t="n"/>
      <c r="L529" s="253" t="n"/>
      <c r="M529" s="254" t="n"/>
      <c r="N529" s="254" t="n"/>
      <c r="O529" s="1183" t="n"/>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75" t="n"/>
      <c r="E530" s="975" t="n"/>
      <c r="F530" s="998" t="n"/>
      <c r="G530" s="998" t="n"/>
      <c r="H530" s="975" t="n"/>
      <c r="I530" s="975" t="n"/>
      <c r="J530" s="975" t="n"/>
      <c r="K530" s="1189">
        <f>K525=L530</f>
        <v/>
      </c>
      <c r="L530" s="491">
        <f>SUM(L525:L529)</f>
        <v/>
      </c>
      <c r="M530" s="1190" t="inlineStr">
        <is>
          <t xml:space="preserve">“Verdadero” indica que la cantidad por lote, coincide con el saldo que inicia al mes siguiente. "Falso" no coinicide. </t>
        </is>
      </c>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413">
        <f>OCTUBRE!K531</f>
        <v/>
      </c>
      <c r="E531" s="339">
        <f>H127</f>
        <v/>
      </c>
      <c r="F531" s="338" t="n"/>
      <c r="G531" s="338" t="n"/>
      <c r="H531" s="1235">
        <f>+F531+G531</f>
        <v/>
      </c>
      <c r="I531" s="340">
        <f>+AM531</f>
        <v/>
      </c>
      <c r="J531" s="341">
        <f>+H531+I531</f>
        <v/>
      </c>
      <c r="K531" s="583">
        <f>+(D531+E531)-(J531)</f>
        <v/>
      </c>
      <c r="L531" s="253" t="n"/>
      <c r="M531" s="254" t="n"/>
      <c r="N531" s="254" t="n"/>
      <c r="O531" s="1183" t="n"/>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c r="AA531" s="648" t="n"/>
      <c r="AB531" s="649">
        <f>+Z531+AA531</f>
        <v/>
      </c>
      <c r="AC531" s="648" t="n"/>
      <c r="AD531" s="648" t="n"/>
      <c r="AE531" s="648" t="n"/>
      <c r="AF531" s="648" t="n"/>
      <c r="AG531" s="648" t="n"/>
      <c r="AH531" s="648" t="n"/>
      <c r="AI531" s="648" t="n"/>
      <c r="AJ531" s="648" t="n"/>
      <c r="AK531" s="648" t="n"/>
      <c r="AL531" s="648" t="n"/>
      <c r="AM531" s="421">
        <f>SUM(AB531:AL535)</f>
        <v/>
      </c>
      <c r="AN531" s="726" t="n"/>
      <c r="AQ531" s="1238">
        <f>IFERROR(I531/J531*100,"0")</f>
        <v/>
      </c>
      <c r="AR531" s="343">
        <f>IFERROR(1/(1-(AQ531/100)),"0")</f>
        <v/>
      </c>
      <c r="AS531" s="1239" t="n">
        <v>0</v>
      </c>
      <c r="AT531" s="345" t="n">
        <v>1</v>
      </c>
      <c r="AU531" s="1240" t="n"/>
      <c r="AV531" s="1241" t="n"/>
      <c r="AW531" s="1242">
        <f>+H531-AV531</f>
        <v/>
      </c>
    </row>
    <row r="532" ht="17.25" customHeight="1">
      <c r="A532" s="973" t="n"/>
      <c r="B532" s="971" t="n"/>
      <c r="C532" s="972" t="n"/>
      <c r="D532" s="973" t="n"/>
      <c r="E532" s="973" t="n"/>
      <c r="F532" s="994" t="n"/>
      <c r="G532" s="994" t="n"/>
      <c r="H532" s="973" t="n"/>
      <c r="I532" s="973" t="n"/>
      <c r="J532" s="973" t="n"/>
      <c r="K532" s="973" t="n"/>
      <c r="L532" s="253" t="n"/>
      <c r="M532" s="254" t="n"/>
      <c r="N532" s="254" t="n"/>
      <c r="O532" s="1183" t="n"/>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73" t="n"/>
      <c r="E533" s="973" t="n"/>
      <c r="F533" s="994" t="n"/>
      <c r="G533" s="994" t="n"/>
      <c r="H533" s="973" t="n"/>
      <c r="I533" s="973" t="n"/>
      <c r="J533" s="973" t="n"/>
      <c r="K533" s="973" t="n"/>
      <c r="L533" s="253" t="n"/>
      <c r="M533" s="254" t="n"/>
      <c r="N533" s="254" t="n"/>
      <c r="O533" s="1183" t="n"/>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73" t="n"/>
      <c r="E534" s="973" t="n"/>
      <c r="F534" s="994" t="n"/>
      <c r="G534" s="994" t="n"/>
      <c r="H534" s="973" t="n"/>
      <c r="I534" s="973" t="n"/>
      <c r="J534" s="973" t="n"/>
      <c r="K534" s="973" t="n"/>
      <c r="L534" s="253" t="n"/>
      <c r="M534" s="254" t="n"/>
      <c r="N534" s="254" t="n"/>
      <c r="O534" s="1183" t="n"/>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73" t="n"/>
      <c r="E535" s="973" t="n"/>
      <c r="F535" s="994" t="n"/>
      <c r="G535" s="994" t="n"/>
      <c r="H535" s="973" t="n"/>
      <c r="I535" s="973" t="n"/>
      <c r="J535" s="973" t="n"/>
      <c r="K535" s="975" t="n"/>
      <c r="L535" s="253" t="n"/>
      <c r="M535" s="254" t="n"/>
      <c r="N535" s="254" t="n"/>
      <c r="O535" s="1183" t="n"/>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75" t="n"/>
      <c r="E536" s="975" t="n"/>
      <c r="F536" s="998" t="n"/>
      <c r="G536" s="998" t="n"/>
      <c r="H536" s="975" t="n"/>
      <c r="I536" s="975" t="n"/>
      <c r="J536" s="975" t="n"/>
      <c r="K536" s="1189">
        <f>K531=L536</f>
        <v/>
      </c>
      <c r="L536" s="491">
        <f>SUM(L531:L535)</f>
        <v/>
      </c>
      <c r="M536" s="1190" t="inlineStr">
        <is>
          <t xml:space="preserve">“Verdadero” indica que la cantidad por lote, coincide con el saldo que inicia al mes siguiente. "Falso" no coinicide. </t>
        </is>
      </c>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413">
        <f>OCTUBRE!K537</f>
        <v/>
      </c>
      <c r="E537" s="339">
        <f>H133</f>
        <v/>
      </c>
      <c r="F537" s="338" t="n"/>
      <c r="G537" s="338" t="n"/>
      <c r="H537" s="1235">
        <f>+F537+G537</f>
        <v/>
      </c>
      <c r="I537" s="340">
        <f>+AM537</f>
        <v/>
      </c>
      <c r="J537" s="341">
        <f>+H537+I537</f>
        <v/>
      </c>
      <c r="K537" s="583">
        <f>+(D537+E537)-(J537)</f>
        <v/>
      </c>
      <c r="L537" s="253" t="n"/>
      <c r="M537" s="254" t="n"/>
      <c r="N537" s="254" t="n"/>
      <c r="O537" s="1183" t="n"/>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c r="AA537" s="648" t="n"/>
      <c r="AB537" s="649">
        <f>+Z537+AA537</f>
        <v/>
      </c>
      <c r="AC537" s="648" t="n"/>
      <c r="AD537" s="648" t="n"/>
      <c r="AE537" s="648" t="n"/>
      <c r="AF537" s="648" t="n"/>
      <c r="AG537" s="648" t="n"/>
      <c r="AH537" s="648" t="n"/>
      <c r="AI537" s="648" t="n"/>
      <c r="AJ537" s="648" t="n"/>
      <c r="AK537" s="648" t="n"/>
      <c r="AL537" s="648" t="n"/>
      <c r="AM537" s="421">
        <f>SUM(AB537:AL541)</f>
        <v/>
      </c>
      <c r="AN537" s="726" t="n"/>
      <c r="AQ537" s="1238">
        <f>IFERROR(I537/J537*100,"0")</f>
        <v/>
      </c>
      <c r="AR537" s="343">
        <f>IFERROR(1/(1-(AQ537/100)),"0")</f>
        <v/>
      </c>
      <c r="AS537" s="1239" t="n">
        <v>0</v>
      </c>
      <c r="AT537" s="345" t="n">
        <v>1</v>
      </c>
      <c r="AU537" s="1240" t="n"/>
      <c r="AV537" s="1241" t="n"/>
      <c r="AW537" s="1242">
        <f>+H537-AV537</f>
        <v/>
      </c>
    </row>
    <row r="538" ht="17.25" customHeight="1">
      <c r="A538" s="973" t="n"/>
      <c r="B538" s="971" t="n"/>
      <c r="C538" s="972" t="n"/>
      <c r="D538" s="973" t="n"/>
      <c r="E538" s="973" t="n"/>
      <c r="F538" s="994" t="n"/>
      <c r="G538" s="994" t="n"/>
      <c r="H538" s="973" t="n"/>
      <c r="I538" s="973" t="n"/>
      <c r="J538" s="973" t="n"/>
      <c r="K538" s="973" t="n"/>
      <c r="L538" s="253" t="n"/>
      <c r="M538" s="254" t="n"/>
      <c r="N538" s="254" t="n"/>
      <c r="O538" s="1183" t="n"/>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73" t="n"/>
      <c r="E539" s="973" t="n"/>
      <c r="F539" s="994" t="n"/>
      <c r="G539" s="994" t="n"/>
      <c r="H539" s="973" t="n"/>
      <c r="I539" s="973" t="n"/>
      <c r="J539" s="973" t="n"/>
      <c r="K539" s="973" t="n"/>
      <c r="L539" s="253" t="n"/>
      <c r="M539" s="254" t="n"/>
      <c r="N539" s="254" t="n"/>
      <c r="O539" s="1183" t="n"/>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73" t="n"/>
      <c r="E540" s="973" t="n"/>
      <c r="F540" s="994" t="n"/>
      <c r="G540" s="994" t="n"/>
      <c r="H540" s="973" t="n"/>
      <c r="I540" s="973" t="n"/>
      <c r="J540" s="973" t="n"/>
      <c r="K540" s="973" t="n"/>
      <c r="L540" s="253" t="n"/>
      <c r="M540" s="254" t="n"/>
      <c r="N540" s="254" t="n"/>
      <c r="O540" s="1183" t="n"/>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73" t="n"/>
      <c r="E541" s="973" t="n"/>
      <c r="F541" s="994" t="n"/>
      <c r="G541" s="994" t="n"/>
      <c r="H541" s="973" t="n"/>
      <c r="I541" s="973" t="n"/>
      <c r="J541" s="973" t="n"/>
      <c r="K541" s="975" t="n"/>
      <c r="L541" s="253" t="n"/>
      <c r="M541" s="254" t="n"/>
      <c r="N541" s="254" t="n"/>
      <c r="O541" s="1183" t="n"/>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75" t="n"/>
      <c r="E542" s="975" t="n"/>
      <c r="F542" s="998" t="n"/>
      <c r="G542" s="998" t="n"/>
      <c r="H542" s="975" t="n"/>
      <c r="I542" s="975" t="n"/>
      <c r="J542" s="975" t="n"/>
      <c r="K542" s="1189">
        <f>K537=L542</f>
        <v/>
      </c>
      <c r="L542" s="491">
        <f>SUM(L537:L541)</f>
        <v/>
      </c>
      <c r="M542" s="1190" t="inlineStr">
        <is>
          <t xml:space="preserve">“Verdadero” indica que la cantidad por lote, coincide con el saldo que inicia al mes siguiente. "Falso" no coinicide. </t>
        </is>
      </c>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413">
        <f>OCTUBRE!K543</f>
        <v/>
      </c>
      <c r="E543" s="339">
        <f>H139</f>
        <v/>
      </c>
      <c r="F543" s="338" t="n"/>
      <c r="G543" s="338" t="n"/>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c r="AA543" s="648" t="n"/>
      <c r="AB543" s="649">
        <f>+Z543+AA543</f>
        <v/>
      </c>
      <c r="AC543" s="648" t="n"/>
      <c r="AD543" s="648" t="n"/>
      <c r="AE543" s="648" t="n"/>
      <c r="AF543" s="648" t="n"/>
      <c r="AG543" s="648" t="n"/>
      <c r="AH543" s="648" t="n"/>
      <c r="AI543" s="648" t="n"/>
      <c r="AJ543" s="648" t="n"/>
      <c r="AK543" s="648" t="n"/>
      <c r="AL543" s="648" t="n"/>
      <c r="AM543" s="421">
        <f>SUM(AB543:AL547)</f>
        <v/>
      </c>
      <c r="AN543" s="726" t="n"/>
      <c r="AQ543" s="1238">
        <f>IFERROR(I543/J543*100,"0")</f>
        <v/>
      </c>
      <c r="AR543" s="343">
        <f>IFERROR(1/(1-(AQ543/100)),"0")</f>
        <v/>
      </c>
      <c r="AS543" s="1239" t="n">
        <v>0</v>
      </c>
      <c r="AT543" s="345" t="n">
        <v>1</v>
      </c>
      <c r="AU543" s="1240" t="n"/>
      <c r="AV543" s="1241" t="n"/>
      <c r="AW543" s="1242">
        <f>+H543-AV543</f>
        <v/>
      </c>
    </row>
    <row r="544" ht="17.25" customHeight="1">
      <c r="A544" s="973" t="n"/>
      <c r="B544" s="971" t="n"/>
      <c r="C544" s="972" t="n"/>
      <c r="D544" s="973"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73"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73"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73"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75" t="n"/>
      <c r="E548" s="975" t="n"/>
      <c r="F548" s="998" t="n"/>
      <c r="G548" s="998" t="n"/>
      <c r="H548" s="975" t="n"/>
      <c r="I548" s="975" t="n"/>
      <c r="J548" s="975" t="n"/>
      <c r="K548" s="1189">
        <f>K543=L548</f>
        <v/>
      </c>
      <c r="L548" s="491">
        <f>SUM(L543:L547)</f>
        <v/>
      </c>
      <c r="M548" s="1190" t="inlineStr">
        <is>
          <t xml:space="preserve">“Verdadero” indica que la cantidad por lote, coincide con el saldo que inicia al mes siguiente. "Falso" no coinicide. </t>
        </is>
      </c>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413">
        <f>OCTUBRE!K549</f>
        <v/>
      </c>
      <c r="E549" s="339">
        <f>H145</f>
        <v/>
      </c>
      <c r="F549" s="338" t="n"/>
      <c r="G549" s="338" t="n"/>
      <c r="H549" s="1235">
        <f>+F549+G549</f>
        <v/>
      </c>
      <c r="I549" s="340">
        <f>+AM549</f>
        <v/>
      </c>
      <c r="J549" s="341">
        <f>+H549+I549</f>
        <v/>
      </c>
      <c r="K549" s="583">
        <f>+(D549+E549)-(J549)</f>
        <v/>
      </c>
      <c r="L549" s="253" t="n"/>
      <c r="M549" s="254" t="n"/>
      <c r="N549" s="254" t="n"/>
      <c r="O549" s="1183" t="n"/>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c r="AA549" s="648" t="n"/>
      <c r="AB549" s="649">
        <f>+Z549+AA549</f>
        <v/>
      </c>
      <c r="AC549" s="648" t="n"/>
      <c r="AD549" s="648" t="n"/>
      <c r="AE549" s="648" t="n"/>
      <c r="AF549" s="648" t="n"/>
      <c r="AG549" s="648" t="n"/>
      <c r="AH549" s="648" t="n"/>
      <c r="AI549" s="648" t="n"/>
      <c r="AJ549" s="648" t="n"/>
      <c r="AK549" s="648" t="n"/>
      <c r="AL549" s="648" t="n"/>
      <c r="AM549" s="421">
        <f>SUM(AB549:AL553)</f>
        <v/>
      </c>
      <c r="AN549" s="726" t="n"/>
      <c r="AQ549" s="1238">
        <f>IFERROR(I549/J549*100,"0")</f>
        <v/>
      </c>
      <c r="AR549" s="343">
        <f>IFERROR(1/(1-(AQ549/100)),"0")</f>
        <v/>
      </c>
      <c r="AS549" s="1239" t="n">
        <v>15</v>
      </c>
      <c r="AT549" s="345" t="n">
        <v>10</v>
      </c>
      <c r="AU549" s="1240" t="n"/>
      <c r="AV549" s="1241" t="n"/>
      <c r="AW549" s="1242">
        <f>+H549-AV549</f>
        <v/>
      </c>
    </row>
    <row r="550" ht="17.25" customHeight="1">
      <c r="A550" s="973" t="n"/>
      <c r="B550" s="971" t="n"/>
      <c r="C550" s="972" t="n"/>
      <c r="D550" s="973" t="n"/>
      <c r="E550" s="973" t="n"/>
      <c r="F550" s="994" t="n"/>
      <c r="G550" s="994" t="n"/>
      <c r="H550" s="973" t="n"/>
      <c r="I550" s="973" t="n"/>
      <c r="J550" s="973" t="n"/>
      <c r="K550" s="973" t="n"/>
      <c r="L550" s="253" t="n"/>
      <c r="M550" s="254" t="n"/>
      <c r="N550" s="254" t="n"/>
      <c r="O550" s="1183" t="n"/>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73" t="n"/>
      <c r="E551" s="973" t="n"/>
      <c r="F551" s="994" t="n"/>
      <c r="G551" s="994" t="n"/>
      <c r="H551" s="973" t="n"/>
      <c r="I551" s="973" t="n"/>
      <c r="J551" s="973" t="n"/>
      <c r="K551" s="973" t="n"/>
      <c r="L551" s="253" t="n"/>
      <c r="M551" s="254" t="n"/>
      <c r="N551" s="254" t="n"/>
      <c r="O551" s="1183" t="n"/>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73" t="n"/>
      <c r="E552" s="973" t="n"/>
      <c r="F552" s="994" t="n"/>
      <c r="G552" s="994" t="n"/>
      <c r="H552" s="973" t="n"/>
      <c r="I552" s="973" t="n"/>
      <c r="J552" s="973" t="n"/>
      <c r="K552" s="973" t="n"/>
      <c r="L552" s="253" t="n"/>
      <c r="M552" s="254" t="n"/>
      <c r="N552" s="254" t="n"/>
      <c r="O552" s="1183" t="n"/>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73" t="n"/>
      <c r="E553" s="973" t="n"/>
      <c r="F553" s="994" t="n"/>
      <c r="G553" s="994" t="n"/>
      <c r="H553" s="973" t="n"/>
      <c r="I553" s="973" t="n"/>
      <c r="J553" s="973" t="n"/>
      <c r="K553" s="975" t="n"/>
      <c r="L553" s="253" t="n"/>
      <c r="M553" s="254" t="n"/>
      <c r="N553" s="254" t="n"/>
      <c r="O553" s="1183" t="n"/>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75" t="n"/>
      <c r="E554" s="975" t="n"/>
      <c r="F554" s="998" t="n"/>
      <c r="G554" s="998" t="n"/>
      <c r="H554" s="975" t="n"/>
      <c r="I554" s="975" t="n"/>
      <c r="J554" s="975" t="n"/>
      <c r="K554" s="1189">
        <f>K549=L554</f>
        <v/>
      </c>
      <c r="L554" s="491">
        <f>SUM(L549:L553)</f>
        <v/>
      </c>
      <c r="M554" s="1190" t="inlineStr">
        <is>
          <t xml:space="preserve">“Verdadero” indica que la cantidad por lote, coincide con el saldo que inicia al mes siguiente. "Falso" no coinicide. </t>
        </is>
      </c>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413">
        <f>OCTUBRE!K555</f>
        <v/>
      </c>
      <c r="E555" s="339">
        <f>H151</f>
        <v/>
      </c>
      <c r="F555" s="338" t="n"/>
      <c r="G555" s="338" t="n"/>
      <c r="H555" s="1235">
        <f>+F555+G555</f>
        <v/>
      </c>
      <c r="I555" s="340">
        <f>+AM555</f>
        <v/>
      </c>
      <c r="J555" s="341">
        <f>+H555+I555</f>
        <v/>
      </c>
      <c r="K555" s="583">
        <f>+(D555+E555)-(J555)</f>
        <v/>
      </c>
      <c r="L555" s="253" t="n"/>
      <c r="M555" s="254" t="n"/>
      <c r="N555" s="254" t="n"/>
      <c r="O555" s="1183" t="n"/>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c r="AA555" s="648" t="n"/>
      <c r="AB555" s="649">
        <f>+Z555+AA555</f>
        <v/>
      </c>
      <c r="AC555" s="648" t="n"/>
      <c r="AD555" s="648" t="n"/>
      <c r="AE555" s="648" t="n"/>
      <c r="AF555" s="648" t="n"/>
      <c r="AG555" s="648" t="n"/>
      <c r="AH555" s="648" t="n"/>
      <c r="AI555" s="648" t="n"/>
      <c r="AJ555" s="648" t="n"/>
      <c r="AK555" s="648" t="n"/>
      <c r="AL555" s="648" t="n"/>
      <c r="AM555" s="421">
        <f>SUM(AB555:AL559)</f>
        <v/>
      </c>
      <c r="AN555" s="726" t="n"/>
      <c r="AQ555" s="1238">
        <f>IFERROR(I555/J555*100,"0")</f>
        <v/>
      </c>
      <c r="AR555" s="343">
        <f>IFERROR(1/(1-(AQ555/100)),"0")</f>
        <v/>
      </c>
      <c r="AS555" s="1239" t="n">
        <v>0</v>
      </c>
      <c r="AT555" s="345" t="n">
        <v>1</v>
      </c>
      <c r="AU555" s="1240" t="n"/>
      <c r="AV555" s="1241" t="n"/>
      <c r="AW555" s="1242">
        <f>+H555-AV555</f>
        <v/>
      </c>
    </row>
    <row r="556" ht="17.25" customHeight="1">
      <c r="A556" s="973" t="n"/>
      <c r="B556" s="971" t="n"/>
      <c r="C556" s="972" t="n"/>
      <c r="D556" s="973" t="n"/>
      <c r="E556" s="973" t="n"/>
      <c r="F556" s="994" t="n"/>
      <c r="G556" s="994" t="n"/>
      <c r="H556" s="973" t="n"/>
      <c r="I556" s="973" t="n"/>
      <c r="J556" s="973" t="n"/>
      <c r="K556" s="973" t="n"/>
      <c r="L556" s="253" t="n"/>
      <c r="M556" s="254" t="n"/>
      <c r="N556" s="254" t="n"/>
      <c r="O556" s="1183" t="n"/>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73" t="n"/>
      <c r="E557" s="973" t="n"/>
      <c r="F557" s="994" t="n"/>
      <c r="G557" s="994" t="n"/>
      <c r="H557" s="973" t="n"/>
      <c r="I557" s="973" t="n"/>
      <c r="J557" s="973" t="n"/>
      <c r="K557" s="973" t="n"/>
      <c r="L557" s="253" t="n"/>
      <c r="M557" s="254" t="n"/>
      <c r="N557" s="254" t="n"/>
      <c r="O557" s="1183" t="n"/>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73" t="n"/>
      <c r="E558" s="973" t="n"/>
      <c r="F558" s="994" t="n"/>
      <c r="G558" s="994" t="n"/>
      <c r="H558" s="973" t="n"/>
      <c r="I558" s="973" t="n"/>
      <c r="J558" s="973" t="n"/>
      <c r="K558" s="973" t="n"/>
      <c r="L558" s="253" t="n"/>
      <c r="M558" s="254" t="n"/>
      <c r="N558" s="254" t="n"/>
      <c r="O558" s="1183" t="n"/>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73"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75" t="n"/>
      <c r="E560" s="975" t="n"/>
      <c r="F560" s="998" t="n"/>
      <c r="G560" s="998" t="n"/>
      <c r="H560" s="975" t="n"/>
      <c r="I560" s="975" t="n"/>
      <c r="J560" s="975" t="n"/>
      <c r="K560" s="1189">
        <f>K555=L560</f>
        <v/>
      </c>
      <c r="L560" s="491">
        <f>SUM(L555:L559)</f>
        <v/>
      </c>
      <c r="M560" s="1190" t="inlineStr">
        <is>
          <t xml:space="preserve">“Verdadero” indica que la cantidad por lote, coincide con el saldo que inicia al mes siguiente. "Falso" no coinicide. </t>
        </is>
      </c>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66">
        <f>OCTUBRE!K561</f>
        <v/>
      </c>
      <c r="E561" s="339">
        <f>H157</f>
        <v/>
      </c>
      <c r="F561" s="338" t="n"/>
      <c r="G561" s="338" t="n"/>
      <c r="H561" s="1235">
        <f>+F561+G561</f>
        <v/>
      </c>
      <c r="I561" s="340">
        <f>+AM561</f>
        <v/>
      </c>
      <c r="J561" s="341">
        <f>+H561+I561</f>
        <v/>
      </c>
      <c r="K561" s="583">
        <f>+(D561-D564+D565)+E561-J561</f>
        <v/>
      </c>
      <c r="L561" s="253" t="n"/>
      <c r="M561" s="254" t="n"/>
      <c r="N561" s="254" t="n"/>
      <c r="O561" s="1183" t="n"/>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c r="AA561" s="648" t="n"/>
      <c r="AB561" s="649">
        <f>+Z561+AA561</f>
        <v/>
      </c>
      <c r="AC561" s="648" t="n"/>
      <c r="AD561" s="648" t="n"/>
      <c r="AE561" s="648" t="n"/>
      <c r="AF561" s="648" t="n"/>
      <c r="AG561" s="648" t="n"/>
      <c r="AH561" s="648" t="n"/>
      <c r="AI561" s="648" t="n"/>
      <c r="AJ561" s="648" t="n"/>
      <c r="AK561" s="648" t="n"/>
      <c r="AL561" s="648" t="n"/>
      <c r="AM561" s="421">
        <f>SUM(AB561:AL565)</f>
        <v/>
      </c>
      <c r="AN561" s="726" t="n"/>
      <c r="AQ561" s="1238">
        <f>IFERROR(I561/J561*100,"0")</f>
        <v/>
      </c>
      <c r="AR561" s="343">
        <f>IFERROR(1/(1-(AQ561/100)),"0")</f>
        <v/>
      </c>
      <c r="AS561" s="1239" t="n">
        <v>15</v>
      </c>
      <c r="AT561" s="345" t="n">
        <v>20</v>
      </c>
      <c r="AU561" s="1240" t="n"/>
      <c r="AV561" s="1241" t="n"/>
      <c r="AW561" s="1242">
        <f>+H561-AV561</f>
        <v/>
      </c>
    </row>
    <row r="562" ht="19.5" customHeight="1">
      <c r="A562" s="973" t="n"/>
      <c r="B562" s="971" t="n"/>
      <c r="C562" s="972" t="n"/>
      <c r="D562" s="973" t="n"/>
      <c r="E562" s="973" t="n"/>
      <c r="F562" s="994" t="n"/>
      <c r="G562" s="994" t="n"/>
      <c r="H562" s="973" t="n"/>
      <c r="I562" s="973" t="n"/>
      <c r="J562" s="973" t="n"/>
      <c r="K562" s="973" t="n"/>
      <c r="L562" s="253" t="n"/>
      <c r="M562" s="254" t="n"/>
      <c r="N562" s="254" t="n"/>
      <c r="O562" s="1183" t="n"/>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75" t="n"/>
      <c r="E563" s="973" t="n"/>
      <c r="F563" s="994" t="n"/>
      <c r="G563" s="994" t="n"/>
      <c r="H563" s="973" t="n"/>
      <c r="I563" s="973" t="n"/>
      <c r="J563" s="973" t="n"/>
      <c r="K563" s="973" t="n"/>
      <c r="L563" s="253" t="n"/>
      <c r="M563" s="254" t="n"/>
      <c r="N563" s="254" t="n"/>
      <c r="O563" s="1183" t="n"/>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c r="M564" s="254" t="n"/>
      <c r="N564" s="254" t="n"/>
      <c r="O564" s="1183" t="n"/>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inlineStr">
        <is>
          <t xml:space="preserve">“Verdadero” indica que la cantidad por lote, coincide con el saldo que inicia al mes siguiente. "Falso" no coinicide. </t>
        </is>
      </c>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66">
        <f>OCTUBRE!K567</f>
        <v/>
      </c>
      <c r="E567" s="1244">
        <f>H163</f>
        <v/>
      </c>
      <c r="F567" s="338" t="n"/>
      <c r="G567" s="338" t="n"/>
      <c r="H567" s="1235">
        <f>+F567+G567</f>
        <v/>
      </c>
      <c r="I567" s="340">
        <f>+AM567</f>
        <v/>
      </c>
      <c r="J567" s="341">
        <f>+H567+I567</f>
        <v/>
      </c>
      <c r="K567" s="583">
        <f>(D567-D570+D571+E567)-(J567)</f>
        <v/>
      </c>
      <c r="L567" s="253" t="n"/>
      <c r="M567" s="254" t="n"/>
      <c r="N567" s="254" t="n"/>
      <c r="O567" s="1183" t="n"/>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c r="AA567" s="648" t="n"/>
      <c r="AB567" s="649">
        <f>+Z567+AA567</f>
        <v/>
      </c>
      <c r="AC567" s="648" t="n"/>
      <c r="AD567" s="648" t="n"/>
      <c r="AE567" s="648" t="n"/>
      <c r="AF567" s="648" t="n"/>
      <c r="AG567" s="648" t="n"/>
      <c r="AH567" s="648" t="n"/>
      <c r="AI567" s="648" t="n"/>
      <c r="AJ567" s="648" t="n"/>
      <c r="AK567" s="648" t="n"/>
      <c r="AL567" s="648" t="n"/>
      <c r="AM567" s="421">
        <f>SUM(AB567:AL571)</f>
        <v/>
      </c>
      <c r="AN567" s="726" t="n"/>
      <c r="AQ567" s="1238">
        <f>IFERROR(I567/J567*100,"0")</f>
        <v/>
      </c>
      <c r="AR567" s="343">
        <f>IFERROR(1/(1-(AQ567/100)),"0")</f>
        <v/>
      </c>
      <c r="AS567" s="1239" t="n">
        <v>10</v>
      </c>
      <c r="AT567" s="345" t="n">
        <v>10</v>
      </c>
      <c r="AU567" s="1240" t="n"/>
      <c r="AV567" s="1241" t="n"/>
      <c r="AW567" s="1242">
        <f>+H567-AV567</f>
        <v/>
      </c>
    </row>
    <row r="568" ht="19.5" customHeight="1">
      <c r="A568" s="973" t="n"/>
      <c r="B568" s="971" t="n"/>
      <c r="C568" s="972" t="n"/>
      <c r="D568" s="973" t="n"/>
      <c r="E568" s="973" t="n"/>
      <c r="F568" s="994" t="n"/>
      <c r="G568" s="994" t="n"/>
      <c r="H568" s="973" t="n"/>
      <c r="I568" s="973" t="n"/>
      <c r="J568" s="973" t="n"/>
      <c r="K568" s="973" t="n"/>
      <c r="L568" s="253" t="n"/>
      <c r="M568" s="254" t="n"/>
      <c r="N568" s="254" t="n"/>
      <c r="O568" s="1183" t="n"/>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75" t="n"/>
      <c r="E569" s="973" t="n"/>
      <c r="F569" s="994" t="n"/>
      <c r="G569" s="994" t="n"/>
      <c r="H569" s="973" t="n"/>
      <c r="I569" s="973" t="n"/>
      <c r="J569" s="973" t="n"/>
      <c r="K569" s="973" t="n"/>
      <c r="L569" s="253" t="n"/>
      <c r="M569" s="254" t="n"/>
      <c r="N569" s="254" t="n"/>
      <c r="O569" s="1183" t="n"/>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c r="M570" s="254" t="n"/>
      <c r="N570" s="254" t="n"/>
      <c r="O570" s="1183" t="n"/>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inlineStr">
        <is>
          <t xml:space="preserve">“Verdadero” indica que la cantidad por lote, coincide con el saldo que inicia al mes siguiente. "Falso" no coinicide. </t>
        </is>
      </c>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413">
        <f>OCTUBRE!K573</f>
        <v/>
      </c>
      <c r="E573" s="339">
        <f>H169</f>
        <v/>
      </c>
      <c r="F573" s="338" t="n"/>
      <c r="G573" s="338" t="n"/>
      <c r="H573" s="1235">
        <f>+F573+G573</f>
        <v/>
      </c>
      <c r="I573" s="340">
        <f>+AM573</f>
        <v/>
      </c>
      <c r="J573" s="341">
        <f>+H573+I573</f>
        <v/>
      </c>
      <c r="K573" s="583">
        <f>+(D573+E573)-(J573)</f>
        <v/>
      </c>
      <c r="L573" s="253" t="n"/>
      <c r="M573" s="254" t="n"/>
      <c r="N573" s="254" t="n"/>
      <c r="O573" s="1183" t="n"/>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c r="AA573" s="648" t="n"/>
      <c r="AB573" s="649">
        <f>+Z573+AA573</f>
        <v/>
      </c>
      <c r="AC573" s="648" t="n"/>
      <c r="AD573" s="648" t="n"/>
      <c r="AE573" s="648" t="n"/>
      <c r="AF573" s="648" t="n"/>
      <c r="AG573" s="648" t="n"/>
      <c r="AH573" s="648" t="n"/>
      <c r="AI573" s="648" t="n"/>
      <c r="AJ573" s="648" t="n"/>
      <c r="AK573" s="648" t="n"/>
      <c r="AL573" s="648" t="n"/>
      <c r="AM573" s="421">
        <f>SUM(AB573:AL577)</f>
        <v/>
      </c>
      <c r="AN573" s="726" t="n"/>
      <c r="AQ573" s="1238">
        <f>IFERROR(I573/J573*100,"0")</f>
        <v/>
      </c>
      <c r="AR573" s="343">
        <f>IFERROR(1/(1-(AQ573/100)),"0")</f>
        <v/>
      </c>
      <c r="AS573" s="1239" t="n">
        <v>0</v>
      </c>
      <c r="AT573" s="345" t="n">
        <v>1</v>
      </c>
      <c r="AU573" s="1240" t="n"/>
      <c r="AV573" s="1241" t="n"/>
      <c r="AW573" s="1242">
        <f>+H573-AV573</f>
        <v/>
      </c>
    </row>
    <row r="574" ht="17.25" customHeight="1">
      <c r="A574" s="973" t="n"/>
      <c r="B574" s="971" t="n"/>
      <c r="C574" s="972" t="n"/>
      <c r="D574" s="973" t="n"/>
      <c r="E574" s="973" t="n"/>
      <c r="F574" s="994" t="n"/>
      <c r="G574" s="994" t="n"/>
      <c r="H574" s="973" t="n"/>
      <c r="I574" s="973" t="n"/>
      <c r="J574" s="973" t="n"/>
      <c r="K574" s="973" t="n"/>
      <c r="L574" s="253" t="n"/>
      <c r="M574" s="254" t="n"/>
      <c r="N574" s="254" t="n"/>
      <c r="O574" s="1183" t="n"/>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73" t="n"/>
      <c r="E575" s="973" t="n"/>
      <c r="F575" s="994" t="n"/>
      <c r="G575" s="994" t="n"/>
      <c r="H575" s="973" t="n"/>
      <c r="I575" s="973" t="n"/>
      <c r="J575" s="973" t="n"/>
      <c r="K575" s="973" t="n"/>
      <c r="L575" s="253" t="n"/>
      <c r="M575" s="254" t="n"/>
      <c r="N575" s="254" t="n"/>
      <c r="O575" s="1183" t="n"/>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73" t="n"/>
      <c r="E576" s="973" t="n"/>
      <c r="F576" s="994" t="n"/>
      <c r="G576" s="994" t="n"/>
      <c r="H576" s="973" t="n"/>
      <c r="I576" s="973" t="n"/>
      <c r="J576" s="973" t="n"/>
      <c r="K576" s="973" t="n"/>
      <c r="L576" s="253" t="n"/>
      <c r="M576" s="254" t="n"/>
      <c r="N576" s="254" t="n"/>
      <c r="O576" s="1183" t="n"/>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73" t="n"/>
      <c r="E577" s="973" t="n"/>
      <c r="F577" s="994" t="n"/>
      <c r="G577" s="994" t="n"/>
      <c r="H577" s="973" t="n"/>
      <c r="I577" s="973" t="n"/>
      <c r="J577" s="973" t="n"/>
      <c r="K577" s="975" t="n"/>
      <c r="L577" s="253" t="n"/>
      <c r="M577" s="254" t="n"/>
      <c r="N577" s="254" t="n"/>
      <c r="O577" s="1183" t="n"/>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75" t="n"/>
      <c r="E578" s="975" t="n"/>
      <c r="F578" s="998" t="n"/>
      <c r="G578" s="998" t="n"/>
      <c r="H578" s="975" t="n"/>
      <c r="I578" s="975" t="n"/>
      <c r="J578" s="975" t="n"/>
      <c r="K578" s="1189">
        <f>K573=L578</f>
        <v/>
      </c>
      <c r="L578" s="491">
        <f>SUM(L573:L577)</f>
        <v/>
      </c>
      <c r="M578" s="1190" t="inlineStr">
        <is>
          <t xml:space="preserve">“Verdadero” indica que la cantidad por lote, coincide con el saldo que inicia al mes siguiente. "Falso" no coinicide. </t>
        </is>
      </c>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413">
        <f>OCTUBRE!K579</f>
        <v/>
      </c>
      <c r="E579" s="339">
        <f>H175</f>
        <v/>
      </c>
      <c r="F579" s="338" t="n"/>
      <c r="G579" s="338" t="n"/>
      <c r="H579" s="1235">
        <f>+F579+G579</f>
        <v/>
      </c>
      <c r="I579" s="340">
        <f>+AM579</f>
        <v/>
      </c>
      <c r="J579" s="341">
        <f>+H579+I579</f>
        <v/>
      </c>
      <c r="K579" s="583">
        <f>+(D579+E579)-(J579)</f>
        <v/>
      </c>
      <c r="L579" s="253" t="n"/>
      <c r="M579" s="254" t="n"/>
      <c r="N579" s="254" t="n"/>
      <c r="O579" s="1183" t="n"/>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c r="AA579" s="648" t="n"/>
      <c r="AB579" s="649">
        <f>+Z579+AA579</f>
        <v/>
      </c>
      <c r="AC579" s="648" t="n"/>
      <c r="AD579" s="648" t="n"/>
      <c r="AE579" s="648" t="n"/>
      <c r="AF579" s="648" t="n"/>
      <c r="AG579" s="648" t="n"/>
      <c r="AH579" s="648" t="n"/>
      <c r="AI579" s="648" t="n"/>
      <c r="AJ579" s="648" t="n"/>
      <c r="AK579" s="648" t="n"/>
      <c r="AL579" s="648" t="n"/>
      <c r="AM579" s="421">
        <f>SUM(AB579:AL583)</f>
        <v/>
      </c>
      <c r="AN579" s="726" t="n"/>
      <c r="AQ579" s="1238">
        <f>IFERROR(I579/J579*100,"0")</f>
        <v/>
      </c>
      <c r="AR579" s="343">
        <f>IFERROR(1/(1-(AQ579/100)),"0")</f>
        <v/>
      </c>
      <c r="AS579" s="1239" t="n">
        <v>0</v>
      </c>
      <c r="AT579" s="345" t="n">
        <v>1</v>
      </c>
      <c r="AU579" s="1240" t="n"/>
      <c r="AV579" s="1241" t="n"/>
      <c r="AW579" s="1242">
        <f>+H579-AV579</f>
        <v/>
      </c>
    </row>
    <row r="580" ht="17.25" customHeight="1">
      <c r="A580" s="973" t="n"/>
      <c r="B580" s="971" t="n"/>
      <c r="C580" s="972" t="n"/>
      <c r="D580" s="973" t="n"/>
      <c r="E580" s="973" t="n"/>
      <c r="F580" s="994" t="n"/>
      <c r="G580" s="994" t="n"/>
      <c r="H580" s="973" t="n"/>
      <c r="I580" s="973" t="n"/>
      <c r="J580" s="973" t="n"/>
      <c r="K580" s="973" t="n"/>
      <c r="L580" s="253" t="n"/>
      <c r="M580" s="254" t="n"/>
      <c r="N580" s="254" t="n"/>
      <c r="O580" s="1183" t="n"/>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73" t="n"/>
      <c r="E581" s="973" t="n"/>
      <c r="F581" s="994" t="n"/>
      <c r="G581" s="994" t="n"/>
      <c r="H581" s="973" t="n"/>
      <c r="I581" s="973" t="n"/>
      <c r="J581" s="973" t="n"/>
      <c r="K581" s="973" t="n"/>
      <c r="L581" s="253" t="n"/>
      <c r="M581" s="254" t="n"/>
      <c r="N581" s="254" t="n"/>
      <c r="O581" s="1183" t="n"/>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73" t="n"/>
      <c r="E582" s="973" t="n"/>
      <c r="F582" s="994" t="n"/>
      <c r="G582" s="994" t="n"/>
      <c r="H582" s="973" t="n"/>
      <c r="I582" s="973" t="n"/>
      <c r="J582" s="973" t="n"/>
      <c r="K582" s="973" t="n"/>
      <c r="L582" s="253" t="n"/>
      <c r="M582" s="254" t="n"/>
      <c r="N582" s="254" t="n"/>
      <c r="O582" s="1183" t="n"/>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73"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75" t="n"/>
      <c r="E584" s="975" t="n"/>
      <c r="F584" s="998" t="n"/>
      <c r="G584" s="998" t="n"/>
      <c r="H584" s="975" t="n"/>
      <c r="I584" s="975" t="n"/>
      <c r="J584" s="975" t="n"/>
      <c r="K584" s="1189">
        <f>K579=L584</f>
        <v/>
      </c>
      <c r="L584" s="491">
        <f>SUM(L579:L583)</f>
        <v/>
      </c>
      <c r="M584" s="1190" t="inlineStr">
        <is>
          <t xml:space="preserve">“Verdadero” indica que la cantidad por lote, coincide con el saldo que inicia al mes siguiente. "Falso" no coinicide. </t>
        </is>
      </c>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413">
        <f>OCTUBRE!K585</f>
        <v/>
      </c>
      <c r="E585" s="339">
        <f>H181</f>
        <v/>
      </c>
      <c r="F585" s="338" t="n"/>
      <c r="G585" s="338" t="n"/>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c r="AA585" s="648" t="n"/>
      <c r="AB585" s="649">
        <f>+Z585+AA585</f>
        <v/>
      </c>
      <c r="AC585" s="648" t="n"/>
      <c r="AD585" s="648" t="n"/>
      <c r="AE585" s="648" t="n"/>
      <c r="AF585" s="648" t="n"/>
      <c r="AG585" s="648" t="n"/>
      <c r="AH585" s="648" t="n"/>
      <c r="AI585" s="648" t="n"/>
      <c r="AJ585" s="648" t="n"/>
      <c r="AK585" s="648" t="n"/>
      <c r="AL585" s="648" t="n"/>
      <c r="AM585" s="421">
        <f>SUM(AB585:AL589)</f>
        <v/>
      </c>
      <c r="AN585" s="726" t="n"/>
      <c r="AQ585" s="1238">
        <f>IFERROR(I585/J585*100,"0")</f>
        <v/>
      </c>
      <c r="AR585" s="343">
        <f>IFERROR(1/(1-(AQ585/100)),"0")</f>
        <v/>
      </c>
      <c r="AS585" s="1239" t="n">
        <v>0</v>
      </c>
      <c r="AT585" s="345" t="n">
        <v>1</v>
      </c>
      <c r="AU585" s="1240" t="n"/>
      <c r="AV585" s="1241" t="n"/>
      <c r="AW585" s="1242">
        <f>+H585-AV585</f>
        <v/>
      </c>
    </row>
    <row r="586" ht="17.25" customHeight="1">
      <c r="A586" s="973" t="n"/>
      <c r="B586" s="971" t="n"/>
      <c r="C586" s="972" t="n"/>
      <c r="D586" s="973"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73"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73"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73"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75" t="n"/>
      <c r="E590" s="975" t="n"/>
      <c r="F590" s="998" t="n"/>
      <c r="G590" s="998" t="n"/>
      <c r="H590" s="975" t="n"/>
      <c r="I590" s="975" t="n"/>
      <c r="J590" s="975" t="n"/>
      <c r="K590" s="1189">
        <f>K585=L590</f>
        <v/>
      </c>
      <c r="L590" s="491">
        <f>SUM(L585:L589)</f>
        <v/>
      </c>
      <c r="M590" s="1190" t="inlineStr">
        <is>
          <t xml:space="preserve">“Verdadero” indica que la cantidad por lote, coincide con el saldo que inicia al mes siguiente. "Falso" no coinicide. </t>
        </is>
      </c>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413">
        <f>OCTUBRE!K591</f>
        <v/>
      </c>
      <c r="E591" s="339">
        <f>H187</f>
        <v/>
      </c>
      <c r="F591" s="338" t="n"/>
      <c r="G591" s="338" t="n"/>
      <c r="H591" s="1235">
        <f>+F591+G591</f>
        <v/>
      </c>
      <c r="I591" s="340">
        <f>+AM591</f>
        <v/>
      </c>
      <c r="J591" s="341">
        <f>+H591+I591</f>
        <v/>
      </c>
      <c r="K591" s="583">
        <f>+(D591+E591)-(J591)</f>
        <v/>
      </c>
      <c r="L591" s="253" t="n"/>
      <c r="M591" s="254" t="n"/>
      <c r="N591" s="254" t="n"/>
      <c r="O591" s="1183" t="n"/>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c r="AA591" s="648" t="n"/>
      <c r="AB591" s="649">
        <f>+Z591+AA591</f>
        <v/>
      </c>
      <c r="AC591" s="648" t="n"/>
      <c r="AD591" s="648" t="n"/>
      <c r="AE591" s="648" t="n"/>
      <c r="AF591" s="648" t="n"/>
      <c r="AG591" s="648" t="n"/>
      <c r="AH591" s="648" t="n"/>
      <c r="AI591" s="648" t="n"/>
      <c r="AJ591" s="648" t="n"/>
      <c r="AK591" s="648" t="n"/>
      <c r="AL591" s="648" t="n"/>
      <c r="AM591" s="421">
        <f>SUM(AB591:AL595)</f>
        <v/>
      </c>
      <c r="AN591" s="726" t="n"/>
      <c r="AQ591" s="1238">
        <f>IFERROR(I591/J591*100,"0")</f>
        <v/>
      </c>
      <c r="AR591" s="343">
        <f>IFERROR(1/(1-(AQ591/100)),"0")</f>
        <v/>
      </c>
      <c r="AS591" s="1239" t="n">
        <v>0</v>
      </c>
      <c r="AT591" s="345" t="n">
        <v>1</v>
      </c>
      <c r="AU591" s="1240" t="n"/>
      <c r="AV591" s="1241" t="n"/>
      <c r="AW591" s="1242">
        <f>+H591-AV591</f>
        <v/>
      </c>
    </row>
    <row r="592" ht="17.25" customHeight="1">
      <c r="A592" s="973" t="n"/>
      <c r="B592" s="971" t="n"/>
      <c r="C592" s="972" t="n"/>
      <c r="D592" s="973" t="n"/>
      <c r="E592" s="973" t="n"/>
      <c r="F592" s="994" t="n"/>
      <c r="G592" s="994" t="n"/>
      <c r="H592" s="973" t="n"/>
      <c r="I592" s="973" t="n"/>
      <c r="J592" s="973" t="n"/>
      <c r="K592" s="973" t="n"/>
      <c r="L592" s="253" t="n"/>
      <c r="M592" s="254" t="n"/>
      <c r="N592" s="254" t="n"/>
      <c r="O592" s="1183" t="n"/>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73" t="n"/>
      <c r="E593" s="973" t="n"/>
      <c r="F593" s="994" t="n"/>
      <c r="G593" s="994" t="n"/>
      <c r="H593" s="973" t="n"/>
      <c r="I593" s="973" t="n"/>
      <c r="J593" s="973" t="n"/>
      <c r="K593" s="973" t="n"/>
      <c r="L593" s="253" t="n"/>
      <c r="M593" s="254" t="n"/>
      <c r="N593" s="254" t="n"/>
      <c r="O593" s="1183" t="n"/>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73" t="n"/>
      <c r="E594" s="973" t="n"/>
      <c r="F594" s="994" t="n"/>
      <c r="G594" s="994" t="n"/>
      <c r="H594" s="973" t="n"/>
      <c r="I594" s="973" t="n"/>
      <c r="J594" s="973" t="n"/>
      <c r="K594" s="973" t="n"/>
      <c r="L594" s="253" t="n"/>
      <c r="M594" s="254" t="n"/>
      <c r="N594" s="254" t="n"/>
      <c r="O594" s="1183" t="n"/>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73" t="n"/>
      <c r="E595" s="973" t="n"/>
      <c r="F595" s="994" t="n"/>
      <c r="G595" s="994" t="n"/>
      <c r="H595" s="973" t="n"/>
      <c r="I595" s="973" t="n"/>
      <c r="J595" s="973" t="n"/>
      <c r="K595" s="975" t="n"/>
      <c r="L595" s="253" t="n"/>
      <c r="M595" s="254" t="n"/>
      <c r="N595" s="254" t="n"/>
      <c r="O595" s="1183" t="n"/>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75" t="n"/>
      <c r="E596" s="975" t="n"/>
      <c r="F596" s="998" t="n"/>
      <c r="G596" s="998" t="n"/>
      <c r="H596" s="975" t="n"/>
      <c r="I596" s="975" t="n"/>
      <c r="J596" s="975" t="n"/>
      <c r="K596" s="1189">
        <f>K591=L596</f>
        <v/>
      </c>
      <c r="L596" s="491">
        <f>SUM(L591:L595)</f>
        <v/>
      </c>
      <c r="M596" s="1190" t="inlineStr">
        <is>
          <t xml:space="preserve">“Verdadero” indica que la cantidad por lote, coincide con el saldo que inicia al mes siguiente. "Falso" no coinicide. </t>
        </is>
      </c>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413">
        <f>OCTUBRE!K597</f>
        <v/>
      </c>
      <c r="E597" s="339">
        <f>H193</f>
        <v/>
      </c>
      <c r="F597" s="338" t="n"/>
      <c r="G597" s="338" t="n"/>
      <c r="H597" s="1235">
        <f>+F597+G597</f>
        <v/>
      </c>
      <c r="I597" s="340">
        <f>+AM597</f>
        <v/>
      </c>
      <c r="J597" s="341">
        <f>+H597+I597</f>
        <v/>
      </c>
      <c r="K597" s="583">
        <f>+(D597+E597)-(J597)</f>
        <v/>
      </c>
      <c r="L597" s="253" t="n"/>
      <c r="M597" s="254" t="n"/>
      <c r="N597" s="254" t="n"/>
      <c r="O597" s="1183" t="n"/>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c r="AA597" s="648" t="n"/>
      <c r="AB597" s="649">
        <f>+Z597+AA597</f>
        <v/>
      </c>
      <c r="AC597" s="648" t="n"/>
      <c r="AD597" s="648" t="n"/>
      <c r="AE597" s="648" t="n"/>
      <c r="AF597" s="648" t="n"/>
      <c r="AG597" s="648" t="n"/>
      <c r="AH597" s="648" t="n"/>
      <c r="AI597" s="648" t="n"/>
      <c r="AJ597" s="648" t="n"/>
      <c r="AK597" s="648" t="n"/>
      <c r="AL597" s="648" t="n"/>
      <c r="AM597" s="421">
        <f>SUM(AB597:AL601)</f>
        <v/>
      </c>
      <c r="AN597" s="726" t="n"/>
      <c r="AQ597" s="1238">
        <f>IFERROR(I597/J597*100,"0")</f>
        <v/>
      </c>
      <c r="AR597" s="343">
        <f>IFERROR(1/(1-(AQ597/100)),"0")</f>
        <v/>
      </c>
      <c r="AS597" s="1239" t="n">
        <v>0</v>
      </c>
      <c r="AT597" s="345" t="n">
        <v>1</v>
      </c>
      <c r="AU597" s="1240" t="n"/>
      <c r="AV597" s="1241" t="n"/>
      <c r="AW597" s="1242">
        <f>+H597-AV597</f>
        <v/>
      </c>
    </row>
    <row r="598" ht="17.25" customHeight="1">
      <c r="A598" s="973" t="n"/>
      <c r="B598" s="971" t="n"/>
      <c r="C598" s="972" t="n"/>
      <c r="D598" s="973" t="n"/>
      <c r="E598" s="973" t="n"/>
      <c r="F598" s="994" t="n"/>
      <c r="G598" s="994" t="n"/>
      <c r="H598" s="973" t="n"/>
      <c r="I598" s="973" t="n"/>
      <c r="J598" s="973" t="n"/>
      <c r="K598" s="973" t="n"/>
      <c r="L598" s="253" t="n"/>
      <c r="M598" s="254" t="n"/>
      <c r="N598" s="254" t="n"/>
      <c r="O598" s="1183" t="n"/>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73" t="n"/>
      <c r="E599" s="973" t="n"/>
      <c r="F599" s="994" t="n"/>
      <c r="G599" s="994" t="n"/>
      <c r="H599" s="973" t="n"/>
      <c r="I599" s="973" t="n"/>
      <c r="J599" s="973" t="n"/>
      <c r="K599" s="973" t="n"/>
      <c r="L599" s="253" t="n"/>
      <c r="M599" s="254" t="n"/>
      <c r="N599" s="254" t="n"/>
      <c r="O599" s="1183" t="n"/>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73"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73"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75" t="n"/>
      <c r="E602" s="975" t="n"/>
      <c r="F602" s="998" t="n"/>
      <c r="G602" s="998" t="n"/>
      <c r="H602" s="975" t="n"/>
      <c r="I602" s="975" t="n"/>
      <c r="J602" s="975" t="n"/>
      <c r="K602" s="1189">
        <f>K597=L602</f>
        <v/>
      </c>
      <c r="L602" s="491">
        <f>SUM(L597:L601)</f>
        <v/>
      </c>
      <c r="M602" s="1190" t="inlineStr">
        <is>
          <t xml:space="preserve">“Verdadero” indica que la cantidad por lote, coincide con el saldo que inicia al mes siguiente. "Falso" no coinicide. </t>
        </is>
      </c>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413">
        <f>OCTUBRE!K603</f>
        <v/>
      </c>
      <c r="E603" s="339">
        <f>H199</f>
        <v/>
      </c>
      <c r="F603" s="338" t="n"/>
      <c r="G603" s="338" t="n"/>
      <c r="H603" s="1235">
        <f>+F603+G603</f>
        <v/>
      </c>
      <c r="I603" s="340">
        <f>+AM603</f>
        <v/>
      </c>
      <c r="J603" s="341">
        <f>+H603+I603</f>
        <v/>
      </c>
      <c r="K603" s="583">
        <f>+(D603+E603)-(J603)</f>
        <v/>
      </c>
      <c r="L603" s="253" t="n"/>
      <c r="M603" s="254" t="n"/>
      <c r="N603" s="254" t="n"/>
      <c r="O603" s="1183" t="n"/>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c r="AA603" s="648" t="n"/>
      <c r="AB603" s="649">
        <f>+Z603+AA603</f>
        <v/>
      </c>
      <c r="AC603" s="648" t="n"/>
      <c r="AD603" s="648" t="n"/>
      <c r="AE603" s="648" t="n"/>
      <c r="AF603" s="648" t="n"/>
      <c r="AG603" s="648" t="n"/>
      <c r="AH603" s="648" t="n"/>
      <c r="AI603" s="648" t="n"/>
      <c r="AJ603" s="648" t="n"/>
      <c r="AK603" s="648" t="n"/>
      <c r="AL603" s="648" t="n"/>
      <c r="AM603" s="421">
        <f>SUM(AB603:AL607)</f>
        <v/>
      </c>
      <c r="AN603" s="726" t="n"/>
      <c r="AQ603" s="1238">
        <f>IFERROR(I603/J603*100,"0")</f>
        <v/>
      </c>
      <c r="AR603" s="343">
        <f>IFERROR(1/(1-(AQ603/100)),"0")</f>
        <v/>
      </c>
      <c r="AS603" s="1239" t="n">
        <v>0</v>
      </c>
      <c r="AT603" s="345" t="n">
        <v>1</v>
      </c>
      <c r="AU603" s="1240" t="n"/>
      <c r="AV603" s="1241" t="n"/>
      <c r="AW603" s="1242">
        <f>+H603-AV603</f>
        <v/>
      </c>
    </row>
    <row r="604" ht="17.25" customHeight="1">
      <c r="A604" s="973" t="n"/>
      <c r="B604" s="971" t="n"/>
      <c r="C604" s="972" t="n"/>
      <c r="D604" s="973" t="n"/>
      <c r="E604" s="973" t="n"/>
      <c r="F604" s="994" t="n"/>
      <c r="G604" s="994" t="n"/>
      <c r="H604" s="973" t="n"/>
      <c r="I604" s="973" t="n"/>
      <c r="J604" s="973" t="n"/>
      <c r="K604" s="973" t="n"/>
      <c r="L604" s="253" t="n"/>
      <c r="M604" s="254" t="n"/>
      <c r="N604" s="254" t="n"/>
      <c r="O604" s="1183" t="n"/>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73" t="n"/>
      <c r="E605" s="973" t="n"/>
      <c r="F605" s="994" t="n"/>
      <c r="G605" s="994" t="n"/>
      <c r="H605" s="973" t="n"/>
      <c r="I605" s="973" t="n"/>
      <c r="J605" s="973" t="n"/>
      <c r="K605" s="973" t="n"/>
      <c r="L605" s="253" t="n"/>
      <c r="M605" s="254" t="n"/>
      <c r="N605" s="254" t="n"/>
      <c r="O605" s="1183" t="n"/>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73" t="n"/>
      <c r="E606" s="973" t="n"/>
      <c r="F606" s="994" t="n"/>
      <c r="G606" s="994" t="n"/>
      <c r="H606" s="973" t="n"/>
      <c r="I606" s="973" t="n"/>
      <c r="J606" s="973" t="n"/>
      <c r="K606" s="973" t="n"/>
      <c r="L606" s="253" t="n"/>
      <c r="M606" s="254" t="n"/>
      <c r="N606" s="254" t="n"/>
      <c r="O606" s="1183" t="n"/>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73"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75" t="n"/>
      <c r="E608" s="975" t="n"/>
      <c r="F608" s="998" t="n"/>
      <c r="G608" s="998" t="n"/>
      <c r="H608" s="975" t="n"/>
      <c r="I608" s="975" t="n"/>
      <c r="J608" s="975" t="n"/>
      <c r="K608" s="1189">
        <f>K603=L608</f>
        <v/>
      </c>
      <c r="L608" s="491">
        <f>SUM(L603:L607)</f>
        <v/>
      </c>
      <c r="M608" s="1190" t="inlineStr">
        <is>
          <t xml:space="preserve">“Verdadero” indica que la cantidad por lote, coincide con el saldo que inicia al mes siguiente. "Falso" no coinicide. </t>
        </is>
      </c>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413">
        <f>OCTUBRE!K609</f>
        <v/>
      </c>
      <c r="E609" s="339">
        <f>H205</f>
        <v/>
      </c>
      <c r="F609" s="338" t="n"/>
      <c r="G609" s="338" t="n"/>
      <c r="H609" s="1235">
        <f>+F609+G609</f>
        <v/>
      </c>
      <c r="I609" s="340">
        <f>+AM609</f>
        <v/>
      </c>
      <c r="J609" s="341">
        <f>+H609+I609</f>
        <v/>
      </c>
      <c r="K609" s="583">
        <f>+(D609+E609)-(J609)</f>
        <v/>
      </c>
      <c r="L609" s="253" t="n"/>
      <c r="M609" s="254" t="n"/>
      <c r="N609" s="254" t="n"/>
      <c r="O609" s="1183" t="n"/>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c r="AA609" s="648" t="n"/>
      <c r="AB609" s="649">
        <f>+Z609+AA609</f>
        <v/>
      </c>
      <c r="AC609" s="648" t="n"/>
      <c r="AD609" s="648" t="n"/>
      <c r="AE609" s="648" t="n"/>
      <c r="AF609" s="648" t="n"/>
      <c r="AG609" s="648" t="n"/>
      <c r="AH609" s="648" t="n"/>
      <c r="AI609" s="648" t="n"/>
      <c r="AJ609" s="648" t="n"/>
      <c r="AK609" s="648" t="n"/>
      <c r="AL609" s="648" t="n"/>
      <c r="AM609" s="421">
        <f>SUM(AB609:AL613)</f>
        <v/>
      </c>
      <c r="AN609" s="726" t="n"/>
      <c r="AQ609" s="1238">
        <f>IFERROR(I609/J609*100,"0")</f>
        <v/>
      </c>
      <c r="AR609" s="343">
        <f>IFERROR(1/(1-(AQ609/100)),"0")</f>
        <v/>
      </c>
      <c r="AS609" s="1239" t="n">
        <v>0</v>
      </c>
      <c r="AT609" s="345" t="n">
        <v>1</v>
      </c>
      <c r="AU609" s="1240" t="n"/>
      <c r="AV609" s="1241" t="n"/>
      <c r="AW609" s="1242">
        <f>+H609-AV609</f>
        <v/>
      </c>
    </row>
    <row r="610" ht="17.25" customHeight="1">
      <c r="A610" s="973" t="n"/>
      <c r="B610" s="971" t="n"/>
      <c r="C610" s="972" t="n"/>
      <c r="D610" s="973" t="n"/>
      <c r="E610" s="973" t="n"/>
      <c r="F610" s="994" t="n"/>
      <c r="G610" s="994" t="n"/>
      <c r="H610" s="973" t="n"/>
      <c r="I610" s="973" t="n"/>
      <c r="J610" s="973" t="n"/>
      <c r="K610" s="973" t="n"/>
      <c r="L610" s="253" t="n"/>
      <c r="M610" s="254" t="n"/>
      <c r="N610" s="254" t="n"/>
      <c r="O610" s="1183" t="n"/>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73" t="n"/>
      <c r="E611" s="973" t="n"/>
      <c r="F611" s="994" t="n"/>
      <c r="G611" s="994" t="n"/>
      <c r="H611" s="973" t="n"/>
      <c r="I611" s="973" t="n"/>
      <c r="J611" s="973" t="n"/>
      <c r="K611" s="973" t="n"/>
      <c r="L611" s="253" t="n"/>
      <c r="M611" s="254" t="n"/>
      <c r="N611" s="254" t="n"/>
      <c r="O611" s="1183" t="n"/>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73" t="n"/>
      <c r="E612" s="973" t="n"/>
      <c r="F612" s="994" t="n"/>
      <c r="G612" s="994" t="n"/>
      <c r="H612" s="973" t="n"/>
      <c r="I612" s="973" t="n"/>
      <c r="J612" s="973" t="n"/>
      <c r="K612" s="973" t="n"/>
      <c r="L612" s="253" t="n"/>
      <c r="M612" s="254" t="n"/>
      <c r="N612" s="254" t="n"/>
      <c r="O612" s="1183" t="n"/>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73" t="n"/>
      <c r="E613" s="973" t="n"/>
      <c r="F613" s="994" t="n"/>
      <c r="G613" s="994" t="n"/>
      <c r="H613" s="973" t="n"/>
      <c r="I613" s="973" t="n"/>
      <c r="J613" s="973" t="n"/>
      <c r="K613" s="975" t="n"/>
      <c r="L613" s="253" t="n"/>
      <c r="M613" s="254" t="n"/>
      <c r="N613" s="254" t="n"/>
      <c r="O613" s="1183" t="n"/>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75" t="n"/>
      <c r="E614" s="975" t="n"/>
      <c r="F614" s="998" t="n"/>
      <c r="G614" s="998" t="n"/>
      <c r="H614" s="975" t="n"/>
      <c r="I614" s="975" t="n"/>
      <c r="J614" s="975" t="n"/>
      <c r="K614" s="1189">
        <f>K609=L614</f>
        <v/>
      </c>
      <c r="L614" s="491">
        <f>SUM(L609:L613)</f>
        <v/>
      </c>
      <c r="M614" s="1190" t="inlineStr">
        <is>
          <t xml:space="preserve">“Verdadero” indica que la cantidad por lote, coincide con el saldo que inicia al mes siguiente. "Falso" no coinicide. </t>
        </is>
      </c>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413">
        <f>OCTUBRE!K615</f>
        <v/>
      </c>
      <c r="E615" s="339">
        <f>H211</f>
        <v/>
      </c>
      <c r="F615" s="338" t="n"/>
      <c r="G615" s="338" t="n"/>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c r="AA615" s="648" t="n"/>
      <c r="AB615" s="649">
        <f>+Z615+AA615</f>
        <v/>
      </c>
      <c r="AC615" s="648" t="n"/>
      <c r="AD615" s="648" t="n"/>
      <c r="AE615" s="648" t="n"/>
      <c r="AF615" s="648" t="n"/>
      <c r="AG615" s="648" t="n"/>
      <c r="AH615" s="648" t="n"/>
      <c r="AI615" s="648" t="n"/>
      <c r="AJ615" s="648" t="n"/>
      <c r="AK615" s="648" t="n"/>
      <c r="AL615" s="648" t="n"/>
      <c r="AM615" s="421">
        <f>SUM(AB615:AL619)</f>
        <v/>
      </c>
      <c r="AN615" s="726" t="n"/>
      <c r="AQ615" s="1238">
        <f>IFERROR(I615/J615*100,"0")</f>
        <v/>
      </c>
      <c r="AR615" s="343">
        <f>IFERROR(1/(1-(AQ615/100)),"0")</f>
        <v/>
      </c>
      <c r="AS615" s="1239" t="n">
        <v>0</v>
      </c>
      <c r="AT615" s="345" t="n">
        <v>1</v>
      </c>
      <c r="AU615" s="1240" t="n"/>
      <c r="AV615" s="1241" t="n"/>
      <c r="AW615" s="1242">
        <f>+H615-AV615</f>
        <v/>
      </c>
    </row>
    <row r="616" ht="17.25" customHeight="1">
      <c r="A616" s="973" t="n"/>
      <c r="B616" s="971" t="n"/>
      <c r="C616" s="972" t="n"/>
      <c r="D616" s="973"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73"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73"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73"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75" t="n"/>
      <c r="E620" s="975" t="n"/>
      <c r="F620" s="998" t="n"/>
      <c r="G620" s="998" t="n"/>
      <c r="H620" s="975" t="n"/>
      <c r="I620" s="975" t="n"/>
      <c r="J620" s="975" t="n"/>
      <c r="K620" s="1189">
        <f>K615=L620</f>
        <v/>
      </c>
      <c r="L620" s="491">
        <f>SUM(L615:L619)</f>
        <v/>
      </c>
      <c r="M620" s="1190" t="inlineStr">
        <is>
          <t xml:space="preserve">“Verdadero” indica que la cantidad por lote, coincide con el saldo que inicia al mes siguiente. "Falso" no coinicide. </t>
        </is>
      </c>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413">
        <f>OCTUBRE!K621</f>
        <v/>
      </c>
      <c r="E621" s="339">
        <f>H217</f>
        <v/>
      </c>
      <c r="F621" s="338" t="n"/>
      <c r="G621" s="338" t="n"/>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c r="AA621" s="648" t="n"/>
      <c r="AB621" s="649">
        <f>+Z621+AA621</f>
        <v/>
      </c>
      <c r="AC621" s="648" t="n"/>
      <c r="AD621" s="648" t="n"/>
      <c r="AE621" s="648" t="n"/>
      <c r="AF621" s="648" t="n"/>
      <c r="AG621" s="648" t="n"/>
      <c r="AH621" s="648" t="n"/>
      <c r="AI621" s="648" t="n"/>
      <c r="AJ621" s="648" t="n"/>
      <c r="AK621" s="648" t="n"/>
      <c r="AL621" s="648" t="n"/>
      <c r="AM621" s="421">
        <f>SUM(AB621:AL625)</f>
        <v/>
      </c>
      <c r="AN621" s="726" t="n"/>
      <c r="AQ621" s="1238">
        <f>IFERROR(I621/J621*100,"0")</f>
        <v/>
      </c>
      <c r="AR621" s="343">
        <f>IFERROR(1/(1-(AQ621/100)),"0")</f>
        <v/>
      </c>
      <c r="AS621" s="1239" t="n">
        <v>0</v>
      </c>
      <c r="AT621" s="345" t="n">
        <v>1</v>
      </c>
      <c r="AU621" s="1240" t="n"/>
      <c r="AV621" s="1241" t="n"/>
      <c r="AW621" s="1242">
        <f>+H621-AV621</f>
        <v/>
      </c>
    </row>
    <row r="622" ht="17.25" customHeight="1">
      <c r="A622" s="973" t="n"/>
      <c r="B622" s="971" t="n"/>
      <c r="C622" s="972" t="n"/>
      <c r="D622" s="973"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73"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73"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73"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75" t="n"/>
      <c r="E626" s="975" t="n"/>
      <c r="F626" s="998" t="n"/>
      <c r="G626" s="998" t="n"/>
      <c r="H626" s="975" t="n"/>
      <c r="I626" s="975" t="n"/>
      <c r="J626" s="975" t="n"/>
      <c r="K626" s="1189">
        <f>K621=L626</f>
        <v/>
      </c>
      <c r="L626" s="491">
        <f>SUM(L621:L625)</f>
        <v/>
      </c>
      <c r="M626" s="1190" t="inlineStr">
        <is>
          <t xml:space="preserve">“Verdadero” indica que la cantidad por lote, coincide con el saldo que inicia al mes siguiente. "Falso" no coinicide. </t>
        </is>
      </c>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413">
        <f>OCTUBRE!K627</f>
        <v/>
      </c>
      <c r="E627" s="339">
        <f>H223</f>
        <v/>
      </c>
      <c r="F627" s="338" t="n"/>
      <c r="G627" s="338" t="n"/>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c r="AA627" s="648" t="n"/>
      <c r="AB627" s="649">
        <f>+Z627+AA627</f>
        <v/>
      </c>
      <c r="AC627" s="648" t="n"/>
      <c r="AD627" s="648" t="n"/>
      <c r="AE627" s="648" t="n"/>
      <c r="AF627" s="648" t="n"/>
      <c r="AG627" s="648" t="n"/>
      <c r="AH627" s="648" t="n"/>
      <c r="AI627" s="648" t="n"/>
      <c r="AJ627" s="648" t="n"/>
      <c r="AK627" s="648" t="n"/>
      <c r="AL627" s="648" t="n"/>
      <c r="AM627" s="421">
        <f>SUM(AB627:AL631)</f>
        <v/>
      </c>
      <c r="AN627" s="726" t="n"/>
      <c r="AQ627" s="1238">
        <f>IFERROR(I627/J627*100,"0")</f>
        <v/>
      </c>
      <c r="AR627" s="343">
        <f>IFERROR(1/(1-(AQ627/100)),"0")</f>
        <v/>
      </c>
      <c r="AS627" s="1239" t="n">
        <v>0</v>
      </c>
      <c r="AT627" s="345" t="n">
        <v>1</v>
      </c>
      <c r="AU627" s="1240" t="n"/>
      <c r="AV627" s="1241" t="n"/>
      <c r="AW627" s="1242">
        <f>+H627-AV627</f>
        <v/>
      </c>
    </row>
    <row r="628" ht="17.25" customHeight="1">
      <c r="A628" s="973" t="n"/>
      <c r="B628" s="971" t="n"/>
      <c r="C628" s="972" t="n"/>
      <c r="D628" s="973"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73"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73"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73"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75" t="n"/>
      <c r="E632" s="975" t="n"/>
      <c r="F632" s="998" t="n"/>
      <c r="G632" s="998" t="n"/>
      <c r="H632" s="975" t="n"/>
      <c r="I632" s="975" t="n"/>
      <c r="J632" s="975" t="n"/>
      <c r="K632" s="1189">
        <f>K627=L632</f>
        <v/>
      </c>
      <c r="L632" s="491">
        <f>SUM(L627:L631)</f>
        <v/>
      </c>
      <c r="M632" s="1190" t="inlineStr">
        <is>
          <t xml:space="preserve">“Verdadero” indica que la cantidad por lote, coincide con el saldo que inicia al mes siguiente. "Falso" no coinicide. </t>
        </is>
      </c>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647"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413">
        <f>OCTUBRE!K634</f>
        <v/>
      </c>
      <c r="E634" s="339">
        <f>H230</f>
        <v/>
      </c>
      <c r="F634" s="338" t="n"/>
      <c r="G634" s="338" t="n"/>
      <c r="H634" s="1235">
        <f>+F634+G634</f>
        <v/>
      </c>
      <c r="I634" s="340">
        <f>+AM634</f>
        <v/>
      </c>
      <c r="J634" s="341">
        <f>+H634+I634</f>
        <v/>
      </c>
      <c r="K634" s="583">
        <f>+(D634+E634)-(J634)</f>
        <v/>
      </c>
      <c r="L634" s="253" t="n"/>
      <c r="M634" s="254" t="n"/>
      <c r="N634" s="254" t="n"/>
      <c r="O634" s="1183" t="n"/>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c r="AA634" s="648" t="n"/>
      <c r="AB634" s="649">
        <f>+Z634+AA634</f>
        <v/>
      </c>
      <c r="AC634" s="648" t="n"/>
      <c r="AD634" s="648" t="n"/>
      <c r="AE634" s="648" t="n"/>
      <c r="AF634" s="648" t="n"/>
      <c r="AG634" s="648" t="n"/>
      <c r="AH634" s="648" t="n"/>
      <c r="AI634" s="648" t="n"/>
      <c r="AJ634" s="648" t="n"/>
      <c r="AK634" s="648" t="n"/>
      <c r="AL634" s="648" t="n"/>
      <c r="AM634" s="421">
        <f>SUM(AB634:AL638)</f>
        <v/>
      </c>
      <c r="AN634" s="726" t="n"/>
      <c r="AU634" s="1240" t="n"/>
      <c r="AV634" s="1240" t="n"/>
    </row>
    <row r="635" ht="17.1" customHeight="1">
      <c r="A635" s="973" t="n"/>
      <c r="B635" s="971" t="n"/>
      <c r="C635" s="972" t="n"/>
      <c r="D635" s="973" t="n"/>
      <c r="E635" s="973" t="n"/>
      <c r="F635" s="994" t="n"/>
      <c r="G635" s="994" t="n"/>
      <c r="H635" s="973" t="n"/>
      <c r="I635" s="973" t="n"/>
      <c r="J635" s="973" t="n"/>
      <c r="K635" s="973" t="n"/>
      <c r="L635" s="253" t="n"/>
      <c r="M635" s="254" t="n"/>
      <c r="N635" s="254" t="n"/>
      <c r="O635" s="1183" t="n"/>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73" t="n"/>
      <c r="E636" s="973" t="n"/>
      <c r="F636" s="994" t="n"/>
      <c r="G636" s="994" t="n"/>
      <c r="H636" s="973" t="n"/>
      <c r="I636" s="973" t="n"/>
      <c r="J636" s="973" t="n"/>
      <c r="K636" s="973" t="n"/>
      <c r="L636" s="253" t="n"/>
      <c r="M636" s="254" t="n"/>
      <c r="N636" s="254" t="n"/>
      <c r="O636" s="1183" t="n"/>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73" t="n"/>
      <c r="E637" s="973" t="n"/>
      <c r="F637" s="994" t="n"/>
      <c r="G637" s="994" t="n"/>
      <c r="H637" s="973" t="n"/>
      <c r="I637" s="973" t="n"/>
      <c r="J637" s="973" t="n"/>
      <c r="K637" s="973" t="n"/>
      <c r="L637" s="253" t="n"/>
      <c r="M637" s="254" t="n"/>
      <c r="N637" s="254" t="n"/>
      <c r="O637" s="1183" t="n"/>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73" t="n"/>
      <c r="E638" s="973" t="n"/>
      <c r="F638" s="994" t="n"/>
      <c r="G638" s="994" t="n"/>
      <c r="H638" s="973" t="n"/>
      <c r="I638" s="973" t="n"/>
      <c r="J638" s="973" t="n"/>
      <c r="K638" s="975" t="n"/>
      <c r="L638" s="253" t="n"/>
      <c r="M638" s="254" t="n"/>
      <c r="N638" s="254" t="n"/>
      <c r="O638" s="1183" t="n"/>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75" t="n"/>
      <c r="E639" s="975" t="n"/>
      <c r="F639" s="998" t="n"/>
      <c r="G639" s="998" t="n"/>
      <c r="H639" s="975" t="n"/>
      <c r="I639" s="975" t="n"/>
      <c r="J639" s="975" t="n"/>
      <c r="K639" s="1189">
        <f>K634=L639</f>
        <v/>
      </c>
      <c r="L639" s="491">
        <f>SUM(L634:L638)</f>
        <v/>
      </c>
      <c r="M639" s="1190" t="inlineStr">
        <is>
          <t xml:space="preserve">“Verdadero” indica que la cantidad por lote, coincide con el saldo que inicia al mes siguiente. "Falso" no coinicide. </t>
        </is>
      </c>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413">
        <f>OCTUBRE!K640</f>
        <v/>
      </c>
      <c r="E640" s="339">
        <f>H236</f>
        <v/>
      </c>
      <c r="F640" s="338" t="n"/>
      <c r="G640" s="338" t="n"/>
      <c r="H640" s="1235">
        <f>+F640+G640</f>
        <v/>
      </c>
      <c r="I640" s="340">
        <f>+AM640</f>
        <v/>
      </c>
      <c r="J640" s="341">
        <f>+H640+I640</f>
        <v/>
      </c>
      <c r="K640" s="583">
        <f>+(D640+E640)-(J640)</f>
        <v/>
      </c>
      <c r="L640" s="253" t="n"/>
      <c r="M640" s="254" t="n"/>
      <c r="N640" s="254" t="n"/>
      <c r="O640" s="1183" t="n"/>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c r="AA640" s="648" t="n"/>
      <c r="AB640" s="649">
        <f>+Z640+AA640</f>
        <v/>
      </c>
      <c r="AC640" s="648" t="n"/>
      <c r="AD640" s="648" t="n"/>
      <c r="AE640" s="648" t="n"/>
      <c r="AF640" s="648" t="n"/>
      <c r="AG640" s="648" t="n"/>
      <c r="AH640" s="648" t="n"/>
      <c r="AI640" s="648" t="n"/>
      <c r="AJ640" s="648" t="n"/>
      <c r="AK640" s="648" t="n"/>
      <c r="AL640" s="648" t="n"/>
      <c r="AM640" s="421">
        <f>SUM(AB640:AL644)</f>
        <v/>
      </c>
      <c r="AN640" s="726" t="n"/>
      <c r="AU640" s="1240" t="n"/>
      <c r="AV640" s="1240" t="n"/>
    </row>
    <row r="641" ht="17.1" customHeight="1">
      <c r="A641" s="973" t="n"/>
      <c r="B641" s="971" t="n"/>
      <c r="C641" s="972" t="n"/>
      <c r="D641" s="973" t="n"/>
      <c r="E641" s="973" t="n"/>
      <c r="F641" s="994" t="n"/>
      <c r="G641" s="994" t="n"/>
      <c r="H641" s="973" t="n"/>
      <c r="I641" s="973" t="n"/>
      <c r="J641" s="973" t="n"/>
      <c r="K641" s="973" t="n"/>
      <c r="L641" s="253" t="n"/>
      <c r="M641" s="254" t="n"/>
      <c r="N641" s="254" t="n"/>
      <c r="O641" s="1183" t="n"/>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73" t="n"/>
      <c r="E642" s="973" t="n"/>
      <c r="F642" s="994" t="n"/>
      <c r="G642" s="994" t="n"/>
      <c r="H642" s="973" t="n"/>
      <c r="I642" s="973" t="n"/>
      <c r="J642" s="973" t="n"/>
      <c r="K642" s="973" t="n"/>
      <c r="L642" s="253" t="n"/>
      <c r="M642" s="254" t="n"/>
      <c r="N642" s="254" t="n"/>
      <c r="O642" s="1183" t="n"/>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73" t="n"/>
      <c r="E643" s="973" t="n"/>
      <c r="F643" s="994" t="n"/>
      <c r="G643" s="994" t="n"/>
      <c r="H643" s="973" t="n"/>
      <c r="I643" s="973" t="n"/>
      <c r="J643" s="973" t="n"/>
      <c r="K643" s="973" t="n"/>
      <c r="L643" s="253" t="n"/>
      <c r="M643" s="254" t="n"/>
      <c r="N643" s="254" t="n"/>
      <c r="O643" s="1183" t="n"/>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73"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75" t="n"/>
      <c r="E645" s="975" t="n"/>
      <c r="F645" s="998" t="n"/>
      <c r="G645" s="998" t="n"/>
      <c r="H645" s="975" t="n"/>
      <c r="I645" s="975" t="n"/>
      <c r="J645" s="975" t="n"/>
      <c r="K645" s="1189">
        <f>K640=L645</f>
        <v/>
      </c>
      <c r="L645" s="491">
        <f>SUM(L640:L644)</f>
        <v/>
      </c>
      <c r="M645" s="1190" t="inlineStr">
        <is>
          <t xml:space="preserve">“Verdadero” indica que la cantidad por lote, coincide con el saldo que inicia al mes siguiente. "Falso" no coinicide. </t>
        </is>
      </c>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413">
        <f>OCTUBRE!K646</f>
        <v/>
      </c>
      <c r="E646" s="339">
        <f>H242</f>
        <v/>
      </c>
      <c r="F646" s="338" t="n"/>
      <c r="G646" s="338" t="n"/>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c r="AA646" s="648" t="n"/>
      <c r="AB646" s="649">
        <f>+Z646+AA646</f>
        <v/>
      </c>
      <c r="AC646" s="648" t="n"/>
      <c r="AD646" s="648" t="n"/>
      <c r="AE646" s="648" t="n"/>
      <c r="AF646" s="648" t="n"/>
      <c r="AG646" s="648" t="n"/>
      <c r="AH646" s="648" t="n"/>
      <c r="AI646" s="648" t="n"/>
      <c r="AJ646" s="648" t="n"/>
      <c r="AK646" s="648" t="n"/>
      <c r="AL646" s="648" t="n"/>
      <c r="AM646" s="421">
        <f>SUM(AB646:AL650)</f>
        <v/>
      </c>
      <c r="AN646" s="726" t="n"/>
      <c r="AU646" s="1240" t="n"/>
      <c r="AV646" s="1240" t="n"/>
    </row>
    <row r="647" ht="17.1" customHeight="1">
      <c r="A647" s="973" t="n"/>
      <c r="B647" s="971" t="n"/>
      <c r="C647" s="972" t="n"/>
      <c r="D647" s="973"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73"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73"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73"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75" t="n"/>
      <c r="E651" s="975" t="n"/>
      <c r="F651" s="998" t="n"/>
      <c r="G651" s="998" t="n"/>
      <c r="H651" s="975" t="n"/>
      <c r="I651" s="975" t="n"/>
      <c r="J651" s="975" t="n"/>
      <c r="K651" s="1189">
        <f>K646=L651</f>
        <v/>
      </c>
      <c r="L651" s="491">
        <f>SUM(L646:L650)</f>
        <v/>
      </c>
      <c r="M651" s="1190" t="inlineStr">
        <is>
          <t xml:space="preserve">“Verdadero” indica que la cantidad por lote, coincide con el saldo que inicia al mes siguiente. "Falso" no coinicide. </t>
        </is>
      </c>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413">
        <f>OCTUBRE!K652</f>
        <v/>
      </c>
      <c r="E652" s="339">
        <f>H248</f>
        <v/>
      </c>
      <c r="F652" s="338" t="n"/>
      <c r="G652" s="338" t="n"/>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c r="AA652" s="648" t="n"/>
      <c r="AB652" s="649">
        <f>+Z652+AA652</f>
        <v/>
      </c>
      <c r="AC652" s="648" t="n"/>
      <c r="AD652" s="648" t="n"/>
      <c r="AE652" s="648" t="n"/>
      <c r="AF652" s="648" t="n"/>
      <c r="AG652" s="648" t="n"/>
      <c r="AH652" s="648" t="n"/>
      <c r="AI652" s="648" t="n"/>
      <c r="AJ652" s="648" t="n"/>
      <c r="AK652" s="648" t="n"/>
      <c r="AL652" s="648" t="n"/>
      <c r="AM652" s="421">
        <f>SUM(AB652:AL656)</f>
        <v/>
      </c>
      <c r="AN652" s="726" t="n"/>
      <c r="AU652" s="1240" t="n"/>
      <c r="AV652" s="1240" t="n"/>
    </row>
    <row r="653" ht="17.1" customHeight="1">
      <c r="A653" s="973" t="n"/>
      <c r="B653" s="971" t="n"/>
      <c r="C653" s="972" t="n"/>
      <c r="D653" s="973"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73"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73"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73"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75" t="n"/>
      <c r="E657" s="975" t="n"/>
      <c r="F657" s="998" t="n"/>
      <c r="G657" s="998" t="n"/>
      <c r="H657" s="975" t="n"/>
      <c r="I657" s="975" t="n"/>
      <c r="J657" s="975" t="n"/>
      <c r="K657" s="1189">
        <f>K652=L657</f>
        <v/>
      </c>
      <c r="L657" s="491">
        <f>SUM(L652:L656)</f>
        <v/>
      </c>
      <c r="M657" s="1190" t="inlineStr">
        <is>
          <t xml:space="preserve">“Verdadero” indica que la cantidad por lote, coincide con el saldo que inicia al mes siguiente. "Falso" no coinicide. </t>
        </is>
      </c>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413">
        <f>OCTUBRE!K658</f>
        <v/>
      </c>
      <c r="E658" s="339">
        <f>H254</f>
        <v/>
      </c>
      <c r="F658" s="338" t="n"/>
      <c r="G658" s="338" t="n"/>
      <c r="H658" s="1235">
        <f>+F658+G658</f>
        <v/>
      </c>
      <c r="I658" s="340">
        <f>+AM658</f>
        <v/>
      </c>
      <c r="J658" s="341">
        <f>+H658+I658</f>
        <v/>
      </c>
      <c r="K658" s="583">
        <f>+(D658+E658)-(J658)</f>
        <v/>
      </c>
      <c r="L658" s="253" t="n"/>
      <c r="M658" s="254" t="n"/>
      <c r="N658" s="254" t="n"/>
      <c r="O658" s="1183" t="n"/>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c r="AA658" s="648" t="n"/>
      <c r="AB658" s="649">
        <f>+Z658+AA658</f>
        <v/>
      </c>
      <c r="AC658" s="648" t="n"/>
      <c r="AD658" s="648" t="n"/>
      <c r="AE658" s="648" t="n"/>
      <c r="AF658" s="648" t="n"/>
      <c r="AG658" s="648" t="n"/>
      <c r="AH658" s="648" t="n"/>
      <c r="AI658" s="648" t="n"/>
      <c r="AJ658" s="648" t="n"/>
      <c r="AK658" s="648" t="n"/>
      <c r="AL658" s="648" t="n"/>
      <c r="AM658" s="421">
        <f>SUM(AB658:AL662)</f>
        <v/>
      </c>
      <c r="AN658" s="726" t="n"/>
      <c r="AU658" s="1240" t="n"/>
      <c r="AV658" s="1240" t="n"/>
    </row>
    <row r="659" ht="17.1" customHeight="1">
      <c r="A659" s="973" t="n"/>
      <c r="B659" s="971" t="n"/>
      <c r="C659" s="972" t="n"/>
      <c r="D659" s="973" t="n"/>
      <c r="E659" s="973" t="n"/>
      <c r="F659" s="994" t="n"/>
      <c r="G659" s="994" t="n"/>
      <c r="H659" s="973" t="n"/>
      <c r="I659" s="973" t="n"/>
      <c r="J659" s="973" t="n"/>
      <c r="K659" s="973" t="n"/>
      <c r="L659" s="253" t="n"/>
      <c r="M659" s="254" t="n"/>
      <c r="N659" s="254" t="n"/>
      <c r="O659" s="1183" t="n"/>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73" t="n"/>
      <c r="E660" s="973" t="n"/>
      <c r="F660" s="994" t="n"/>
      <c r="G660" s="994" t="n"/>
      <c r="H660" s="973" t="n"/>
      <c r="I660" s="973" t="n"/>
      <c r="J660" s="973" t="n"/>
      <c r="K660" s="973" t="n"/>
      <c r="L660" s="253" t="n"/>
      <c r="M660" s="254" t="n"/>
      <c r="N660" s="254" t="n"/>
      <c r="O660" s="1183" t="n"/>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73" t="n"/>
      <c r="E661" s="973" t="n"/>
      <c r="F661" s="994" t="n"/>
      <c r="G661" s="994" t="n"/>
      <c r="H661" s="973" t="n"/>
      <c r="I661" s="973" t="n"/>
      <c r="J661" s="973" t="n"/>
      <c r="K661" s="973" t="n"/>
      <c r="L661" s="253" t="n"/>
      <c r="M661" s="254" t="n"/>
      <c r="N661" s="254" t="n"/>
      <c r="O661" s="1183" t="n"/>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73"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75" t="n"/>
      <c r="E663" s="975" t="n"/>
      <c r="F663" s="998" t="n"/>
      <c r="G663" s="998" t="n"/>
      <c r="H663" s="975" t="n"/>
      <c r="I663" s="975" t="n"/>
      <c r="J663" s="975" t="n"/>
      <c r="K663" s="1189">
        <f>K658=L663</f>
        <v/>
      </c>
      <c r="L663" s="491">
        <f>SUM(L658:L662)</f>
        <v/>
      </c>
      <c r="M663" s="1190" t="inlineStr">
        <is>
          <t xml:space="preserve">“Verdadero” indica que la cantidad por lote, coincide con el saldo que inicia al mes siguiente. "Falso" no coinicide. </t>
        </is>
      </c>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413">
        <f>OCTUBRE!K664</f>
        <v/>
      </c>
      <c r="E664" s="339">
        <f>H260</f>
        <v/>
      </c>
      <c r="F664" s="338" t="n"/>
      <c r="G664" s="338" t="n"/>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c r="AA664" s="648" t="n"/>
      <c r="AB664" s="649">
        <f>+Z664+AA664</f>
        <v/>
      </c>
      <c r="AC664" s="648" t="n"/>
      <c r="AD664" s="648" t="n"/>
      <c r="AE664" s="648" t="n"/>
      <c r="AF664" s="648" t="n"/>
      <c r="AG664" s="648" t="n"/>
      <c r="AH664" s="648" t="n"/>
      <c r="AI664" s="648" t="n"/>
      <c r="AJ664" s="648" t="n"/>
      <c r="AK664" s="648" t="n"/>
      <c r="AL664" s="648" t="n"/>
      <c r="AM664" s="421">
        <f>SUM(AB664:AL668)</f>
        <v/>
      </c>
      <c r="AN664" s="726" t="n"/>
      <c r="AU664" s="1240" t="n"/>
      <c r="AV664" s="1240" t="n"/>
    </row>
    <row r="665" ht="17.1" customHeight="1">
      <c r="A665" s="973" t="n"/>
      <c r="B665" s="971" t="n"/>
      <c r="C665" s="972" t="n"/>
      <c r="D665" s="973"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73"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73"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73"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75" t="n"/>
      <c r="E669" s="975" t="n"/>
      <c r="F669" s="998" t="n"/>
      <c r="G669" s="998" t="n"/>
      <c r="H669" s="975" t="n"/>
      <c r="I669" s="975" t="n"/>
      <c r="J669" s="975" t="n"/>
      <c r="K669" s="1189">
        <f>K664=L669</f>
        <v/>
      </c>
      <c r="L669" s="491">
        <f>SUM(L664:L668)</f>
        <v/>
      </c>
      <c r="M669" s="1190" t="inlineStr">
        <is>
          <t xml:space="preserve">“Verdadero” indica que la cantidad por lote, coincide con el saldo que inicia al mes siguiente. "Falso" no coinicide. </t>
        </is>
      </c>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413">
        <f>OCTUBRE!K670</f>
        <v/>
      </c>
      <c r="E670" s="339">
        <f>H266</f>
        <v/>
      </c>
      <c r="F670" s="338" t="n"/>
      <c r="G670" s="338" t="n"/>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c r="AA670" s="648" t="n"/>
      <c r="AB670" s="649">
        <f>+Z670+AA670</f>
        <v/>
      </c>
      <c r="AC670" s="648" t="n"/>
      <c r="AD670" s="648" t="n"/>
      <c r="AE670" s="648" t="n"/>
      <c r="AF670" s="648" t="n"/>
      <c r="AG670" s="648" t="n"/>
      <c r="AH670" s="648" t="n"/>
      <c r="AI670" s="648" t="n"/>
      <c r="AJ670" s="648" t="n"/>
      <c r="AK670" s="648" t="n"/>
      <c r="AL670" s="648" t="n"/>
      <c r="AM670" s="421">
        <f>SUM(AB670:AL674)</f>
        <v/>
      </c>
      <c r="AN670" s="726" t="n"/>
      <c r="AU670" s="1240" t="n"/>
      <c r="AV670" s="1240" t="n"/>
    </row>
    <row r="671" ht="17.1" customHeight="1">
      <c r="A671" s="973" t="n"/>
      <c r="B671" s="971" t="n"/>
      <c r="C671" s="972" t="n"/>
      <c r="D671" s="973"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73"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73"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73"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75" t="n"/>
      <c r="E675" s="975" t="n"/>
      <c r="F675" s="998" t="n"/>
      <c r="G675" s="998" t="n"/>
      <c r="H675" s="975" t="n"/>
      <c r="I675" s="975" t="n"/>
      <c r="J675" s="975" t="n"/>
      <c r="K675" s="1189">
        <f>K670=L675</f>
        <v/>
      </c>
      <c r="L675" s="491">
        <f>SUM(L670:L674)</f>
        <v/>
      </c>
      <c r="M675" s="1190" t="inlineStr">
        <is>
          <t xml:space="preserve">“Verdadero” indica que la cantidad por lote, coincide con el saldo que inicia al mes siguiente. "Falso" no coinicide. </t>
        </is>
      </c>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413">
        <f>OCTUBRE!K676</f>
        <v/>
      </c>
      <c r="E676" s="339">
        <f>H272</f>
        <v/>
      </c>
      <c r="F676" s="338" t="n"/>
      <c r="G676" s="338" t="n"/>
      <c r="H676" s="1235">
        <f>+F676+G676</f>
        <v/>
      </c>
      <c r="I676" s="340">
        <f>+AM676</f>
        <v/>
      </c>
      <c r="J676" s="341">
        <f>+H676+I676</f>
        <v/>
      </c>
      <c r="K676" s="583">
        <f>+(D676+E676)-(J676)</f>
        <v/>
      </c>
      <c r="L676" s="253" t="n"/>
      <c r="M676" s="254" t="n"/>
      <c r="N676" s="254" t="n"/>
      <c r="O676" s="1183" t="n"/>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c r="AA676" s="648" t="n"/>
      <c r="AB676" s="649">
        <f>+Z676+AA676</f>
        <v/>
      </c>
      <c r="AC676" s="648" t="n"/>
      <c r="AD676" s="648" t="n"/>
      <c r="AE676" s="648" t="n"/>
      <c r="AF676" s="648" t="n"/>
      <c r="AG676" s="648" t="n"/>
      <c r="AH676" s="648" t="n"/>
      <c r="AI676" s="648" t="n"/>
      <c r="AJ676" s="648" t="n"/>
      <c r="AK676" s="648" t="n"/>
      <c r="AL676" s="648" t="n"/>
      <c r="AM676" s="421">
        <f>SUM(AB676:AL680)</f>
        <v/>
      </c>
      <c r="AN676" s="726" t="n"/>
      <c r="AU676" s="1240" t="n"/>
      <c r="AV676" s="1240" t="n"/>
    </row>
    <row r="677" ht="17.1" customHeight="1">
      <c r="A677" s="973" t="n"/>
      <c r="B677" s="971" t="n"/>
      <c r="C677" s="972" t="n"/>
      <c r="D677" s="973" t="n"/>
      <c r="E677" s="973" t="n"/>
      <c r="F677" s="994" t="n"/>
      <c r="G677" s="994" t="n"/>
      <c r="H677" s="973" t="n"/>
      <c r="I677" s="973" t="n"/>
      <c r="J677" s="973" t="n"/>
      <c r="K677" s="973" t="n"/>
      <c r="L677" s="253" t="n"/>
      <c r="M677" s="254" t="n"/>
      <c r="N677" s="254" t="n"/>
      <c r="O677" s="1183" t="n"/>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73" t="n"/>
      <c r="E678" s="973" t="n"/>
      <c r="F678" s="994" t="n"/>
      <c r="G678" s="994" t="n"/>
      <c r="H678" s="973" t="n"/>
      <c r="I678" s="973" t="n"/>
      <c r="J678" s="973" t="n"/>
      <c r="K678" s="973" t="n"/>
      <c r="L678" s="253" t="n"/>
      <c r="M678" s="254" t="n"/>
      <c r="N678" s="254" t="n"/>
      <c r="O678" s="1183" t="n"/>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73" t="n"/>
      <c r="E679" s="973" t="n"/>
      <c r="F679" s="994" t="n"/>
      <c r="G679" s="994" t="n"/>
      <c r="H679" s="973" t="n"/>
      <c r="I679" s="973" t="n"/>
      <c r="J679" s="973" t="n"/>
      <c r="K679" s="973" t="n"/>
      <c r="L679" s="253" t="n"/>
      <c r="M679" s="254" t="n"/>
      <c r="N679" s="254" t="n"/>
      <c r="O679" s="1183" t="n"/>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73" t="n"/>
      <c r="E680" s="973" t="n"/>
      <c r="F680" s="994" t="n"/>
      <c r="G680" s="994" t="n"/>
      <c r="H680" s="973" t="n"/>
      <c r="I680" s="973" t="n"/>
      <c r="J680" s="973" t="n"/>
      <c r="K680" s="975" t="n"/>
      <c r="L680" s="253" t="n"/>
      <c r="M680" s="254" t="n"/>
      <c r="N680" s="254" t="n"/>
      <c r="O680" s="1183" t="n"/>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75" t="n"/>
      <c r="E681" s="975" t="n"/>
      <c r="F681" s="998" t="n"/>
      <c r="G681" s="998" t="n"/>
      <c r="H681" s="975" t="n"/>
      <c r="I681" s="975" t="n"/>
      <c r="J681" s="975" t="n"/>
      <c r="K681" s="1189">
        <f>K676=L681</f>
        <v/>
      </c>
      <c r="L681" s="491">
        <f>SUM(L676:L680)</f>
        <v/>
      </c>
      <c r="M681" s="1190" t="inlineStr">
        <is>
          <t xml:space="preserve">“Verdadero” indica que la cantidad por lote, coincide con el saldo que inicia al mes siguiente. "Falso" no coinicide. </t>
        </is>
      </c>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413">
        <f>OCTUBRE!K682</f>
        <v/>
      </c>
      <c r="E682" s="339">
        <f>H278</f>
        <v/>
      </c>
      <c r="F682" s="338" t="n"/>
      <c r="G682" s="338" t="n"/>
      <c r="H682" s="1235">
        <f>+F682+G682</f>
        <v/>
      </c>
      <c r="I682" s="340">
        <f>+AM682</f>
        <v/>
      </c>
      <c r="J682" s="341">
        <f>+H682+I682</f>
        <v/>
      </c>
      <c r="K682" s="583">
        <f>+(D682+E682)-(J682)</f>
        <v/>
      </c>
      <c r="L682" s="253" t="n"/>
      <c r="M682" s="254" t="n"/>
      <c r="N682" s="254" t="n"/>
      <c r="O682" s="1183" t="n"/>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c r="AA682" s="648" t="n"/>
      <c r="AB682" s="649">
        <f>+Z682+AA682</f>
        <v/>
      </c>
      <c r="AC682" s="648" t="n"/>
      <c r="AD682" s="648" t="n"/>
      <c r="AE682" s="648" t="n"/>
      <c r="AF682" s="648" t="n"/>
      <c r="AG682" s="648" t="n"/>
      <c r="AH682" s="648" t="n"/>
      <c r="AI682" s="648" t="n"/>
      <c r="AJ682" s="648" t="n"/>
      <c r="AK682" s="648" t="n"/>
      <c r="AL682" s="648" t="n"/>
      <c r="AM682" s="421">
        <f>SUM(AB682:AL686)</f>
        <v/>
      </c>
      <c r="AN682" s="726" t="n"/>
      <c r="AU682" s="1240" t="n"/>
      <c r="AV682" s="1240" t="n"/>
    </row>
    <row r="683" ht="17.1" customHeight="1">
      <c r="A683" s="973" t="n"/>
      <c r="B683" s="971" t="n"/>
      <c r="C683" s="972" t="n"/>
      <c r="D683" s="973" t="n"/>
      <c r="E683" s="973" t="n"/>
      <c r="F683" s="994" t="n"/>
      <c r="G683" s="994" t="n"/>
      <c r="H683" s="973" t="n"/>
      <c r="I683" s="973" t="n"/>
      <c r="J683" s="973" t="n"/>
      <c r="K683" s="973" t="n"/>
      <c r="L683" s="253" t="n"/>
      <c r="M683" s="254" t="n"/>
      <c r="N683" s="254" t="n"/>
      <c r="O683" s="1183" t="n"/>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73" t="n"/>
      <c r="E684" s="973" t="n"/>
      <c r="F684" s="994" t="n"/>
      <c r="G684" s="994" t="n"/>
      <c r="H684" s="973" t="n"/>
      <c r="I684" s="973" t="n"/>
      <c r="J684" s="973" t="n"/>
      <c r="K684" s="973" t="n"/>
      <c r="L684" s="253" t="n"/>
      <c r="M684" s="254" t="n"/>
      <c r="N684" s="254" t="n"/>
      <c r="O684" s="1183" t="n"/>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73"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73"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75" t="n"/>
      <c r="E687" s="975" t="n"/>
      <c r="F687" s="998" t="n"/>
      <c r="G687" s="998" t="n"/>
      <c r="H687" s="975" t="n"/>
      <c r="I687" s="975" t="n"/>
      <c r="J687" s="975" t="n"/>
      <c r="K687" s="1189">
        <f>K682=L687</f>
        <v/>
      </c>
      <c r="L687" s="491">
        <f>SUM(L682:L686)</f>
        <v/>
      </c>
      <c r="M687" s="1190" t="inlineStr">
        <is>
          <t xml:space="preserve">“Verdadero” indica que la cantidad por lote, coincide con el saldo que inicia al mes siguiente. "Falso" no coinicide. </t>
        </is>
      </c>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413">
        <f>OCTUBRE!K688</f>
        <v/>
      </c>
      <c r="E688" s="339">
        <f>H284</f>
        <v/>
      </c>
      <c r="F688" s="338" t="n"/>
      <c r="G688" s="338" t="n"/>
      <c r="H688" s="1235">
        <f>+F688+G688</f>
        <v/>
      </c>
      <c r="I688" s="340">
        <f>+AM688</f>
        <v/>
      </c>
      <c r="J688" s="341">
        <f>+H688+I688</f>
        <v/>
      </c>
      <c r="K688" s="583">
        <f>+(D688+E688)-(J688)</f>
        <v/>
      </c>
      <c r="L688" s="253" t="n"/>
      <c r="M688" s="254" t="n"/>
      <c r="N688" s="254" t="n"/>
      <c r="O688" s="1183" t="n"/>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c r="AA688" s="648" t="n"/>
      <c r="AB688" s="649">
        <f>+Z688+AA688</f>
        <v/>
      </c>
      <c r="AC688" s="648" t="n"/>
      <c r="AD688" s="648" t="n"/>
      <c r="AE688" s="648" t="n"/>
      <c r="AF688" s="648" t="n"/>
      <c r="AG688" s="648" t="n"/>
      <c r="AH688" s="648" t="n"/>
      <c r="AI688" s="648" t="n"/>
      <c r="AJ688" s="648" t="n"/>
      <c r="AK688" s="648" t="n"/>
      <c r="AL688" s="648" t="n"/>
      <c r="AM688" s="421">
        <f>SUM(AB688:AL692)</f>
        <v/>
      </c>
      <c r="AN688" s="726" t="n"/>
      <c r="AU688" s="1240" t="n"/>
      <c r="AV688" s="1240" t="n"/>
    </row>
    <row r="689" ht="17.1" customHeight="1">
      <c r="A689" s="973" t="n"/>
      <c r="B689" s="971" t="n"/>
      <c r="C689" s="972" t="n"/>
      <c r="D689" s="973" t="n"/>
      <c r="E689" s="973" t="n"/>
      <c r="F689" s="994" t="n"/>
      <c r="G689" s="994" t="n"/>
      <c r="H689" s="973" t="n"/>
      <c r="I689" s="973" t="n"/>
      <c r="J689" s="973" t="n"/>
      <c r="K689" s="973" t="n"/>
      <c r="L689" s="253" t="n"/>
      <c r="M689" s="254" t="n"/>
      <c r="N689" s="254" t="n"/>
      <c r="O689" s="1183" t="n"/>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73" t="n"/>
      <c r="E690" s="973" t="n"/>
      <c r="F690" s="994" t="n"/>
      <c r="G690" s="994" t="n"/>
      <c r="H690" s="973" t="n"/>
      <c r="I690" s="973" t="n"/>
      <c r="J690" s="973" t="n"/>
      <c r="K690" s="973" t="n"/>
      <c r="L690" s="253" t="n"/>
      <c r="M690" s="254" t="n"/>
      <c r="N690" s="254" t="n"/>
      <c r="O690" s="1183" t="n"/>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73" t="n"/>
      <c r="E691" s="973" t="n"/>
      <c r="F691" s="994" t="n"/>
      <c r="G691" s="994" t="n"/>
      <c r="H691" s="973" t="n"/>
      <c r="I691" s="973" t="n"/>
      <c r="J691" s="973" t="n"/>
      <c r="K691" s="973" t="n"/>
      <c r="L691" s="253" t="n"/>
      <c r="M691" s="254" t="n"/>
      <c r="N691" s="254" t="n"/>
      <c r="O691" s="1183" t="n"/>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73" t="n"/>
      <c r="E692" s="973" t="n"/>
      <c r="F692" s="994" t="n"/>
      <c r="G692" s="994" t="n"/>
      <c r="H692" s="973" t="n"/>
      <c r="I692" s="973" t="n"/>
      <c r="J692" s="973" t="n"/>
      <c r="K692" s="975" t="n"/>
      <c r="L692" s="253" t="n"/>
      <c r="M692" s="254" t="n"/>
      <c r="N692" s="254" t="n"/>
      <c r="O692" s="1183" t="n"/>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75" t="n"/>
      <c r="E693" s="975" t="n"/>
      <c r="F693" s="998" t="n"/>
      <c r="G693" s="998" t="n"/>
      <c r="H693" s="975" t="n"/>
      <c r="I693" s="975" t="n"/>
      <c r="J693" s="975" t="n"/>
      <c r="K693" s="1189">
        <f>K688=L693</f>
        <v/>
      </c>
      <c r="L693" s="491">
        <f>SUM(L688:L692)</f>
        <v/>
      </c>
      <c r="M693" s="1190" t="inlineStr">
        <is>
          <t xml:space="preserve">“Verdadero” indica que la cantidad por lote, coincide con el saldo que inicia al mes siguiente. "Falso" no coinicide. </t>
        </is>
      </c>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413">
        <f>OCTUBRE!K694</f>
        <v/>
      </c>
      <c r="E694" s="339">
        <f>H290</f>
        <v/>
      </c>
      <c r="F694" s="338" t="n"/>
      <c r="G694" s="338" t="n"/>
      <c r="H694" s="1235">
        <f>+F694+G694</f>
        <v/>
      </c>
      <c r="I694" s="340">
        <f>+AM694</f>
        <v/>
      </c>
      <c r="J694" s="341">
        <f>+H694+I694</f>
        <v/>
      </c>
      <c r="K694" s="583">
        <f>+(D694+E694)-(J694)</f>
        <v/>
      </c>
      <c r="L694" s="253" t="n"/>
      <c r="M694" s="254" t="n"/>
      <c r="N694" s="254" t="n"/>
      <c r="O694" s="1183" t="n"/>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c r="AA694" s="648" t="n"/>
      <c r="AB694" s="649">
        <f>+Z694+AA694</f>
        <v/>
      </c>
      <c r="AC694" s="648" t="n"/>
      <c r="AD694" s="648" t="n"/>
      <c r="AE694" s="648" t="n"/>
      <c r="AF694" s="648" t="n"/>
      <c r="AG694" s="648" t="n"/>
      <c r="AH694" s="648" t="n"/>
      <c r="AI694" s="648" t="n"/>
      <c r="AJ694" s="648" t="n"/>
      <c r="AK694" s="648" t="n"/>
      <c r="AL694" s="648" t="n"/>
      <c r="AM694" s="421">
        <f>SUM(AB694:AL698)</f>
        <v/>
      </c>
      <c r="AN694" s="726" t="n"/>
      <c r="AU694" s="1240" t="n"/>
      <c r="AV694" s="1240" t="n"/>
    </row>
    <row r="695" ht="17.1" customHeight="1">
      <c r="A695" s="973" t="n"/>
      <c r="B695" s="971" t="n"/>
      <c r="C695" s="972" t="n"/>
      <c r="D695" s="973" t="n"/>
      <c r="E695" s="973" t="n"/>
      <c r="F695" s="994" t="n"/>
      <c r="G695" s="994" t="n"/>
      <c r="H695" s="973" t="n"/>
      <c r="I695" s="973" t="n"/>
      <c r="J695" s="973" t="n"/>
      <c r="K695" s="973" t="n"/>
      <c r="L695" s="253" t="n"/>
      <c r="M695" s="254" t="n"/>
      <c r="N695" s="254" t="n"/>
      <c r="O695" s="1183" t="n"/>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73" t="n"/>
      <c r="E696" s="973" t="n"/>
      <c r="F696" s="994" t="n"/>
      <c r="G696" s="994" t="n"/>
      <c r="H696" s="973" t="n"/>
      <c r="I696" s="973" t="n"/>
      <c r="J696" s="973" t="n"/>
      <c r="K696" s="973" t="n"/>
      <c r="L696" s="253" t="n"/>
      <c r="M696" s="254" t="n"/>
      <c r="N696" s="254" t="n"/>
      <c r="O696" s="1183" t="n"/>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73" t="n"/>
      <c r="E697" s="973" t="n"/>
      <c r="F697" s="994" t="n"/>
      <c r="G697" s="994" t="n"/>
      <c r="H697" s="973" t="n"/>
      <c r="I697" s="973" t="n"/>
      <c r="J697" s="973" t="n"/>
      <c r="K697" s="973" t="n"/>
      <c r="L697" s="253" t="n"/>
      <c r="M697" s="254" t="n"/>
      <c r="N697" s="254" t="n"/>
      <c r="O697" s="1183" t="n"/>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73" t="n"/>
      <c r="E698" s="973" t="n"/>
      <c r="F698" s="994" t="n"/>
      <c r="G698" s="994" t="n"/>
      <c r="H698" s="973" t="n"/>
      <c r="I698" s="973" t="n"/>
      <c r="J698" s="973" t="n"/>
      <c r="K698" s="975" t="n"/>
      <c r="L698" s="253" t="n"/>
      <c r="M698" s="254" t="n"/>
      <c r="N698" s="254" t="n"/>
      <c r="O698" s="1183" t="n"/>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75" t="n"/>
      <c r="E699" s="975" t="n"/>
      <c r="F699" s="998" t="n"/>
      <c r="G699" s="998" t="n"/>
      <c r="H699" s="975" t="n"/>
      <c r="I699" s="975" t="n"/>
      <c r="J699" s="975" t="n"/>
      <c r="K699" s="1189">
        <f>K694=L699</f>
        <v/>
      </c>
      <c r="L699" s="491">
        <f>SUM(L694:L698)</f>
        <v/>
      </c>
      <c r="M699" s="1190" t="inlineStr">
        <is>
          <t xml:space="preserve">“Verdadero” indica que la cantidad por lote, coincide con el saldo que inicia al mes siguiente. "Falso" no coinicide. </t>
        </is>
      </c>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413">
        <f>OCTUBRE!K700</f>
        <v/>
      </c>
      <c r="E700" s="339">
        <f>H296</f>
        <v/>
      </c>
      <c r="F700" s="338" t="n"/>
      <c r="G700" s="338" t="n"/>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c r="AA700" s="648" t="n"/>
      <c r="AB700" s="649">
        <f>+Z700+AA700</f>
        <v/>
      </c>
      <c r="AC700" s="648" t="n"/>
      <c r="AD700" s="648" t="n"/>
      <c r="AE700" s="648" t="n"/>
      <c r="AF700" s="648" t="n"/>
      <c r="AG700" s="648" t="n"/>
      <c r="AH700" s="648" t="n"/>
      <c r="AI700" s="648" t="n"/>
      <c r="AJ700" s="648" t="n"/>
      <c r="AK700" s="648" t="n"/>
      <c r="AL700" s="648" t="n"/>
      <c r="AM700" s="421">
        <f>SUM(AB700:AL704)</f>
        <v/>
      </c>
      <c r="AN700" s="726" t="n"/>
      <c r="AU700" s="1240" t="n"/>
      <c r="AV700" s="1240" t="n"/>
    </row>
    <row r="701" ht="17.1" customHeight="1">
      <c r="A701" s="973" t="n"/>
      <c r="B701" s="971" t="n"/>
      <c r="C701" s="972" t="n"/>
      <c r="D701" s="973"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73"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73"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73"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75" t="n"/>
      <c r="E705" s="975" t="n"/>
      <c r="F705" s="998" t="n"/>
      <c r="G705" s="998" t="n"/>
      <c r="H705" s="975" t="n"/>
      <c r="I705" s="975" t="n"/>
      <c r="J705" s="975" t="n"/>
      <c r="K705" s="1189">
        <f>K700=L705</f>
        <v/>
      </c>
      <c r="L705" s="491">
        <f>SUM(L700:L704)</f>
        <v/>
      </c>
      <c r="M705" s="1190" t="inlineStr">
        <is>
          <t xml:space="preserve">“Verdadero” indica que la cantidad por lote, coincide con el saldo que inicia al mes siguiente. "Falso" no coinicide. </t>
        </is>
      </c>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647"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413">
        <f>OCTUBRE!K707</f>
        <v/>
      </c>
      <c r="E707" s="339">
        <f>H303</f>
        <v/>
      </c>
      <c r="F707" s="338" t="n"/>
      <c r="G707" s="338" t="n"/>
      <c r="H707" s="1235">
        <f>+F707+G707</f>
        <v/>
      </c>
      <c r="I707" s="340">
        <f>+AM707</f>
        <v/>
      </c>
      <c r="J707" s="341">
        <f>+H707+I707</f>
        <v/>
      </c>
      <c r="K707" s="583">
        <f>+(D707+E707)-(J707)</f>
        <v/>
      </c>
      <c r="L707" s="253" t="n"/>
      <c r="M707" s="254" t="n"/>
      <c r="N707" s="254" t="n"/>
      <c r="O707" s="1183" t="n"/>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c r="AA707" s="648" t="n"/>
      <c r="AB707" s="649">
        <f>+Z707+AA707</f>
        <v/>
      </c>
      <c r="AC707" s="648" t="n"/>
      <c r="AD707" s="648" t="n"/>
      <c r="AE707" s="648" t="n"/>
      <c r="AF707" s="648" t="n"/>
      <c r="AG707" s="648" t="n"/>
      <c r="AH707" s="648" t="n"/>
      <c r="AI707" s="648" t="n"/>
      <c r="AJ707" s="648" t="n"/>
      <c r="AK707" s="648" t="n"/>
      <c r="AL707" s="648" t="n"/>
      <c r="AM707" s="421">
        <f>SUM(AB707:AL712)</f>
        <v/>
      </c>
      <c r="AN707" s="726" t="n"/>
      <c r="AU707" s="1240" t="n"/>
      <c r="AV707" s="1240" t="n"/>
    </row>
    <row r="708" ht="17.1" customHeight="1">
      <c r="A708" s="973" t="n"/>
      <c r="B708" s="971" t="n"/>
      <c r="C708" s="972" t="n"/>
      <c r="D708" s="973" t="n"/>
      <c r="E708" s="973" t="n"/>
      <c r="F708" s="994" t="n"/>
      <c r="G708" s="994" t="n"/>
      <c r="H708" s="973" t="n"/>
      <c r="I708" s="973" t="n"/>
      <c r="J708" s="973" t="n"/>
      <c r="K708" s="973" t="n"/>
      <c r="L708" s="253" t="n"/>
      <c r="M708" s="254" t="n"/>
      <c r="N708" s="254" t="n"/>
      <c r="O708" s="1183" t="n"/>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73" t="n"/>
      <c r="E709" s="973" t="n"/>
      <c r="F709" s="994" t="n"/>
      <c r="G709" s="994" t="n"/>
      <c r="H709" s="973" t="n"/>
      <c r="I709" s="973" t="n"/>
      <c r="J709" s="973" t="n"/>
      <c r="K709" s="973" t="n"/>
      <c r="L709" s="253" t="n"/>
      <c r="M709" s="254" t="n"/>
      <c r="N709" s="254" t="n"/>
      <c r="O709" s="1183" t="n"/>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73"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73" t="n"/>
      <c r="E711" s="973" t="n"/>
      <c r="F711" s="994" t="n"/>
      <c r="G711" s="994" t="n"/>
      <c r="H711" s="973" t="n"/>
      <c r="I711" s="973" t="n"/>
      <c r="J711" s="973" t="n"/>
      <c r="K711" s="973" t="n"/>
      <c r="L711" s="253" t="n"/>
      <c r="M711" s="254" t="n"/>
      <c r="N711" s="254" t="n"/>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73"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75" t="n"/>
      <c r="E713" s="975" t="n"/>
      <c r="F713" s="998" t="n"/>
      <c r="G713" s="998" t="n"/>
      <c r="H713" s="975" t="n"/>
      <c r="I713" s="975" t="n"/>
      <c r="J713" s="975" t="n"/>
      <c r="K713" s="1189">
        <f>K707=L713</f>
        <v/>
      </c>
      <c r="L713" s="491">
        <f>SUM(L707:L712)</f>
        <v/>
      </c>
      <c r="M713" s="1190" t="inlineStr">
        <is>
          <t xml:space="preserve">“Verdadero” indica que la cantidad por lote, coincide con el saldo que inicia al mes siguiente. "Falso" no coinicide. </t>
        </is>
      </c>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413">
        <f>OCTUBRE!K714</f>
        <v/>
      </c>
      <c r="E714" s="339">
        <f>H310</f>
        <v/>
      </c>
      <c r="F714" s="338" t="n"/>
      <c r="G714" s="338" t="n"/>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c r="AA714" s="648" t="n"/>
      <c r="AB714" s="649">
        <f>+Z714+AA714</f>
        <v/>
      </c>
      <c r="AC714" s="648" t="n"/>
      <c r="AD714" s="648" t="n"/>
      <c r="AE714" s="648" t="n"/>
      <c r="AF714" s="648" t="n"/>
      <c r="AG714" s="648" t="n"/>
      <c r="AH714" s="648" t="n"/>
      <c r="AI714" s="648" t="n"/>
      <c r="AJ714" s="648" t="n"/>
      <c r="AK714" s="648" t="n"/>
      <c r="AL714" s="648" t="n"/>
      <c r="AM714" s="421">
        <f>SUM(AB714:AL719)</f>
        <v/>
      </c>
      <c r="AN714" s="726" t="n"/>
      <c r="AU714" s="1240" t="n"/>
      <c r="AV714" s="1240" t="n"/>
    </row>
    <row r="715" ht="17.1" customHeight="1">
      <c r="A715" s="973" t="n"/>
      <c r="B715" s="971" t="n"/>
      <c r="C715" s="972" t="n"/>
      <c r="D715" s="973"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73"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73"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73"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73"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75"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413">
        <f>OCTUBRE!K721</f>
        <v/>
      </c>
      <c r="E721" s="339">
        <f>H317</f>
        <v/>
      </c>
      <c r="F721" s="338" t="n"/>
      <c r="G721" s="338" t="n"/>
      <c r="H721" s="1235">
        <f>+F721+G721</f>
        <v/>
      </c>
      <c r="I721" s="340">
        <f>+AM721</f>
        <v/>
      </c>
      <c r="J721" s="341">
        <f>+H721+I721</f>
        <v/>
      </c>
      <c r="K721" s="583">
        <f>+(D721+E721)-(J721)</f>
        <v/>
      </c>
      <c r="L721" s="253" t="n"/>
      <c r="M721" s="254" t="n"/>
      <c r="N721" s="254" t="n"/>
      <c r="O721" s="1183" t="n"/>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c r="AA721" s="648" t="n"/>
      <c r="AB721" s="649">
        <f>+Z721+AA721</f>
        <v/>
      </c>
      <c r="AC721" s="648" t="n"/>
      <c r="AD721" s="648" t="n"/>
      <c r="AE721" s="648" t="n"/>
      <c r="AF721" s="648" t="n"/>
      <c r="AG721" s="648" t="n"/>
      <c r="AH721" s="648" t="n"/>
      <c r="AI721" s="648" t="n"/>
      <c r="AJ721" s="648" t="n"/>
      <c r="AK721" s="648" t="n"/>
      <c r="AL721" s="648" t="n"/>
      <c r="AM721" s="421">
        <f>SUM(AB721:AL726)</f>
        <v/>
      </c>
      <c r="AN721" s="726" t="n"/>
      <c r="AU721" s="1240" t="n"/>
      <c r="AV721" s="1240" t="n"/>
    </row>
    <row r="722" ht="17.1" customHeight="1">
      <c r="A722" s="973" t="n"/>
      <c r="B722" s="971" t="n"/>
      <c r="C722" s="972" t="n"/>
      <c r="D722" s="973" t="n"/>
      <c r="E722" s="973" t="n"/>
      <c r="F722" s="994" t="n"/>
      <c r="G722" s="994" t="n"/>
      <c r="H722" s="973" t="n"/>
      <c r="I722" s="973" t="n"/>
      <c r="J722" s="973" t="n"/>
      <c r="K722" s="973" t="n"/>
      <c r="L722" s="253" t="n"/>
      <c r="M722" s="254" t="n"/>
      <c r="N722" s="254" t="n"/>
      <c r="O722" s="1183" t="n"/>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73" t="n"/>
      <c r="E723" s="973" t="n"/>
      <c r="F723" s="994" t="n"/>
      <c r="G723" s="994" t="n"/>
      <c r="H723" s="973" t="n"/>
      <c r="I723" s="973" t="n"/>
      <c r="J723" s="973" t="n"/>
      <c r="K723" s="973" t="n"/>
      <c r="L723" s="253" t="n"/>
      <c r="M723" s="254" t="n"/>
      <c r="N723" s="254" t="n"/>
      <c r="O723" s="1183" t="n"/>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73" t="n"/>
      <c r="E724" s="973" t="n"/>
      <c r="F724" s="994" t="n"/>
      <c r="G724" s="994" t="n"/>
      <c r="H724" s="973" t="n"/>
      <c r="I724" s="973" t="n"/>
      <c r="J724" s="973" t="n"/>
      <c r="K724" s="973" t="n"/>
      <c r="L724" s="253" t="n"/>
      <c r="M724" s="254" t="n"/>
      <c r="N724" s="254" t="n"/>
      <c r="O724" s="1183" t="n"/>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73" t="n"/>
      <c r="E725" s="973" t="n"/>
      <c r="F725" s="994" t="n"/>
      <c r="G725" s="994" t="n"/>
      <c r="H725" s="973" t="n"/>
      <c r="I725" s="973" t="n"/>
      <c r="J725" s="973" t="n"/>
      <c r="K725" s="973" t="n"/>
      <c r="L725" s="253" t="n"/>
      <c r="M725" s="254" t="n"/>
      <c r="N725" s="254" t="n"/>
      <c r="O725" s="1183" t="n"/>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73" t="n"/>
      <c r="E726" s="973" t="n"/>
      <c r="F726" s="994" t="n"/>
      <c r="G726" s="994" t="n"/>
      <c r="H726" s="973" t="n"/>
      <c r="I726" s="973" t="n"/>
      <c r="J726" s="973" t="n"/>
      <c r="K726" s="975" t="n"/>
      <c r="L726" s="253" t="n"/>
      <c r="M726" s="254" t="n"/>
      <c r="N726" s="254" t="n"/>
      <c r="O726" s="1183" t="n"/>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75" t="n"/>
      <c r="E727" s="975" t="n"/>
      <c r="F727" s="998" t="n"/>
      <c r="G727" s="998" t="n"/>
      <c r="H727" s="975" t="n"/>
      <c r="I727" s="975" t="n"/>
      <c r="J727" s="975" t="n"/>
      <c r="K727" s="1189">
        <f>K721=L727</f>
        <v/>
      </c>
      <c r="L727" s="491">
        <f>SUM(L721:L726)</f>
        <v/>
      </c>
      <c r="M727" s="1190" t="inlineStr">
        <is>
          <t xml:space="preserve">“Verdadero” indica que la cantidad por lote, coincide con el saldo que inicia al mes siguiente. "Falso" no coinicide. </t>
        </is>
      </c>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413">
        <f>OCTUBRE!K728</f>
        <v/>
      </c>
      <c r="E728" s="339">
        <f>H324</f>
        <v/>
      </c>
      <c r="F728" s="338" t="n"/>
      <c r="G728" s="338" t="n"/>
      <c r="H728" s="1235">
        <f>+F728+G728</f>
        <v/>
      </c>
      <c r="I728" s="340">
        <f>+AM728</f>
        <v/>
      </c>
      <c r="J728" s="341">
        <f>+H728+I728</f>
        <v/>
      </c>
      <c r="K728" s="583">
        <f>+(D728+E728)-(J728)</f>
        <v/>
      </c>
      <c r="L728" s="253" t="n"/>
      <c r="M728" s="254" t="n"/>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c r="AA728" s="648" t="n"/>
      <c r="AB728" s="649">
        <f>+Z728+AA728</f>
        <v/>
      </c>
      <c r="AC728" s="648" t="n"/>
      <c r="AD728" s="648" t="n"/>
      <c r="AE728" s="648" t="n"/>
      <c r="AF728" s="648" t="n"/>
      <c r="AG728" s="648" t="n"/>
      <c r="AH728" s="648" t="n"/>
      <c r="AI728" s="648" t="n"/>
      <c r="AJ728" s="648" t="n"/>
      <c r="AK728" s="648" t="n"/>
      <c r="AL728" s="648" t="n"/>
      <c r="AM728" s="421">
        <f>SUM(AB728:AL733)</f>
        <v/>
      </c>
      <c r="AN728" s="726" t="n"/>
      <c r="AU728" s="1240" t="n"/>
      <c r="AV728" s="1240" t="n"/>
    </row>
    <row r="729" ht="17.1" customHeight="1">
      <c r="A729" s="973" t="n"/>
      <c r="B729" s="971" t="n"/>
      <c r="C729" s="972" t="n"/>
      <c r="D729" s="973" t="n"/>
      <c r="E729" s="973" t="n"/>
      <c r="F729" s="994" t="n"/>
      <c r="G729" s="994" t="n"/>
      <c r="H729" s="973" t="n"/>
      <c r="I729" s="973" t="n"/>
      <c r="J729" s="973" t="n"/>
      <c r="K729" s="973" t="n"/>
      <c r="L729" s="253" t="n"/>
      <c r="M729" s="254" t="n"/>
      <c r="N729" s="254" t="n"/>
      <c r="O729" s="1183" t="n"/>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73"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73"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73"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73"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75" t="n"/>
      <c r="E734" s="975" t="n"/>
      <c r="F734" s="998" t="n"/>
      <c r="G734" s="998" t="n"/>
      <c r="H734" s="975" t="n"/>
      <c r="I734" s="975" t="n"/>
      <c r="J734" s="975" t="n"/>
      <c r="K734" s="1189">
        <f>K728=L734</f>
        <v/>
      </c>
      <c r="L734" s="491">
        <f>SUM(L728:L733)</f>
        <v/>
      </c>
      <c r="M734" s="1190" t="inlineStr">
        <is>
          <t xml:space="preserve">“Verdadero” indica que la cantidad por lote, coincide con el saldo que inicia al mes siguiente. "Falso" no coinicide. </t>
        </is>
      </c>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413">
        <f>OCTUBRE!K735</f>
        <v/>
      </c>
      <c r="E735" s="339">
        <f>H331</f>
        <v/>
      </c>
      <c r="F735" s="338" t="n"/>
      <c r="G735" s="338" t="n"/>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c r="AA735" s="648" t="n"/>
      <c r="AB735" s="649">
        <f>+Z735+AA735</f>
        <v/>
      </c>
      <c r="AC735" s="648" t="n"/>
      <c r="AD735" s="648" t="n"/>
      <c r="AE735" s="648" t="n"/>
      <c r="AF735" s="648" t="n"/>
      <c r="AG735" s="648" t="n"/>
      <c r="AH735" s="648" t="n"/>
      <c r="AI735" s="648" t="n"/>
      <c r="AJ735" s="648" t="n"/>
      <c r="AK735" s="648" t="n"/>
      <c r="AL735" s="648" t="n"/>
      <c r="AM735" s="421">
        <f>SUM(AB735:AL740)</f>
        <v/>
      </c>
      <c r="AN735" s="726" t="n"/>
      <c r="AU735" s="1240" t="n"/>
      <c r="AV735" s="1240" t="n"/>
    </row>
    <row r="736" ht="17.1" customHeight="1">
      <c r="A736" s="973" t="n"/>
      <c r="B736" s="971" t="n"/>
      <c r="C736" s="972" t="n"/>
      <c r="D736" s="973"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73"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73"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73"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73"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75" t="n"/>
      <c r="E741" s="975" t="n"/>
      <c r="F741" s="998" t="n"/>
      <c r="G741" s="998" t="n"/>
      <c r="H741" s="975" t="n"/>
      <c r="I741" s="975" t="n"/>
      <c r="J741" s="975" t="n"/>
      <c r="K741" s="1189">
        <f>K735=L741</f>
        <v/>
      </c>
      <c r="L741" s="491">
        <f>SUM(L735:L740)</f>
        <v/>
      </c>
      <c r="M741" s="1190" t="inlineStr">
        <is>
          <t xml:space="preserve">“Verdadero” indica que la cantidad por lote, coincide con el saldo que inicia al mes siguiente. "Falso" no coinicide. </t>
        </is>
      </c>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413">
        <f>OCTUBRE!K742</f>
        <v/>
      </c>
      <c r="E742" s="339">
        <f>H338</f>
        <v/>
      </c>
      <c r="F742" s="338" t="n"/>
      <c r="G742" s="338" t="n"/>
      <c r="H742" s="1235">
        <f>+F742+G742</f>
        <v/>
      </c>
      <c r="I742" s="340">
        <f>+AM742</f>
        <v/>
      </c>
      <c r="J742" s="341">
        <f>+H742+I742</f>
        <v/>
      </c>
      <c r="K742" s="583">
        <f>+(D742+E742)-(J742)</f>
        <v/>
      </c>
      <c r="L742" s="253" t="n"/>
      <c r="M742" s="254" t="n"/>
      <c r="N742" s="254" t="n"/>
      <c r="O742" s="1183" t="n"/>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c r="AA742" s="648" t="n"/>
      <c r="AB742" s="649">
        <f>+Z742+AA742</f>
        <v/>
      </c>
      <c r="AC742" s="648" t="n"/>
      <c r="AD742" s="648" t="n"/>
      <c r="AE742" s="648" t="n"/>
      <c r="AF742" s="648" t="n"/>
      <c r="AG742" s="648" t="n"/>
      <c r="AH742" s="648" t="n"/>
      <c r="AI742" s="648" t="n"/>
      <c r="AJ742" s="648" t="n"/>
      <c r="AK742" s="648" t="n"/>
      <c r="AL742" s="648" t="n"/>
      <c r="AM742" s="421">
        <f>SUM(AB742:AL747)</f>
        <v/>
      </c>
      <c r="AN742" s="726" t="n"/>
      <c r="AU742" s="1240" t="n"/>
      <c r="AV742" s="1240" t="n"/>
    </row>
    <row r="743" ht="17.1" customHeight="1">
      <c r="A743" s="973" t="n"/>
      <c r="B743" s="971" t="n"/>
      <c r="C743" s="972" t="n"/>
      <c r="D743" s="973" t="n"/>
      <c r="E743" s="973" t="n"/>
      <c r="F743" s="994" t="n"/>
      <c r="G743" s="994" t="n"/>
      <c r="H743" s="973" t="n"/>
      <c r="I743" s="973" t="n"/>
      <c r="J743" s="973" t="n"/>
      <c r="K743" s="973" t="n"/>
      <c r="L743" s="253" t="n"/>
      <c r="M743" s="254" t="n"/>
      <c r="N743" s="254" t="n"/>
      <c r="O743" s="1183" t="n"/>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73" t="n"/>
      <c r="E744" s="973" t="n"/>
      <c r="F744" s="994" t="n"/>
      <c r="G744" s="994" t="n"/>
      <c r="H744" s="973" t="n"/>
      <c r="I744" s="973" t="n"/>
      <c r="J744" s="973" t="n"/>
      <c r="K744" s="973" t="n"/>
      <c r="L744" s="253" t="n"/>
      <c r="M744" s="254" t="n"/>
      <c r="N744" s="254" t="n"/>
      <c r="O744" s="1183" t="n"/>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73" t="n"/>
      <c r="E745" s="973" t="n"/>
      <c r="F745" s="994" t="n"/>
      <c r="G745" s="994" t="n"/>
      <c r="H745" s="973" t="n"/>
      <c r="I745" s="973" t="n"/>
      <c r="J745" s="973" t="n"/>
      <c r="K745" s="973" t="n"/>
      <c r="L745" s="253" t="n"/>
      <c r="M745" s="254" t="n"/>
      <c r="N745" s="254" t="n"/>
      <c r="O745" s="1183" t="n"/>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73" t="n"/>
      <c r="E746" s="973" t="n"/>
      <c r="F746" s="994" t="n"/>
      <c r="G746" s="994" t="n"/>
      <c r="H746" s="973" t="n"/>
      <c r="I746" s="973" t="n"/>
      <c r="J746" s="973" t="n"/>
      <c r="K746" s="973" t="n"/>
      <c r="L746" s="253" t="n"/>
      <c r="M746" s="254" t="n"/>
      <c r="N746" s="254" t="n"/>
      <c r="O746" s="1183" t="n"/>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73" t="n"/>
      <c r="E747" s="973" t="n"/>
      <c r="F747" s="994" t="n"/>
      <c r="G747" s="994" t="n"/>
      <c r="H747" s="973" t="n"/>
      <c r="I747" s="973" t="n"/>
      <c r="J747" s="973" t="n"/>
      <c r="K747" s="975" t="n"/>
      <c r="L747" s="253" t="n"/>
      <c r="M747" s="254" t="n"/>
      <c r="N747" s="254" t="n"/>
      <c r="O747" s="1183" t="n"/>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75" t="n"/>
      <c r="E748" s="975" t="n"/>
      <c r="F748" s="998" t="n"/>
      <c r="G748" s="998" t="n"/>
      <c r="H748" s="975" t="n"/>
      <c r="I748" s="975" t="n"/>
      <c r="J748" s="975" t="n"/>
      <c r="K748" s="1189">
        <f>K742=L748</f>
        <v/>
      </c>
      <c r="L748" s="491">
        <f>SUM(L742:L747)</f>
        <v/>
      </c>
      <c r="M748" s="1190" t="inlineStr">
        <is>
          <t xml:space="preserve">“Verdadero” indica que la cantidad por lote, coincide con el saldo que inicia al mes siguiente. "Falso" no coinicide. </t>
        </is>
      </c>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413">
        <f>OCTUBRE!K749</f>
        <v/>
      </c>
      <c r="E749" s="339">
        <f>H345</f>
        <v/>
      </c>
      <c r="F749" s="338" t="n"/>
      <c r="G749" s="338" t="n"/>
      <c r="H749" s="1235">
        <f>+F749+G749</f>
        <v/>
      </c>
      <c r="I749" s="340">
        <f>+AM749</f>
        <v/>
      </c>
      <c r="J749" s="341">
        <f>+H749+I749</f>
        <v/>
      </c>
      <c r="K749" s="583">
        <f>+(D749+E749)-(J749)</f>
        <v/>
      </c>
      <c r="L749" s="253" t="n"/>
      <c r="M749" s="254" t="n"/>
      <c r="N749" s="254" t="n"/>
      <c r="O749" s="1183" t="n"/>
      <c r="P749" s="256">
        <f>IF(O749=0," ",IFERROR(IF(DATEDIF(TODAY(),O749,"M")&lt;=5,"ROJO",IF(DATEDIF(TODAY(),O749,"M")&gt;=12,"VERDE",IF(AND(DATEDIF(TODAY(),O749,"M")&gt;=6,DATEDIF(TODAY(),O749,"M")&lt;=11),"AMARILLO"))),Q749))</f>
        <v/>
      </c>
      <c r="Q749" s="256">
        <f>IF(O749=0," ",IF(O749&lt;=$L$6,"VENCIDO","NO VENCIDO"))</f>
        <v/>
      </c>
      <c r="R749" s="257" t="n"/>
      <c r="S749" s="258" t="n"/>
      <c r="T749" s="258" t="n"/>
      <c r="U749" s="1184" t="n"/>
      <c r="V749" s="1184" t="n"/>
      <c r="W749" s="1236">
        <f>+AR749</f>
        <v/>
      </c>
      <c r="X749" s="1237" t="n"/>
      <c r="Y749" s="232" t="n"/>
      <c r="Z749" s="648" t="n"/>
      <c r="AA749" s="648" t="n"/>
      <c r="AB749" s="649">
        <f>+Z749+AA749</f>
        <v/>
      </c>
      <c r="AC749" s="648" t="n"/>
      <c r="AD749" s="648" t="n"/>
      <c r="AE749" s="648" t="n"/>
      <c r="AF749" s="648" t="n"/>
      <c r="AG749" s="648" t="n"/>
      <c r="AH749" s="648" t="n"/>
      <c r="AI749" s="648" t="n"/>
      <c r="AJ749" s="648" t="n"/>
      <c r="AK749" s="648" t="n"/>
      <c r="AL749" s="648" t="n"/>
      <c r="AM749" s="421">
        <f>SUM(AB749:AL754)</f>
        <v/>
      </c>
      <c r="AN749" s="726" t="n"/>
      <c r="AU749" s="1240" t="n"/>
      <c r="AV749" s="1240" t="n"/>
    </row>
    <row r="750" ht="17.1" customHeight="1">
      <c r="A750" s="973" t="n"/>
      <c r="B750" s="971" t="n"/>
      <c r="C750" s="972" t="n"/>
      <c r="D750" s="973"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73"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73"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73"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73"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75" t="n"/>
      <c r="E755" s="975" t="n"/>
      <c r="F755" s="998" t="n"/>
      <c r="G755" s="998" t="n"/>
      <c r="H755" s="975" t="n"/>
      <c r="I755" s="975" t="n"/>
      <c r="J755" s="975" t="n"/>
      <c r="K755" s="1189">
        <f>K749=L755</f>
        <v/>
      </c>
      <c r="L755" s="491">
        <f>SUM(L749:L754)</f>
        <v/>
      </c>
      <c r="M755" s="1190" t="inlineStr">
        <is>
          <t xml:space="preserve">“Verdadero” indica que la cantidad por lote, coincide con el saldo que inicia al mes siguiente. "Falso" no coinicide. </t>
        </is>
      </c>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413">
        <f>OCTUBRE!K756</f>
        <v/>
      </c>
      <c r="E756" s="339">
        <f>H352</f>
        <v/>
      </c>
      <c r="F756" s="338" t="n"/>
      <c r="G756" s="338" t="n"/>
      <c r="H756" s="1235">
        <f>+F756+G756</f>
        <v/>
      </c>
      <c r="I756" s="340">
        <f>+AM756</f>
        <v/>
      </c>
      <c r="J756" s="341">
        <f>+H756+I756</f>
        <v/>
      </c>
      <c r="K756" s="583">
        <f>+(D756+E756)-(J756)</f>
        <v/>
      </c>
      <c r="L756" s="253" t="n"/>
      <c r="M756" s="254" t="n"/>
      <c r="N756" s="254" t="n"/>
      <c r="O756" s="1183" t="n"/>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c r="AA756" s="648" t="n"/>
      <c r="AB756" s="649">
        <f>+Z756+AA756</f>
        <v/>
      </c>
      <c r="AC756" s="648" t="n"/>
      <c r="AD756" s="648" t="n"/>
      <c r="AE756" s="648" t="n"/>
      <c r="AF756" s="648" t="n"/>
      <c r="AG756" s="648" t="n"/>
      <c r="AH756" s="648" t="n"/>
      <c r="AI756" s="648" t="n"/>
      <c r="AJ756" s="648" t="n"/>
      <c r="AK756" s="648" t="n"/>
      <c r="AL756" s="648" t="n"/>
      <c r="AM756" s="421">
        <f>SUM(AB756:AL761)</f>
        <v/>
      </c>
      <c r="AN756" s="726" t="n"/>
      <c r="AU756" s="1240" t="n"/>
      <c r="AV756" s="1240" t="n"/>
    </row>
    <row r="757" ht="17.1" customHeight="1">
      <c r="A757" s="973" t="n"/>
      <c r="B757" s="971" t="n"/>
      <c r="C757" s="972" t="n"/>
      <c r="D757" s="973" t="n"/>
      <c r="E757" s="973" t="n"/>
      <c r="F757" s="994" t="n"/>
      <c r="G757" s="994" t="n"/>
      <c r="H757" s="973" t="n"/>
      <c r="I757" s="973" t="n"/>
      <c r="J757" s="973" t="n"/>
      <c r="K757" s="973" t="n"/>
      <c r="L757" s="253" t="n"/>
      <c r="M757" s="254" t="n"/>
      <c r="N757" s="254" t="n"/>
      <c r="O757" s="1183" t="n"/>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73" t="n"/>
      <c r="E758" s="973" t="n"/>
      <c r="F758" s="994" t="n"/>
      <c r="G758" s="994" t="n"/>
      <c r="H758" s="973" t="n"/>
      <c r="I758" s="973" t="n"/>
      <c r="J758" s="973" t="n"/>
      <c r="K758" s="973" t="n"/>
      <c r="L758" s="253" t="n"/>
      <c r="M758" s="254" t="n"/>
      <c r="N758" s="254" t="n"/>
      <c r="O758" s="1183" t="n"/>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73" t="n"/>
      <c r="E759" s="973" t="n"/>
      <c r="F759" s="994" t="n"/>
      <c r="G759" s="994" t="n"/>
      <c r="H759" s="973" t="n"/>
      <c r="I759" s="973" t="n"/>
      <c r="J759" s="973" t="n"/>
      <c r="K759" s="973" t="n"/>
      <c r="L759" s="253" t="n"/>
      <c r="M759" s="254" t="n"/>
      <c r="N759" s="254" t="n"/>
      <c r="O759" s="1183" t="n"/>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73" t="n"/>
      <c r="E760" s="973" t="n"/>
      <c r="F760" s="994" t="n"/>
      <c r="G760" s="994" t="n"/>
      <c r="H760" s="973" t="n"/>
      <c r="I760" s="973" t="n"/>
      <c r="J760" s="973" t="n"/>
      <c r="K760" s="973" t="n"/>
      <c r="L760" s="253" t="n"/>
      <c r="M760" s="254" t="n"/>
      <c r="N760" s="254" t="n"/>
      <c r="O760" s="1183" t="n"/>
      <c r="P760" s="256">
        <f>IF(O760=0," ",IFERROR(IF(DATEDIF(TODAY(),O760,"M")&lt;=5,"ROJO",IF(DATEDIF(TODAY(),O760,"M")&gt;=12,"VERDE",IF(AND(DATEDIF(TODAY(),O760,"M")&gt;=6,DATEDIF(TODAY(),O760,"M")&lt;=11),"AMARILLO"))),Q760))</f>
        <v/>
      </c>
      <c r="Q760" s="256">
        <f>IF(O760=0," ",IF(O760&lt;=$L$6,"VENCIDO","NO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73"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75"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413">
        <f>OCTUBRE!K763</f>
        <v/>
      </c>
      <c r="E763" s="339">
        <f>H359</f>
        <v/>
      </c>
      <c r="F763" s="338" t="n"/>
      <c r="G763" s="338" t="n"/>
      <c r="H763" s="1235">
        <f>+F763+G763</f>
        <v/>
      </c>
      <c r="I763" s="340">
        <f>+AM763</f>
        <v/>
      </c>
      <c r="J763" s="341">
        <f>+H763+I763</f>
        <v/>
      </c>
      <c r="K763" s="583">
        <f>+(D763+E763)-(J763)</f>
        <v/>
      </c>
      <c r="L763" s="253" t="n"/>
      <c r="M763" s="254" t="n"/>
      <c r="N763" s="254" t="n"/>
      <c r="O763" s="1183" t="n"/>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c r="AA763" s="648" t="n"/>
      <c r="AB763" s="649">
        <f>+Z763+AA763</f>
        <v/>
      </c>
      <c r="AC763" s="648" t="n"/>
      <c r="AD763" s="648" t="n"/>
      <c r="AE763" s="648" t="n"/>
      <c r="AF763" s="648" t="n"/>
      <c r="AG763" s="648" t="n"/>
      <c r="AH763" s="648" t="n"/>
      <c r="AI763" s="648" t="n"/>
      <c r="AJ763" s="648" t="n"/>
      <c r="AK763" s="648" t="n"/>
      <c r="AL763" s="648" t="n"/>
      <c r="AM763" s="421">
        <f>SUM(AB763:AL768)</f>
        <v/>
      </c>
      <c r="AN763" s="726" t="n"/>
      <c r="AU763" s="1240" t="n"/>
      <c r="AV763" s="1240" t="n"/>
    </row>
    <row r="764" ht="17.1" customHeight="1">
      <c r="A764" s="973" t="n"/>
      <c r="B764" s="971" t="n"/>
      <c r="C764" s="972" t="n"/>
      <c r="D764" s="973" t="n"/>
      <c r="E764" s="973" t="n"/>
      <c r="F764" s="994" t="n"/>
      <c r="G764" s="994" t="n"/>
      <c r="H764" s="973" t="n"/>
      <c r="I764" s="973" t="n"/>
      <c r="J764" s="973" t="n"/>
      <c r="K764" s="973" t="n"/>
      <c r="L764" s="253" t="n"/>
      <c r="M764" s="254" t="n"/>
      <c r="N764" s="254" t="n"/>
      <c r="O764" s="1183" t="n"/>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73" t="n"/>
      <c r="E765" s="973" t="n"/>
      <c r="F765" s="994" t="n"/>
      <c r="G765" s="994" t="n"/>
      <c r="H765" s="973" t="n"/>
      <c r="I765" s="973" t="n"/>
      <c r="J765" s="973" t="n"/>
      <c r="K765" s="973" t="n"/>
      <c r="L765" s="253" t="n"/>
      <c r="M765" s="254" t="n"/>
      <c r="N765" s="254" t="n"/>
      <c r="O765" s="1183" t="n"/>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73" t="n"/>
      <c r="E766" s="973" t="n"/>
      <c r="F766" s="994" t="n"/>
      <c r="G766" s="994" t="n"/>
      <c r="H766" s="973" t="n"/>
      <c r="I766" s="973" t="n"/>
      <c r="J766" s="973" t="n"/>
      <c r="K766" s="973" t="n"/>
      <c r="L766" s="253" t="n"/>
      <c r="M766" s="254" t="n"/>
      <c r="N766" s="254" t="n"/>
      <c r="O766" s="1183" t="n"/>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73" t="n"/>
      <c r="E767" s="973" t="n"/>
      <c r="F767" s="994" t="n"/>
      <c r="G767" s="994" t="n"/>
      <c r="H767" s="973" t="n"/>
      <c r="I767" s="973" t="n"/>
      <c r="J767" s="973" t="n"/>
      <c r="K767" s="973" t="n"/>
      <c r="L767" s="253" t="n"/>
      <c r="M767" s="254" t="n"/>
      <c r="N767" s="254" t="n"/>
      <c r="O767" s="1183" t="n"/>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73"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75" t="n"/>
      <c r="E769" s="975" t="n"/>
      <c r="F769" s="998" t="n"/>
      <c r="G769" s="998" t="n"/>
      <c r="H769" s="975" t="n"/>
      <c r="I769" s="975" t="n"/>
      <c r="J769" s="975" t="n"/>
      <c r="K769" s="1189">
        <f>K763=L769</f>
        <v/>
      </c>
      <c r="L769" s="491">
        <f>SUM(L763:L768)</f>
        <v/>
      </c>
      <c r="M769" s="1190" t="inlineStr">
        <is>
          <t xml:space="preserve">“Verdadero” indica que la cantidad por lote, coincide con el saldo que inicia al mes siguiente. "Falso" no coinicide. </t>
        </is>
      </c>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413">
        <f>OCTUBRE!K770</f>
        <v/>
      </c>
      <c r="E770" s="339">
        <f>H366</f>
        <v/>
      </c>
      <c r="F770" s="338" t="n"/>
      <c r="G770" s="338" t="n"/>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c r="AA770" s="648" t="n"/>
      <c r="AB770" s="649">
        <f>+Z770+AA770</f>
        <v/>
      </c>
      <c r="AC770" s="648" t="n"/>
      <c r="AD770" s="648" t="n"/>
      <c r="AE770" s="648" t="n"/>
      <c r="AF770" s="648" t="n"/>
      <c r="AG770" s="648" t="n"/>
      <c r="AH770" s="648" t="n"/>
      <c r="AI770" s="648" t="n"/>
      <c r="AJ770" s="648" t="n"/>
      <c r="AK770" s="648" t="n"/>
      <c r="AL770" s="648" t="n"/>
      <c r="AM770" s="421">
        <f>SUM(AB770:AL775)</f>
        <v/>
      </c>
      <c r="AN770" s="726" t="n"/>
      <c r="AU770" s="1240" t="n"/>
      <c r="AV770" s="1240" t="n"/>
    </row>
    <row r="771" ht="17.1" customHeight="1">
      <c r="A771" s="973" t="n"/>
      <c r="B771" s="971" t="n"/>
      <c r="C771" s="972" t="n"/>
      <c r="D771" s="973"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73"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73"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73"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73"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75" t="n"/>
      <c r="E776" s="975" t="n"/>
      <c r="F776" s="998" t="n"/>
      <c r="G776" s="998" t="n"/>
      <c r="H776" s="975" t="n"/>
      <c r="I776" s="975" t="n"/>
      <c r="J776" s="975" t="n"/>
      <c r="K776" s="1189">
        <f>K770=L776</f>
        <v/>
      </c>
      <c r="L776" s="491">
        <f>SUM(L770:L775)</f>
        <v/>
      </c>
      <c r="M776" s="1190" t="inlineStr">
        <is>
          <t xml:space="preserve">“Verdadero” indica que la cantidad por lote, coincide con el saldo que inicia al mes siguiente. "Falso" no coinicide. </t>
        </is>
      </c>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413">
        <f>OCTUBRE!K777</f>
        <v/>
      </c>
      <c r="E777" s="339">
        <f>H373</f>
        <v/>
      </c>
      <c r="F777" s="338" t="n"/>
      <c r="G777" s="338" t="n"/>
      <c r="H777" s="576">
        <f>+F777+G777</f>
        <v/>
      </c>
      <c r="I777" s="340">
        <f>+AM777</f>
        <v/>
      </c>
      <c r="J777" s="341">
        <f>+H777+I777</f>
        <v/>
      </c>
      <c r="K777" s="584">
        <f>+(D777+E777)-(J777)</f>
        <v/>
      </c>
      <c r="L777" s="253" t="n"/>
      <c r="M777" s="254" t="n"/>
      <c r="N777" s="254" t="n"/>
      <c r="O777" s="1183" t="n"/>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c r="AA777" s="648" t="n"/>
      <c r="AB777" s="649">
        <f>+Z777+AA777</f>
        <v/>
      </c>
      <c r="AC777" s="648" t="n"/>
      <c r="AD777" s="648" t="n"/>
      <c r="AE777" s="648" t="n"/>
      <c r="AF777" s="648" t="n"/>
      <c r="AG777" s="648" t="n"/>
      <c r="AH777" s="648" t="n"/>
      <c r="AI777" s="648" t="n"/>
      <c r="AJ777" s="648" t="n"/>
      <c r="AK777" s="648" t="n"/>
      <c r="AL777" s="648" t="n"/>
      <c r="AM777" s="382">
        <f>SUM(AB777:AL777)</f>
        <v/>
      </c>
      <c r="AN777" s="726" t="n"/>
      <c r="AU777" s="1240" t="n"/>
      <c r="AV777" s="1240" t="n"/>
    </row>
    <row r="778" ht="30" customHeight="1">
      <c r="A778" s="585">
        <f>A777+1</f>
        <v/>
      </c>
      <c r="B778" s="629" t="inlineStr">
        <is>
          <t>Carnet de vacunación adultos</t>
        </is>
      </c>
      <c r="C778" s="967" t="n"/>
      <c r="D778" s="413">
        <f>OCTUBRE!K778</f>
        <v/>
      </c>
      <c r="E778" s="339">
        <f>H374</f>
        <v/>
      </c>
      <c r="F778" s="338" t="n"/>
      <c r="G778" s="338" t="n"/>
      <c r="H778" s="576">
        <f>+F778+G778</f>
        <v/>
      </c>
      <c r="I778" s="340">
        <f>+AM778</f>
        <v/>
      </c>
      <c r="J778" s="341">
        <f>+H778+I778</f>
        <v/>
      </c>
      <c r="K778" s="584">
        <f>+(D778+E778)-(J778)</f>
        <v/>
      </c>
      <c r="L778" s="253" t="n"/>
      <c r="M778" s="254" t="n"/>
      <c r="N778" s="254" t="n"/>
      <c r="O778" s="1183" t="n"/>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c r="AA778" s="648" t="n"/>
      <c r="AB778" s="649">
        <f>+Z778+AA778</f>
        <v/>
      </c>
      <c r="AC778" s="648" t="n"/>
      <c r="AD778" s="648" t="n"/>
      <c r="AE778" s="648" t="n"/>
      <c r="AF778" s="648" t="n"/>
      <c r="AG778" s="648" t="n"/>
      <c r="AH778" s="648" t="n"/>
      <c r="AI778" s="648" t="n"/>
      <c r="AJ778" s="648" t="n"/>
      <c r="AK778" s="648" t="n"/>
      <c r="AL778" s="648" t="n"/>
      <c r="AM778" s="382">
        <f>SUM(AB778:AL778)</f>
        <v/>
      </c>
      <c r="AN778" s="726" t="n"/>
      <c r="AU778" s="1240" t="n"/>
      <c r="AV778" s="1240" t="n"/>
    </row>
    <row r="779" ht="30" customHeight="1">
      <c r="A779" s="585">
        <f>A778+1</f>
        <v/>
      </c>
      <c r="B779" s="629" t="inlineStr">
        <is>
          <t>Carnet/Certificado de vacunación (Covid-19)</t>
        </is>
      </c>
      <c r="C779" s="967" t="n"/>
      <c r="D779" s="413">
        <f>OCTUBRE!K779</f>
        <v/>
      </c>
      <c r="E779" s="339">
        <f>H375</f>
        <v/>
      </c>
      <c r="F779" s="338" t="n"/>
      <c r="G779" s="338" t="n"/>
      <c r="H779" s="576">
        <f>+F779+G779</f>
        <v/>
      </c>
      <c r="I779" s="340">
        <f>+AM779</f>
        <v/>
      </c>
      <c r="J779" s="341">
        <f>+H779+I779</f>
        <v/>
      </c>
      <c r="K779" s="584">
        <f>+(D779+E779)-(J779)</f>
        <v/>
      </c>
      <c r="L779" s="253" t="n"/>
      <c r="M779" s="254" t="n"/>
      <c r="N779" s="254" t="n"/>
      <c r="O779" s="1183" t="n"/>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c r="AA779" s="648" t="n"/>
      <c r="AB779" s="649">
        <f>+Z779+AA779</f>
        <v/>
      </c>
      <c r="AC779" s="648" t="n"/>
      <c r="AD779" s="648" t="n"/>
      <c r="AE779" s="648" t="n"/>
      <c r="AF779" s="648" t="n"/>
      <c r="AG779" s="648" t="n"/>
      <c r="AH779" s="648" t="n"/>
      <c r="AI779" s="648" t="n"/>
      <c r="AJ779" s="648" t="n"/>
      <c r="AK779" s="648" t="n"/>
      <c r="AL779" s="648" t="n"/>
      <c r="AM779" s="382">
        <f>SUM(AB779:AL779)</f>
        <v/>
      </c>
      <c r="AN779" s="726" t="n"/>
      <c r="AU779" s="1240" t="n"/>
      <c r="AV779" s="1240" t="n"/>
    </row>
    <row r="780" ht="30" customHeight="1">
      <c r="A780" s="585">
        <f>A779+1</f>
        <v/>
      </c>
      <c r="B780" s="629" t="inlineStr">
        <is>
          <t>Carne/certificado internacional de vacunación</t>
        </is>
      </c>
      <c r="C780" s="967" t="n"/>
      <c r="D780" s="413">
        <f>OCTUBRE!K780</f>
        <v/>
      </c>
      <c r="E780" s="339">
        <f>H376</f>
        <v/>
      </c>
      <c r="F780" s="338" t="n"/>
      <c r="G780" s="338" t="n"/>
      <c r="H780" s="576">
        <f>+F780+G780</f>
        <v/>
      </c>
      <c r="I780" s="340">
        <f>+AM780</f>
        <v/>
      </c>
      <c r="J780" s="341">
        <f>+H780+I780</f>
        <v/>
      </c>
      <c r="K780" s="584">
        <f>+(D780+E780)-(J780)</f>
        <v/>
      </c>
      <c r="L780" s="253" t="n"/>
      <c r="M780" s="254" t="n"/>
      <c r="N780" s="254" t="n"/>
      <c r="O780" s="1183" t="n"/>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c r="AA780" s="648" t="n"/>
      <c r="AB780" s="649">
        <f>+Z780+AA780</f>
        <v/>
      </c>
      <c r="AC780" s="648" t="n"/>
      <c r="AD780" s="648" t="n"/>
      <c r="AE780" s="648" t="n"/>
      <c r="AF780" s="648" t="n"/>
      <c r="AG780" s="648" t="n"/>
      <c r="AH780" s="648" t="n"/>
      <c r="AI780" s="648" t="n"/>
      <c r="AJ780" s="648" t="n"/>
      <c r="AK780" s="648" t="n"/>
      <c r="AL780" s="648" t="n"/>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413">
        <f>OCTUBRE!K781</f>
        <v/>
      </c>
      <c r="E781" s="339">
        <f>H377</f>
        <v/>
      </c>
      <c r="F781" s="338" t="n"/>
      <c r="G781" s="338" t="n"/>
      <c r="H781" s="576">
        <f>+F781+G781</f>
        <v/>
      </c>
      <c r="I781" s="340">
        <f>+AM781</f>
        <v/>
      </c>
      <c r="J781" s="341">
        <f>+H781+I781</f>
        <v/>
      </c>
      <c r="K781" s="584">
        <f>+(D781+E781)-(J781)</f>
        <v/>
      </c>
      <c r="L781" s="253" t="n"/>
      <c r="M781" s="254" t="n"/>
      <c r="N781" s="254" t="n"/>
      <c r="O781" s="1183" t="n"/>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c r="AA781" s="648" t="n"/>
      <c r="AB781" s="649">
        <f>+Z781+AA781</f>
        <v/>
      </c>
      <c r="AC781" s="648" t="n"/>
      <c r="AD781" s="648" t="n"/>
      <c r="AE781" s="648" t="n"/>
      <c r="AF781" s="648" t="n"/>
      <c r="AG781" s="648" t="n"/>
      <c r="AH781" s="648" t="n"/>
      <c r="AI781" s="648" t="n"/>
      <c r="AJ781" s="648" t="n"/>
      <c r="AK781" s="648" t="n"/>
      <c r="AL781" s="648" t="n"/>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413">
        <f>OCTUBRE!K782</f>
        <v/>
      </c>
      <c r="E782" s="339">
        <f>H378</f>
        <v/>
      </c>
      <c r="F782" s="338" t="n"/>
      <c r="G782" s="338" t="n"/>
      <c r="H782" s="576">
        <f>+F782+G782</f>
        <v/>
      </c>
      <c r="I782" s="340">
        <f>+AM782</f>
        <v/>
      </c>
      <c r="J782" s="341">
        <f>+H782+I782</f>
        <v/>
      </c>
      <c r="K782" s="584">
        <f>+(D782+E782)-(J782)</f>
        <v/>
      </c>
      <c r="L782" s="253" t="n"/>
      <c r="M782" s="254" t="n"/>
      <c r="N782" s="254" t="n"/>
      <c r="O782" s="1183" t="n"/>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c r="AA782" s="648" t="n"/>
      <c r="AB782" s="649">
        <f>+Z782+AA782</f>
        <v/>
      </c>
      <c r="AC782" s="648" t="n"/>
      <c r="AD782" s="648" t="n"/>
      <c r="AE782" s="648" t="n"/>
      <c r="AF782" s="648" t="n"/>
      <c r="AG782" s="648" t="n"/>
      <c r="AH782" s="648" t="n"/>
      <c r="AI782" s="648" t="n"/>
      <c r="AJ782" s="648" t="n"/>
      <c r="AK782" s="648" t="n"/>
      <c r="AL782" s="648" t="n"/>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413">
        <f>OCTUBRE!K783</f>
        <v/>
      </c>
      <c r="E783" s="339">
        <f>H379</f>
        <v/>
      </c>
      <c r="F783" s="338" t="n"/>
      <c r="G783" s="338" t="n"/>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c r="AA783" s="648" t="n"/>
      <c r="AB783" s="649">
        <f>+Z783+AA783</f>
        <v/>
      </c>
      <c r="AC783" s="648" t="n"/>
      <c r="AD783" s="648" t="n"/>
      <c r="AE783" s="648" t="n"/>
      <c r="AF783" s="648" t="n"/>
      <c r="AG783" s="648" t="n"/>
      <c r="AH783" s="648" t="n"/>
      <c r="AI783" s="648" t="n"/>
      <c r="AJ783" s="648" t="n"/>
      <c r="AK783" s="648" t="n"/>
      <c r="AL783" s="648" t="n"/>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569" t="inlineStr">
        <is>
          <t>ÍTEM</t>
        </is>
      </c>
      <c r="B785" s="569" t="inlineStr">
        <is>
          <t>VACUNA COVID-19</t>
        </is>
      </c>
      <c r="C785" s="965" t="n"/>
      <c r="D785" s="1231" t="inlineStr">
        <is>
          <t>SALDO MES ANTERIOR</t>
        </is>
      </c>
      <c r="E785" s="961" t="inlineStr">
        <is>
          <t>BIOLÓGICO RECIBIDO DEL CENTRO DE ACOPIO DEPARTAMENTAL / DISTRITAL</t>
        </is>
      </c>
      <c r="F785" s="1231" t="inlineStr">
        <is>
          <t>DOSIS APLICADAS</t>
        </is>
      </c>
      <c r="G785" s="967" t="n"/>
      <c r="H785" s="1232" t="inlineStr">
        <is>
          <t>TOTAL DOSIS APLICADAS</t>
        </is>
      </c>
      <c r="I785" s="961" t="inlineStr">
        <is>
          <t>DOSIS PERDIDAS</t>
        </is>
      </c>
      <c r="J785" s="1231" t="inlineStr">
        <is>
          <t>TOTAL DOSIS ÚTILIZADAS EN EL MES</t>
        </is>
      </c>
      <c r="K785" s="623" t="inlineStr">
        <is>
          <t>SALDO QUE INICIA EL MES SIGUIENTE (SOLO MUNICIPIOS)</t>
        </is>
      </c>
      <c r="L785" s="623" t="inlineStr">
        <is>
          <t>DOSIS POR LOTES</t>
        </is>
      </c>
      <c r="M785" s="623" t="inlineStr">
        <is>
          <t xml:space="preserve">No. LOTE </t>
        </is>
      </c>
      <c r="N785" s="623" t="inlineStr">
        <is>
          <t>LABORATORIO</t>
        </is>
      </c>
      <c r="O785" s="623" t="inlineStr">
        <is>
          <t>FECHA DE VENCIMIENTO</t>
        </is>
      </c>
      <c r="P785" s="623" t="inlineStr">
        <is>
          <t>SEMAFORIZACION VIDA  ÚTIL DEL BIOLÓGICO</t>
        </is>
      </c>
      <c r="Q785" s="623" t="inlineStr">
        <is>
          <t>CONDICIÓN FINAL DEL BIOLÓGICO, DILUYENTE Y CARNET</t>
        </is>
      </c>
      <c r="R785" s="613" t="inlineStr">
        <is>
          <t>DOSIS EN CUARENTENA</t>
        </is>
      </c>
      <c r="S785" s="613" t="inlineStr">
        <is>
          <t>LABORATORIO</t>
        </is>
      </c>
      <c r="T785" s="613" t="inlineStr">
        <is>
          <t>No. LOTE</t>
        </is>
      </c>
      <c r="U785" s="613" t="inlineStr">
        <is>
          <t>FECHA DE VENCIMEINTO</t>
        </is>
      </c>
      <c r="V785" s="613" t="inlineStr">
        <is>
          <t>FECHA DE INICIO CUARENTENA</t>
        </is>
      </c>
      <c r="W785" s="613" t="inlineStr">
        <is>
          <t>OBSERVACIONES</t>
        </is>
      </c>
      <c r="X785" s="351" t="n"/>
      <c r="Y785" s="232" t="n"/>
      <c r="Z785" s="1221" t="inlineStr">
        <is>
          <t>MOTIVOS DE NO USO DE VACUNAS CONTRA LA COVID-19
RESOLUCIÓN 0118 DEL 27 DE ENERO DE 2026
DISPONIBLE EN EL SIGUIENTE LINK: https://www.minsalud.gov.co/Normatividad_Nuevo/Resolucion%20No%20118%20de%202026.pdf</t>
        </is>
      </c>
      <c r="AA785" s="968" t="n"/>
      <c r="AB785" s="968" t="n"/>
      <c r="AC785" s="968" t="n"/>
      <c r="AD785" s="968" t="n"/>
      <c r="AE785" s="968" t="n"/>
      <c r="AF785" s="968" t="n"/>
      <c r="AG785" s="968" t="n"/>
      <c r="AH785" s="968" t="n"/>
      <c r="AI785" s="968" t="n"/>
      <c r="AJ785" s="968" t="n"/>
      <c r="AK785" s="968" t="n"/>
      <c r="AL785" s="967" t="n"/>
      <c r="AM785" s="532" t="inlineStr">
        <is>
          <t xml:space="preserve">TOTAL DOSIS PERDIDAS        </t>
        </is>
      </c>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inlineStr">
        <is>
          <t>POLÍTICA DE FRASCOS ABIERTO</t>
        </is>
      </c>
      <c r="AA787" s="967" t="n"/>
      <c r="AB787" s="1222" t="inlineStr">
        <is>
          <t>INTERRUPCIÓN DE LA CADENA DE FRÍO</t>
        </is>
      </c>
      <c r="AC787" s="537" t="inlineStr">
        <is>
          <t>CONTAMINACIÓN DEL BIOLÓGICO</t>
        </is>
      </c>
      <c r="AD787" s="1222" t="inlineStr">
        <is>
          <t>ERROR EN LA MANIPULACIÓN</t>
        </is>
      </c>
      <c r="AE787" s="537" t="inlineStr">
        <is>
          <t>ERROR EN LA RECONSTITUCIÓN/DILUCIÓN</t>
        </is>
      </c>
      <c r="AF787" s="1222" t="inlineStr">
        <is>
          <t>ERROR EN LA DOSIFICACIÓN</t>
        </is>
      </c>
      <c r="AG787" s="537" t="inlineStr">
        <is>
          <t>VACUNA QUE EXCEDE EL TIEMPO DE ALMACENAMIENTO EN REFRIGERACIÓN</t>
        </is>
      </c>
      <c r="AH787" s="1222" t="inlineStr">
        <is>
          <t>VENCIMIENTO DEL BIOLÓGICO</t>
        </is>
      </c>
      <c r="AI787" s="537" t="inlineStr">
        <is>
          <t>FRASCO VIAL ROTO</t>
        </is>
      </c>
      <c r="AJ787" s="1222" t="inlineStr">
        <is>
          <t>FALLAS DE FABRICACIÓN/CALIDAD</t>
        </is>
      </c>
      <c r="AK787" s="537" t="inlineStr">
        <is>
          <t>SINIESTRO / ACCIDENTE</t>
        </is>
      </c>
      <c r="AL787" s="1222" t="inlineStr">
        <is>
          <t>ROBO/HURTO BIOLÓGICO</t>
        </is>
      </c>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inlineStr">
        <is>
          <t>INSTITUCIONAL</t>
        </is>
      </c>
      <c r="AA788" s="497" t="inlineStr">
        <is>
          <t>EXTRAMURAL</t>
        </is>
      </c>
      <c r="AB788" s="975" t="n"/>
      <c r="AC788" s="975" t="n"/>
      <c r="AD788" s="975" t="n"/>
      <c r="AE788" s="975" t="n"/>
      <c r="AF788" s="975" t="n"/>
      <c r="AG788" s="975" t="n"/>
      <c r="AH788" s="975" t="n"/>
      <c r="AI788" s="975" t="n"/>
      <c r="AJ788" s="975" t="n"/>
      <c r="AK788" s="975" t="n"/>
      <c r="AL788" s="975" t="n"/>
      <c r="AM788" s="975" t="n"/>
      <c r="AN788" s="368" t="n"/>
      <c r="AO788" s="368" t="n"/>
      <c r="AP788" s="416" t="n"/>
      <c r="AQ788" s="546" t="inlineStr">
        <is>
          <t>PORCENTAJE DE PERDIDA DEL MES
%</t>
        </is>
      </c>
      <c r="AR788" s="546" t="inlineStr">
        <is>
          <t>FACTOR DE PERDIDA DEL MES</t>
        </is>
      </c>
      <c r="AS788" s="420" t="inlineStr">
        <is>
          <t>% DE PERDIDA DEL MSPS</t>
        </is>
      </c>
      <c r="AT788" s="420" t="inlineStr">
        <is>
          <t>DOSIS POR VIAL</t>
        </is>
      </c>
      <c r="AV788" s="1240" t="n"/>
      <c r="AW788" s="1240" t="n"/>
    </row>
    <row r="789" ht="19.5" customHeight="1">
      <c r="A789" s="585" t="n">
        <v>1</v>
      </c>
      <c r="B789" s="1249" t="inlineStr">
        <is>
          <t>MODERNA ADULTO</t>
        </is>
      </c>
      <c r="C789" s="965" t="n"/>
      <c r="D789" s="496">
        <f>OCTUBRE!K789</f>
        <v/>
      </c>
      <c r="E789" s="339">
        <f>H385</f>
        <v/>
      </c>
      <c r="F789" s="731" t="n"/>
      <c r="G789" s="731" t="n"/>
      <c r="H789" s="1235">
        <f>SUM(F789,G789)</f>
        <v/>
      </c>
      <c r="I789" s="340">
        <f>+AM789</f>
        <v/>
      </c>
      <c r="J789" s="341">
        <f>+H789+I789</f>
        <v/>
      </c>
      <c r="K789" s="583">
        <f>+(D789+E789)-(J789)</f>
        <v/>
      </c>
      <c r="L789" s="486" t="n"/>
      <c r="M789" s="487" t="n"/>
      <c r="N789" s="487" t="n"/>
      <c r="O789" s="1223" t="n"/>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c r="AA789" s="648" t="n"/>
      <c r="AB789" s="648" t="n"/>
      <c r="AC789" s="648" t="n"/>
      <c r="AD789" s="648" t="n"/>
      <c r="AE789" s="648" t="n"/>
      <c r="AF789" s="648" t="n"/>
      <c r="AG789" s="648" t="n"/>
      <c r="AH789" s="648" t="n"/>
      <c r="AI789" s="648" t="n"/>
      <c r="AJ789" s="648" t="n"/>
      <c r="AK789" s="648" t="n"/>
      <c r="AL789" s="648" t="n"/>
      <c r="AM789" s="573">
        <f>SUM(Z789:AL792)</f>
        <v/>
      </c>
      <c r="AN789" s="693" t="n"/>
      <c r="AO789" s="485" t="n"/>
      <c r="AP789" s="416" t="n"/>
      <c r="AQ789" s="1238">
        <f>IFERROR(I789/J789*100,"0")</f>
        <v/>
      </c>
      <c r="AR789" s="1238">
        <f>IFERROR(1/(1-(AQ789/100)),"0")</f>
        <v/>
      </c>
      <c r="AS789" s="1238" t="n">
        <v>0</v>
      </c>
      <c r="AT789" s="345" t="n">
        <v>5</v>
      </c>
      <c r="AU789" s="1240" t="n"/>
      <c r="AV789" s="1240" t="n"/>
    </row>
    <row r="790" ht="19.5" customHeight="1">
      <c r="A790" s="973" t="n"/>
      <c r="B790" s="971" t="n"/>
      <c r="C790" s="972" t="n"/>
      <c r="D790" s="973"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73"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73"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75" t="n"/>
      <c r="E793" s="975" t="n"/>
      <c r="F793" s="998" t="n"/>
      <c r="G793" s="998" t="n"/>
      <c r="H793" s="975" t="n"/>
      <c r="I793" s="975" t="n"/>
      <c r="J793" s="975" t="n"/>
      <c r="K793" s="1189">
        <f>K789=L793</f>
        <v/>
      </c>
      <c r="L793" s="491">
        <f>SUM(L789:L792)</f>
        <v/>
      </c>
      <c r="M793" s="1190" t="inlineStr">
        <is>
          <t xml:space="preserve">“Verdadero” indica que la cantidad por lote, coincide con el saldo que inicia al mes siguiente. "Falso" no coinicide. </t>
        </is>
      </c>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496">
        <f>OCTUBRE!K794</f>
        <v/>
      </c>
      <c r="E794" s="339">
        <f>H390</f>
        <v/>
      </c>
      <c r="F794" s="731" t="n"/>
      <c r="G794" s="731" t="n"/>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c r="AA794" s="648" t="n"/>
      <c r="AB794" s="648" t="n"/>
      <c r="AC794" s="648" t="n"/>
      <c r="AD794" s="648" t="n"/>
      <c r="AE794" s="648" t="n"/>
      <c r="AF794" s="648" t="n"/>
      <c r="AG794" s="648" t="n"/>
      <c r="AH794" s="648" t="n"/>
      <c r="AI794" s="648" t="n"/>
      <c r="AJ794" s="648" t="n"/>
      <c r="AK794" s="648" t="n"/>
      <c r="AL794" s="648" t="n"/>
      <c r="AM794" s="573">
        <f>SUM(Z794:AL797)</f>
        <v/>
      </c>
      <c r="AN794" s="693" t="n"/>
      <c r="AO794" s="485" t="n"/>
      <c r="AP794" s="416" t="n"/>
      <c r="AQ794" s="1238">
        <f>IFERROR(I794/J794*100,"0")</f>
        <v/>
      </c>
      <c r="AR794" s="1238">
        <f>IFERROR(1/(1-(AQ794/100)),"0")</f>
        <v/>
      </c>
      <c r="AS794" s="1238" t="n">
        <v>0</v>
      </c>
      <c r="AT794" s="345" t="n">
        <v>10</v>
      </c>
      <c r="AU794" s="1240" t="n"/>
      <c r="AV794" s="1240" t="n"/>
    </row>
    <row r="795" ht="19.5" customHeight="1">
      <c r="A795" s="973" t="n"/>
      <c r="B795" s="971" t="n"/>
      <c r="C795" s="972" t="n"/>
      <c r="D795" s="973"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73"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73"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75" t="n"/>
      <c r="E798" s="975" t="n"/>
      <c r="F798" s="998" t="n"/>
      <c r="G798" s="998" t="n"/>
      <c r="H798" s="975" t="n"/>
      <c r="I798" s="975" t="n"/>
      <c r="J798" s="975" t="n"/>
      <c r="K798" s="1189">
        <f>K794=L798</f>
        <v/>
      </c>
      <c r="L798" s="491">
        <f>SUM(L794:L797)</f>
        <v/>
      </c>
      <c r="M798" s="1190" t="inlineStr">
        <is>
          <t xml:space="preserve">“Verdadero” indica que la cantidad por lote, coincide con el saldo que inicia al mes siguiente. "Falso" no coinicide. </t>
        </is>
      </c>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496">
        <f>OCTUBRE!K799</f>
        <v/>
      </c>
      <c r="E799" s="339">
        <f>H395</f>
        <v/>
      </c>
      <c r="F799" s="731" t="n"/>
      <c r="G799" s="731" t="n"/>
      <c r="H799" s="1235">
        <f>SUM(F799,G799)</f>
        <v/>
      </c>
      <c r="I799" s="340">
        <f>+AM799</f>
        <v/>
      </c>
      <c r="J799" s="341">
        <f>+H799+I799</f>
        <v/>
      </c>
      <c r="K799" s="583">
        <f>+(D799+E799)-(J799)</f>
        <v/>
      </c>
      <c r="L799" s="486" t="n"/>
      <c r="M799" s="487" t="n"/>
      <c r="N799" s="487" t="n"/>
      <c r="O799" s="1223" t="n"/>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c r="AA799" s="648" t="n"/>
      <c r="AB799" s="648" t="n"/>
      <c r="AC799" s="648" t="n"/>
      <c r="AD799" s="648" t="n"/>
      <c r="AE799" s="648" t="n"/>
      <c r="AF799" s="648" t="n"/>
      <c r="AG799" s="648" t="n"/>
      <c r="AH799" s="648" t="n"/>
      <c r="AI799" s="648" t="n"/>
      <c r="AJ799" s="648" t="n"/>
      <c r="AK799" s="648" t="n"/>
      <c r="AL799" s="648" t="n"/>
      <c r="AM799" s="573">
        <f>SUM(Z799:AL802)</f>
        <v/>
      </c>
      <c r="AN799" s="693" t="n"/>
      <c r="AO799" s="485" t="n"/>
      <c r="AP799" s="416" t="n"/>
      <c r="AQ799" s="1238">
        <f>IFERROR(I799/J799*100,"0")</f>
        <v/>
      </c>
      <c r="AR799" s="1238">
        <f>IFERROR(1/(1-(AQ799/100)),"0")</f>
        <v/>
      </c>
      <c r="AS799" s="1238" t="n">
        <v>0</v>
      </c>
      <c r="AT799" s="345" t="n">
        <v>6</v>
      </c>
      <c r="AU799" s="1240" t="n"/>
      <c r="AV799" s="1240" t="n"/>
    </row>
    <row r="800" ht="19.5" customHeight="1">
      <c r="A800" s="973" t="n"/>
      <c r="B800" s="971" t="n"/>
      <c r="C800" s="972" t="n"/>
      <c r="D800" s="973"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73"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73"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75" t="n"/>
      <c r="E803" s="975" t="n"/>
      <c r="F803" s="998" t="n"/>
      <c r="G803" s="998" t="n"/>
      <c r="H803" s="975" t="n"/>
      <c r="I803" s="975" t="n"/>
      <c r="J803" s="975" t="n"/>
      <c r="K803" s="1189">
        <f>K799=L803</f>
        <v/>
      </c>
      <c r="L803" s="491">
        <f>SUM(L799:L802)</f>
        <v/>
      </c>
      <c r="M803" s="1190" t="inlineStr">
        <is>
          <t xml:space="preserve">“Verdadero” indica que la cantidad por lote, coincide con el saldo que inicia al mes siguiente. "Falso" no coinicide. </t>
        </is>
      </c>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496">
        <f>OCTUBRE!K804</f>
        <v/>
      </c>
      <c r="E804" s="339">
        <f>H400</f>
        <v/>
      </c>
      <c r="F804" s="731" t="n"/>
      <c r="G804" s="731" t="n"/>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c r="AA804" s="648" t="n"/>
      <c r="AB804" s="648" t="n"/>
      <c r="AC804" s="648" t="n"/>
      <c r="AD804" s="648" t="n"/>
      <c r="AE804" s="648" t="n"/>
      <c r="AF804" s="648" t="n"/>
      <c r="AG804" s="648" t="n"/>
      <c r="AH804" s="648" t="n"/>
      <c r="AI804" s="648" t="n"/>
      <c r="AJ804" s="648" t="n"/>
      <c r="AK804" s="648" t="n"/>
      <c r="AL804" s="648" t="n"/>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73"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73"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73"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75" t="n"/>
      <c r="E808" s="975" t="n"/>
      <c r="F808" s="998" t="n"/>
      <c r="G808" s="998" t="n"/>
      <c r="H808" s="975" t="n"/>
      <c r="I808" s="975" t="n"/>
      <c r="J808" s="975" t="n"/>
      <c r="K808" s="1189">
        <f>K804=L808</f>
        <v/>
      </c>
      <c r="L808" s="491">
        <f>SUM(L804:L807)</f>
        <v/>
      </c>
      <c r="M808" s="1190" t="inlineStr">
        <is>
          <t xml:space="preserve">“Verdadero” indica que la cantidad por lote, coincide con el saldo que inicia al mes siguiente. "Falso" no coinicide. </t>
        </is>
      </c>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496">
        <f>OCTUBRE!K809</f>
        <v/>
      </c>
      <c r="E809" s="339">
        <f>H405</f>
        <v/>
      </c>
      <c r="F809" s="731" t="n"/>
      <c r="G809" s="731" t="n"/>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c r="AA809" s="648" t="n"/>
      <c r="AB809" s="648" t="n"/>
      <c r="AC809" s="648" t="n"/>
      <c r="AD809" s="648" t="n"/>
      <c r="AE809" s="648" t="n"/>
      <c r="AF809" s="648" t="n"/>
      <c r="AG809" s="648" t="n"/>
      <c r="AH809" s="648" t="n"/>
      <c r="AI809" s="648" t="n"/>
      <c r="AJ809" s="648" t="n"/>
      <c r="AK809" s="648" t="n"/>
      <c r="AL809" s="648" t="n"/>
      <c r="AM809" s="573">
        <f>SUM(Z809:AL812)</f>
        <v/>
      </c>
      <c r="AN809" s="693" t="n"/>
      <c r="AO809" s="485" t="n"/>
      <c r="AP809" s="416" t="n"/>
      <c r="AQ809" s="1238">
        <f>IFERROR(I809/J809*100,"0")</f>
        <v/>
      </c>
      <c r="AR809" s="1238">
        <f>IFERROR(1/(1-(AQ809/100)),"0")</f>
        <v/>
      </c>
      <c r="AS809" s="1238" t="n">
        <v>0</v>
      </c>
      <c r="AT809" s="345" t="n"/>
      <c r="AU809" s="1240" t="n"/>
      <c r="AV809" s="1240" t="n"/>
    </row>
    <row r="810" ht="19.5" customHeight="1">
      <c r="A810" s="973" t="n"/>
      <c r="B810" s="971" t="n"/>
      <c r="C810" s="972" t="n"/>
      <c r="D810" s="973"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73"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73"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75" t="n"/>
      <c r="E813" s="975" t="n"/>
      <c r="F813" s="998" t="n"/>
      <c r="G813" s="998" t="n"/>
      <c r="H813" s="975" t="n"/>
      <c r="I813" s="975" t="n"/>
      <c r="J813" s="975" t="n"/>
      <c r="K813" s="1189">
        <f>K809=L813</f>
        <v/>
      </c>
      <c r="L813" s="491">
        <f>SUM(L809:L812)</f>
        <v/>
      </c>
      <c r="M813" s="1190" t="inlineStr">
        <is>
          <t xml:space="preserve">“Verdadero” indica que la cantidad por lote, coincide con el saldo que inicia al mes siguiente. "Falso" no coinicide. </t>
        </is>
      </c>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569" t="inlineStr">
        <is>
          <t>ÍTEM</t>
        </is>
      </c>
      <c r="B817" s="569" t="inlineStr">
        <is>
          <t>INSUMOS</t>
        </is>
      </c>
      <c r="C817" s="965" t="n"/>
      <c r="D817" s="552" t="inlineStr">
        <is>
          <t>SALDO MES ANTERIOR</t>
        </is>
      </c>
      <c r="E817" s="961" t="inlineStr">
        <is>
          <t xml:space="preserve">BIOLÓGICO RECIBIDO POR MSPS O ET </t>
        </is>
      </c>
      <c r="F817" s="545" t="inlineStr">
        <is>
          <t>DOSIS APLICADAS</t>
        </is>
      </c>
      <c r="G817" s="967" t="n"/>
      <c r="H817" s="1232" t="inlineStr">
        <is>
          <t>TOTAL DE DOSIS APLICADAS</t>
        </is>
      </c>
      <c r="I817" s="961" t="inlineStr">
        <is>
          <t>DOSIS PERDIDAS</t>
        </is>
      </c>
      <c r="J817" s="1231" t="inlineStr">
        <is>
          <t>TOTAL DE DOSIS UTILIZADAS EN EL MES</t>
        </is>
      </c>
      <c r="K817" s="961" t="inlineStr">
        <is>
          <t>DOSIS TRASLADADAS A OTROS DEPARTAMENTOS, DISTRITOS O RETORNO AL MSPS</t>
        </is>
      </c>
      <c r="L817" s="1253" t="inlineStr">
        <is>
          <t xml:space="preserve">TOTAL SALDO QUE INICIA EL MES </t>
        </is>
      </c>
      <c r="M817" s="1232" t="inlineStr">
        <is>
          <t xml:space="preserve">SALDO CON QUE EL CA DEPARTAMENTAL INICIA </t>
        </is>
      </c>
      <c r="N817" s="1231" t="inlineStr">
        <is>
          <t xml:space="preserve">SALDO CON QUE LOS MUNICIPIOS O IPS INICIAN </t>
        </is>
      </c>
      <c r="O817" s="1232" t="inlineStr">
        <is>
          <t>MESES DISPONIBLES SEGÚN DOSIS UTILIZADAS EN EL MES</t>
        </is>
      </c>
      <c r="P817" s="544" t="inlineStr">
        <is>
          <t>DOSIS EN CUARENTENA</t>
        </is>
      </c>
      <c r="Q817" s="544" t="inlineStr">
        <is>
          <t>LABORATORIO</t>
        </is>
      </c>
      <c r="R817" s="544" t="inlineStr">
        <is>
          <t>No. LOTE</t>
        </is>
      </c>
      <c r="S817" s="544" t="inlineStr">
        <is>
          <t>FECHA DE VENCIMEINTO</t>
        </is>
      </c>
      <c r="T817" s="544" t="inlineStr">
        <is>
          <t>CONDICIÓN FINAL DEL BIOLÓGICO O INSUMO</t>
        </is>
      </c>
      <c r="U817" s="561" t="n"/>
      <c r="V817" s="1254" t="n"/>
      <c r="X817" s="366" t="n"/>
      <c r="Y817" s="232" t="n"/>
      <c r="Z817" s="400" t="inlineStr">
        <is>
          <t>CAUSAS PERDIDA DE BIOLÓGICOS (Remítase a la primera hoja donde se especifica la clasificación de las perdidas)</t>
        </is>
      </c>
      <c r="AA817" s="400" t="n"/>
      <c r="AB817" s="400" t="n"/>
      <c r="AC817" s="400" t="n"/>
      <c r="AD817" s="400" t="n"/>
      <c r="AE817" s="400" t="n"/>
      <c r="AF817" s="400" t="n"/>
      <c r="AG817" s="400" t="n"/>
      <c r="AH817" s="400" t="n"/>
      <c r="AI817" s="400" t="n"/>
      <c r="AJ817" s="400" t="n"/>
      <c r="AK817" s="400" t="n"/>
      <c r="AL817" s="400" t="n"/>
      <c r="AM817" s="1181" t="inlineStr">
        <is>
          <t xml:space="preserve">TOTAL DOSIS PERDIDAS        </t>
        </is>
      </c>
      <c r="AN817" s="367" t="n"/>
      <c r="AO817" s="368" t="n"/>
    </row>
    <row r="818" ht="21.75" customHeight="1">
      <c r="A818" s="973" t="n"/>
      <c r="B818" s="971" t="n"/>
      <c r="C818" s="972" t="n"/>
      <c r="D818" s="973" t="n"/>
      <c r="E818" s="973" t="n"/>
      <c r="F818" s="552" t="inlineStr">
        <is>
          <t>DOSIS APLICADAS
COLOMBIANOS</t>
        </is>
      </c>
      <c r="G818" s="552" t="inlineStr">
        <is>
          <t>DOSIS APLICADAS EXTRANJEROS</t>
        </is>
      </c>
      <c r="H818" s="973" t="n"/>
      <c r="I818" s="973" t="n"/>
      <c r="J818" s="973" t="n"/>
      <c r="K818" s="973" t="n"/>
      <c r="L818" s="973" t="n"/>
      <c r="M818" s="973" t="n"/>
      <c r="N818" s="973" t="n"/>
      <c r="O818" s="973" t="n"/>
      <c r="P818" s="973" t="n"/>
      <c r="Q818" s="973" t="n"/>
      <c r="R818" s="973" t="n"/>
      <c r="S818" s="973" t="n"/>
      <c r="T818" s="973" t="n"/>
      <c r="X818" s="366" t="n"/>
      <c r="Y818" s="232" t="n"/>
      <c r="Z818" s="533" t="n">
        <v>1</v>
      </c>
      <c r="AA818" s="968" t="n"/>
      <c r="AB818" s="967" t="n"/>
      <c r="AC818" s="330" t="n">
        <v>2</v>
      </c>
      <c r="AD818" s="566" t="n">
        <v>3</v>
      </c>
      <c r="AE818" s="533" t="n">
        <v>4</v>
      </c>
      <c r="AF818" s="566" t="n">
        <v>5</v>
      </c>
      <c r="AG818" s="533" t="n">
        <v>6</v>
      </c>
      <c r="AH818" s="566" t="n">
        <v>7</v>
      </c>
      <c r="AI818" s="533" t="n">
        <v>8</v>
      </c>
      <c r="AJ818" s="533" t="n">
        <v>9</v>
      </c>
      <c r="AK818" s="533" t="n">
        <v>10</v>
      </c>
      <c r="AL818" s="566" t="n">
        <v>11</v>
      </c>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X819" s="366" t="n"/>
      <c r="Y819" s="232" t="n"/>
      <c r="Z819" s="533" t="inlineStr">
        <is>
          <t>POLÍTICA DE FRASCOS ABIERTO</t>
        </is>
      </c>
      <c r="AA819" s="968" t="n"/>
      <c r="AB819" s="967" t="n"/>
      <c r="AC819" s="330" t="inlineStr">
        <is>
          <t>INTERRUPCIÓN DE CADENA DE FRÍO</t>
        </is>
      </c>
      <c r="AD819" s="566" t="inlineStr">
        <is>
          <t>CONTAMINACION DEL BIOLÓGICO/DISPOSITIVO MÉDICO</t>
        </is>
      </c>
      <c r="AE819" s="533" t="inlineStr">
        <is>
          <t>VIAL ROTO</t>
        </is>
      </c>
      <c r="AF819" s="566" t="inlineStr">
        <is>
          <t>ERRORES EN LA MANIPULACIÓN</t>
        </is>
      </c>
      <c r="AG819" s="533" t="inlineStr">
        <is>
          <t>VENCIMIENTO DEL BIOLÓGICO O JERINGA</t>
        </is>
      </c>
      <c r="AH819" s="566" t="inlineStr">
        <is>
          <t>FARMACOVIGILANCIA / TECNOVIGILANCIA</t>
        </is>
      </c>
      <c r="AI819" s="533" t="inlineStr">
        <is>
          <t>VOMITO FRANCO</t>
        </is>
      </c>
      <c r="AJ819" s="533" t="inlineStr">
        <is>
          <t>APLICACIÓN FUERA DE LA EDAD</t>
        </is>
      </c>
      <c r="AK819" s="533" t="inlineStr">
        <is>
          <t>POR DECISIÓN FINAL DEL PACIENTE DE NO VACUNACIÓN</t>
        </is>
      </c>
      <c r="AL819" s="566" t="inlineStr">
        <is>
          <t>SINIESTRO O ROBO</t>
        </is>
      </c>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X820" s="366" t="n"/>
      <c r="Y820" s="232" t="n"/>
      <c r="Z820" s="533" t="inlineStr">
        <is>
          <t>INSTITUCIONAL</t>
        </is>
      </c>
      <c r="AA820" s="533" t="inlineStr">
        <is>
          <t>EXTRAMURAL</t>
        </is>
      </c>
      <c r="AB820" s="533" t="inlineStr">
        <is>
          <t>TOTAL</t>
        </is>
      </c>
      <c r="AC820" s="975" t="n"/>
      <c r="AD820" s="975" t="n"/>
      <c r="AE820" s="975" t="n"/>
      <c r="AF820" s="975" t="n"/>
      <c r="AG820" s="975" t="n"/>
      <c r="AH820" s="975" t="n"/>
      <c r="AI820" s="975" t="n"/>
      <c r="AJ820" s="975" t="n"/>
      <c r="AK820" s="975" t="n"/>
      <c r="AL820" s="975" t="n"/>
      <c r="AM820" s="975" t="n"/>
      <c r="AN820" s="333" t="n"/>
      <c r="AO820" s="368" t="n"/>
      <c r="AQ820" s="370" t="inlineStr">
        <is>
          <t>PORCENTAJE DE PERDIDA DEL MES
%</t>
        </is>
      </c>
      <c r="AR820" s="370" t="inlineStr">
        <is>
          <t>FACTOR DE PERDIDA DEL MES</t>
        </is>
      </c>
      <c r="AS820" s="371" t="inlineStr">
        <is>
          <t>% DE PERDIDA DEL MSPS</t>
        </is>
      </c>
      <c r="AT820" s="371" t="inlineStr">
        <is>
          <t>DOSIS POR VIAL</t>
        </is>
      </c>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v>65</v>
      </c>
      <c r="AT821" s="345" t="n">
        <v>10</v>
      </c>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v>0</v>
      </c>
      <c r="AT823" s="345" t="n">
        <v>0</v>
      </c>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v>15</v>
      </c>
      <c r="AT824" s="345" t="n">
        <v>5</v>
      </c>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v>0</v>
      </c>
      <c r="AT825" s="345" t="n">
        <v>0</v>
      </c>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v>0</v>
      </c>
      <c r="AT826" s="345" t="n">
        <v>0</v>
      </c>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v>0</v>
      </c>
      <c r="AT827" s="345" t="n">
        <v>0</v>
      </c>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v>0</v>
      </c>
      <c r="AT829" s="345" t="n">
        <v>1</v>
      </c>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v>0</v>
      </c>
      <c r="AT830" s="345" t="n">
        <v>1</v>
      </c>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v>0</v>
      </c>
      <c r="AT831" s="345" t="n">
        <v>1</v>
      </c>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v>0</v>
      </c>
      <c r="AT832" s="345" t="n">
        <v>1</v>
      </c>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v>0</v>
      </c>
      <c r="AT833" s="345" t="n">
        <v>1</v>
      </c>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v>0</v>
      </c>
      <c r="AT835" s="345" t="n">
        <v>1</v>
      </c>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v>0</v>
      </c>
      <c r="AT836" s="345" t="n">
        <v>1</v>
      </c>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v>0</v>
      </c>
      <c r="AT837" s="345" t="n">
        <v>1</v>
      </c>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v>25</v>
      </c>
      <c r="AT838" s="345" t="n">
        <v>5</v>
      </c>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v>0</v>
      </c>
      <c r="AT839" s="345" t="n">
        <v>1</v>
      </c>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v>70</v>
      </c>
      <c r="AT841" s="345" t="n">
        <v>10</v>
      </c>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v>0</v>
      </c>
      <c r="AT842" s="345" t="n">
        <v>1</v>
      </c>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v>0</v>
      </c>
      <c r="AT843" s="345" t="n">
        <v>1</v>
      </c>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v>0</v>
      </c>
      <c r="AT844" s="345" t="n">
        <v>1</v>
      </c>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v>10</v>
      </c>
      <c r="AT845" s="345" t="n">
        <v>10</v>
      </c>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v>10</v>
      </c>
      <c r="AT847" s="345" t="n">
        <v>20</v>
      </c>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v>10</v>
      </c>
      <c r="AT848" s="345" t="n">
        <v>10</v>
      </c>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v>0</v>
      </c>
      <c r="AT849" s="345" t="n">
        <v>1</v>
      </c>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v>0</v>
      </c>
      <c r="AT850" s="345" t="n">
        <v>1</v>
      </c>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v>0</v>
      </c>
      <c r="AT851" s="345" t="n">
        <v>1</v>
      </c>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v>0</v>
      </c>
      <c r="AT853" s="345" t="n">
        <v>1</v>
      </c>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v>0</v>
      </c>
      <c r="AT854" s="345" t="n">
        <v>1</v>
      </c>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v>0</v>
      </c>
      <c r="AT855" s="345" t="n">
        <v>1</v>
      </c>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v>0</v>
      </c>
      <c r="AT856" s="345" t="n">
        <v>1</v>
      </c>
    </row>
    <row r="857" ht="28.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7"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inlineStr">
        <is>
          <t>SALDO MES ANTERIOR</t>
        </is>
      </c>
      <c r="E889" s="961" t="inlineStr">
        <is>
          <t xml:space="preserve">BIOLÓGICO RECIBIDO POR MSPS O ET </t>
        </is>
      </c>
      <c r="F889" s="545" t="inlineStr">
        <is>
          <t>DOSIS APLICADAS</t>
        </is>
      </c>
      <c r="G889" s="967" t="n"/>
      <c r="H889" s="1232" t="inlineStr">
        <is>
          <t>TOTAL DE DOSIS APLICADAS</t>
        </is>
      </c>
      <c r="I889" s="961" t="inlineStr">
        <is>
          <t>DOSIS PERDIDAS</t>
        </is>
      </c>
      <c r="J889" s="1231" t="inlineStr">
        <is>
          <t>TOTAL DE DOSIS UTILIZADAS EN EL MES</t>
        </is>
      </c>
      <c r="K889" s="961" t="inlineStr">
        <is>
          <t>DOSIS TRASLADADAS A OTROS DEPARTAMENTOS, DISTRITOS O RETORNO AL MSPS</t>
        </is>
      </c>
      <c r="L889" s="1253" t="inlineStr">
        <is>
          <t xml:space="preserve">TOTAL SALDO QUE INICIA EL MES </t>
        </is>
      </c>
      <c r="M889" s="1232" t="inlineStr">
        <is>
          <t xml:space="preserve">SALDO CON QUE EL CA DEPARTAMENTAL INICIA </t>
        </is>
      </c>
      <c r="N889" s="1231" t="inlineStr">
        <is>
          <t xml:space="preserve">SALDO CON QUE LOS MUNICIPIOS O IPS INICIAN </t>
        </is>
      </c>
      <c r="O889" s="1232" t="inlineStr">
        <is>
          <t>MESES DISPONIBLES SEGÚN DOSIS UTILIZADAS EN EL MES</t>
        </is>
      </c>
      <c r="P889" s="544" t="inlineStr">
        <is>
          <t>DOSIS EN CUARENTENA</t>
        </is>
      </c>
      <c r="Q889" s="544" t="inlineStr">
        <is>
          <t>LABORATORIO</t>
        </is>
      </c>
      <c r="R889" s="544" t="inlineStr">
        <is>
          <t>No. LOTE</t>
        </is>
      </c>
      <c r="S889" s="544" t="inlineStr">
        <is>
          <t>FECHA DE VENCIMEINTO</t>
        </is>
      </c>
      <c r="T889" s="544" t="inlineStr">
        <is>
          <t>CONDICIÓN FINAL DEL BIOLÓGICO O INSUMO</t>
        </is>
      </c>
      <c r="U889" s="561" t="n"/>
      <c r="V889" s="1254" t="n"/>
      <c r="Y889" s="232" t="n"/>
      <c r="Z889" s="1221" t="inlineStr">
        <is>
          <t>MOTIVOS DE NO USO DE VACUNAS CONTRA LA COVID-19
RESOLUCIÓN 0118 DEL 27 DE ENERO DE 2026
DISPONIBLE EN EL SIGUIENTE LINK: https://www.minsalud.gov.co/Normatividad_Nuevo/Resolucion%20No%20118%20de%202026.pdf</t>
        </is>
      </c>
      <c r="AA889" s="968" t="n"/>
      <c r="AB889" s="968" t="n"/>
      <c r="AC889" s="968" t="n"/>
      <c r="AD889" s="968" t="n"/>
      <c r="AE889" s="968" t="n"/>
      <c r="AF889" s="968" t="n"/>
      <c r="AG889" s="968" t="n"/>
      <c r="AH889" s="968" t="n"/>
      <c r="AI889" s="968" t="n"/>
      <c r="AJ889" s="968" t="n"/>
      <c r="AK889" s="968" t="n"/>
      <c r="AL889" s="967" t="n"/>
      <c r="AM889" s="532" t="inlineStr">
        <is>
          <t xml:space="preserve">TOTAL DOSIS PERDIDAS        </t>
        </is>
      </c>
      <c r="AP889" s="416" t="n"/>
      <c r="AQ889" s="416" t="n"/>
      <c r="AR889" s="416" t="n"/>
      <c r="AS889" s="416" t="n"/>
      <c r="AT889" s="416" t="n"/>
      <c r="AU889" s="1240" t="n"/>
      <c r="AV889" s="1240" t="n"/>
    </row>
    <row r="890" ht="22.5" customHeight="1">
      <c r="A890" s="971" t="n"/>
      <c r="C890" s="972" t="n"/>
      <c r="D890" s="973" t="n"/>
      <c r="E890" s="973" t="n"/>
      <c r="F890" s="552" t="inlineStr">
        <is>
          <t>DOSIS APLICADAS
COLOMBIANOS</t>
        </is>
      </c>
      <c r="G890" s="552" t="inlineStr">
        <is>
          <t>DOSIS APLICADAS EXTRANJEROS</t>
        </is>
      </c>
      <c r="H890" s="973" t="n"/>
      <c r="I890" s="973" t="n"/>
      <c r="J890" s="973" t="n"/>
      <c r="K890" s="973" t="n"/>
      <c r="L890" s="973" t="n"/>
      <c r="M890" s="973" t="n"/>
      <c r="N890" s="973" t="n"/>
      <c r="O890" s="973" t="n"/>
      <c r="P890" s="973" t="n"/>
      <c r="Q890" s="973" t="n"/>
      <c r="R890" s="973" t="n"/>
      <c r="S890" s="973" t="n"/>
      <c r="T890" s="973" t="n"/>
      <c r="Y890" s="232" t="n"/>
      <c r="Z890" s="533" t="n">
        <v>1</v>
      </c>
      <c r="AA890" s="967" t="n"/>
      <c r="AB890" s="533" t="n">
        <v>2</v>
      </c>
      <c r="AC890" s="533" t="n">
        <v>3</v>
      </c>
      <c r="AD890" s="533" t="n">
        <v>4</v>
      </c>
      <c r="AE890" s="533" t="n">
        <v>5</v>
      </c>
      <c r="AF890" s="533" t="n">
        <v>6</v>
      </c>
      <c r="AG890" s="533" t="n">
        <v>7</v>
      </c>
      <c r="AH890" s="533" t="n">
        <v>8</v>
      </c>
      <c r="AI890" s="533" t="n">
        <v>9</v>
      </c>
      <c r="AJ890" s="533" t="n">
        <v>10</v>
      </c>
      <c r="AK890" s="533" t="n">
        <v>11</v>
      </c>
      <c r="AL890" s="533" t="n">
        <v>12</v>
      </c>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inlineStr">
        <is>
          <t>POLÍTICA DE FRASCOS ABIERTO</t>
        </is>
      </c>
      <c r="AA891" s="967" t="n"/>
      <c r="AB891" s="1222" t="inlineStr">
        <is>
          <t>INTERRUPCIÓN DE LA CADENA DE FRÍO</t>
        </is>
      </c>
      <c r="AC891" s="537" t="inlineStr">
        <is>
          <t>CONTAMINACIÓN DEL BIOLÓGICO</t>
        </is>
      </c>
      <c r="AD891" s="1222" t="inlineStr">
        <is>
          <t>ERROR EN LA MANIPULACIÓN</t>
        </is>
      </c>
      <c r="AE891" s="537" t="inlineStr">
        <is>
          <t>ERROR EN LA RECONSTITUCIÓN/DILUCIÓN</t>
        </is>
      </c>
      <c r="AF891" s="1222" t="inlineStr">
        <is>
          <t>ERROR EN LA DOSIFICACIÓN</t>
        </is>
      </c>
      <c r="AG891" s="537" t="inlineStr">
        <is>
          <t>VACUNA QUE EXCEDE EL TIEMPO DE ALMACENAMIENTO EN REFRIGERACIÓN</t>
        </is>
      </c>
      <c r="AH891" s="1222" t="inlineStr">
        <is>
          <t>VENCIMIENTO DEL BIOLÓGICO</t>
        </is>
      </c>
      <c r="AI891" s="537" t="inlineStr">
        <is>
          <t>FRASCO VIAL ROTO</t>
        </is>
      </c>
      <c r="AJ891" s="1222" t="inlineStr">
        <is>
          <t>FALLAS DE FABRICACIÓN/CALIDAD</t>
        </is>
      </c>
      <c r="AK891" s="537" t="inlineStr">
        <is>
          <t>SINIESTRO / ACCIDENTE</t>
        </is>
      </c>
      <c r="AL891" s="1222" t="inlineStr">
        <is>
          <t>ROBO/HURTO BIOLÓGICO</t>
        </is>
      </c>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inlineStr">
        <is>
          <t>INSTITUCIONAL</t>
        </is>
      </c>
      <c r="AA892" s="497" t="inlineStr">
        <is>
          <t>EXTRAMURAL</t>
        </is>
      </c>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inlineStr">
        <is>
          <t>Observación</t>
        </is>
      </c>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dBLH3U/xDxLTs8gaSURAIw==" formatRows="1" sort="1" spinCount="100000" hashValue="R8EYUSm5DPcoI0q6cz9/x37bCAZlWHw/Gz3d6kWPTBlTPYsdC3LN1T8aINBwizAAitoz65Nt5UCdPj6TVn+elA=="/>
  <mergeCells count="3720">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AC25:AC29"/>
    <mergeCell ref="I133:I138"/>
    <mergeCell ref="B181:C186"/>
    <mergeCell ref="AI352:AI357"/>
    <mergeCell ref="D413:D416"/>
    <mergeCell ref="AL787:AL788"/>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AH11:AH12"/>
    <mergeCell ref="E31:E36"/>
    <mergeCell ref="I435:I440"/>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Z11:AB11"/>
    <mergeCell ref="AG211:AG215"/>
    <mergeCell ref="W742:W748"/>
    <mergeCell ref="AN163:AN167"/>
    <mergeCell ref="D236:D241"/>
    <mergeCell ref="J465:J470"/>
    <mergeCell ref="AV465:AV469"/>
    <mergeCell ref="B507:C512"/>
    <mergeCell ref="Z223:Z227"/>
    <mergeCell ref="D359:D365"/>
    <mergeCell ref="A525:A530"/>
    <mergeCell ref="B778:C778"/>
    <mergeCell ref="I609:I614"/>
    <mergeCell ref="AF230:AF234"/>
    <mergeCell ref="K115:K119"/>
    <mergeCell ref="AF537:AF541"/>
    <mergeCell ref="AC79:AC83"/>
    <mergeCell ref="U9:U12"/>
    <mergeCell ref="AC73:AC77"/>
    <mergeCell ref="J272:J277"/>
    <mergeCell ref="K543:K547"/>
    <mergeCell ref="F652:F657"/>
    <mergeCell ref="K579:K583"/>
    <mergeCell ref="B37:C42"/>
    <mergeCell ref="AA615:AA619"/>
    <mergeCell ref="AK664:AK668"/>
    <mergeCell ref="AH296:AH300"/>
    <mergeCell ref="AH303:AH308"/>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E61:AE65"/>
    <mergeCell ref="AJ441:AJ445"/>
    <mergeCell ref="AF714:AF719"/>
    <mergeCell ref="B121:C126"/>
    <mergeCell ref="E272:E277"/>
    <mergeCell ref="AH676:AH680"/>
    <mergeCell ref="AD543:AD547"/>
    <mergeCell ref="G459:G464"/>
    <mergeCell ref="E735:E741"/>
    <mergeCell ref="D634:D639"/>
    <mergeCell ref="AE519:AE523"/>
    <mergeCell ref="H441:H446"/>
    <mergeCell ref="J199:J204"/>
    <mergeCell ref="B579:C584"/>
    <mergeCell ref="AG11:AG12"/>
    <mergeCell ref="AE891:AE892"/>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I193:I198"/>
    <mergeCell ref="AG296:AG300"/>
    <mergeCell ref="AG303:AG308"/>
    <mergeCell ref="AD804:AD807"/>
    <mergeCell ref="AI489:AI493"/>
    <mergeCell ref="K513:K517"/>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H85:H90"/>
    <mergeCell ref="AC187:AC191"/>
    <mergeCell ref="I175:I180"/>
    <mergeCell ref="AM809:AM812"/>
    <mergeCell ref="AI405:AI408"/>
    <mergeCell ref="AR441:AR445"/>
    <mergeCell ref="AB555:AB559"/>
    <mergeCell ref="H303:H309"/>
    <mergeCell ref="AB549:AB553"/>
    <mergeCell ref="AM97:AM101"/>
    <mergeCell ref="AE721:AE726"/>
    <mergeCell ref="AD749:AD754"/>
    <mergeCell ref="AL423:AL427"/>
    <mergeCell ref="AE591:AE595"/>
    <mergeCell ref="AV447:AV451"/>
    <mergeCell ref="D103:D108"/>
    <mergeCell ref="H507:H512"/>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AA55:AA59"/>
    <mergeCell ref="AT525:AT529"/>
    <mergeCell ref="B782:C782"/>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J284:J289"/>
    <mergeCell ref="K585:K5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K103:AK107"/>
    <mergeCell ref="AA37:AA41"/>
    <mergeCell ref="AL139:AL143"/>
    <mergeCell ref="J749:J755"/>
    <mergeCell ref="AA73:AA77"/>
    <mergeCell ref="AH338:AH343"/>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AI25:AI29"/>
    <mergeCell ref="K211:K215"/>
    <mergeCell ref="B290:C295"/>
    <mergeCell ref="AI181:AI185"/>
    <mergeCell ref="B826:C826"/>
    <mergeCell ref="AW609:AW613"/>
    <mergeCell ref="I278:I283"/>
    <mergeCell ref="AQ441:AQ445"/>
    <mergeCell ref="F531:F536"/>
    <mergeCell ref="AF756:AF761"/>
    <mergeCell ref="B785:C788"/>
    <mergeCell ref="K763:K768"/>
    <mergeCell ref="A187:A192"/>
    <mergeCell ref="AN290:AN294"/>
    <mergeCell ref="AT477:AT481"/>
    <mergeCell ref="AD591:AD595"/>
    <mergeCell ref="AC794:AC797"/>
    <mergeCell ref="B828:C828"/>
    <mergeCell ref="B853:C853"/>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E352:AE357"/>
    <mergeCell ref="E169:E174"/>
    <mergeCell ref="K331:K336"/>
    <mergeCell ref="D501:D506"/>
    <mergeCell ref="I573:I578"/>
    <mergeCell ref="AM603:AM607"/>
    <mergeCell ref="AL664:AL668"/>
    <mergeCell ref="AB390:AB393"/>
    <mergeCell ref="AH787:AH78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Z139:Z143"/>
    <mergeCell ref="G345:G351"/>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565:C565"/>
    <mergeCell ref="Z799:Z802"/>
    <mergeCell ref="B894:C894"/>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AR447:AR451"/>
    <mergeCell ref="D507:D512"/>
    <mergeCell ref="H205:H210"/>
    <mergeCell ref="AK609:AK613"/>
    <mergeCell ref="A682:A687"/>
    <mergeCell ref="R889:R892"/>
    <mergeCell ref="F413:G413"/>
    <mergeCell ref="AA714:AA719"/>
    <mergeCell ref="K278:K282"/>
    <mergeCell ref="H634:H639"/>
    <mergeCell ref="I735:I741"/>
    <mergeCell ref="AF694:AF698"/>
    <mergeCell ref="H31:H36"/>
    <mergeCell ref="AL272:AL27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AN345:AN350"/>
    <mergeCell ref="Z381:AL381"/>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AC248:AC252"/>
    <mergeCell ref="AA175:AA179"/>
    <mergeCell ref="J447:J452"/>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T561:AT565"/>
    <mergeCell ref="AD700:AD704"/>
    <mergeCell ref="AD891:AD892"/>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A109:A114"/>
    <mergeCell ref="H382:H38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Z609:Z613"/>
    <mergeCell ref="B862:C862"/>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W429:AW433"/>
    <mergeCell ref="AL435:AL439"/>
    <mergeCell ref="AG543:AG547"/>
    <mergeCell ref="AG537:AG541"/>
    <mergeCell ref="AA646:AA650"/>
    <mergeCell ref="J459:J464"/>
    <mergeCell ref="A567:A572"/>
    <mergeCell ref="N817:N820"/>
    <mergeCell ref="A561:A566"/>
    <mergeCell ref="K157:K161"/>
    <mergeCell ref="I91:I96"/>
    <mergeCell ref="Z549:Z553"/>
    <mergeCell ref="AF728:AF733"/>
    <mergeCell ref="AK67:AK71"/>
    <mergeCell ref="AN395:AN398"/>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I417:I422"/>
    <mergeCell ref="B781:C781"/>
    <mergeCell ref="I531:I536"/>
    <mergeCell ref="D317:D323"/>
    <mergeCell ref="D187:D192"/>
    <mergeCell ref="AF794:AF797"/>
    <mergeCell ref="D912:G912"/>
    <mergeCell ref="F103:F108"/>
    <mergeCell ref="B571:C571"/>
    <mergeCell ref="AI199:AI203"/>
    <mergeCell ref="J230:J235"/>
    <mergeCell ref="AE395:AE398"/>
    <mergeCell ref="AH561:AH565"/>
    <mergeCell ref="K501:K505"/>
    <mergeCell ref="Z417:Z421"/>
    <mergeCell ref="B871:C871"/>
    <mergeCell ref="Z199:Z203"/>
    <mergeCell ref="J652:J657"/>
    <mergeCell ref="AL85:AL89"/>
    <mergeCell ref="J400:J404"/>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AK133:AK137"/>
    <mergeCell ref="V817:V820"/>
    <mergeCell ref="I799:I803"/>
    <mergeCell ref="B804:C808"/>
    <mergeCell ref="A199:A204"/>
    <mergeCell ref="AV429:AV433"/>
    <mergeCell ref="Z652:Z656"/>
    <mergeCell ref="Z646:Z650"/>
    <mergeCell ref="B145:C150"/>
    <mergeCell ref="AW555:AW559"/>
    <mergeCell ref="AF211:AF215"/>
    <mergeCell ref="AR423:AR427"/>
    <mergeCell ref="Z43:Z47"/>
    <mergeCell ref="A331:A337"/>
    <mergeCell ref="H91:H96"/>
    <mergeCell ref="G513:G518"/>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AK459:AK463"/>
    <mergeCell ref="I519:I524"/>
    <mergeCell ref="AD621:AD625"/>
    <mergeCell ref="B163:C168"/>
    <mergeCell ref="B794:C798"/>
    <mergeCell ref="K242:K246"/>
    <mergeCell ref="Z61:Z65"/>
    <mergeCell ref="K236:K240"/>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D615:D620"/>
    <mergeCell ref="B413:C416"/>
    <mergeCell ref="B395:C399"/>
    <mergeCell ref="Z889:AL889"/>
    <mergeCell ref="B779:C779"/>
    <mergeCell ref="AL181:AL185"/>
    <mergeCell ref="D272:D277"/>
    <mergeCell ref="B543:C548"/>
    <mergeCell ref="AM447:AM451"/>
    <mergeCell ref="Z818:AB818"/>
    <mergeCell ref="AA483:AA487"/>
    <mergeCell ref="AF609:AF613"/>
    <mergeCell ref="K799:K802"/>
    <mergeCell ref="AA694:AA698"/>
    <mergeCell ref="AJ133:AJ137"/>
    <mergeCell ref="AH646:AH650"/>
    <mergeCell ref="H567:H572"/>
    <mergeCell ref="U817:U820"/>
    <mergeCell ref="H561:H566"/>
    <mergeCell ref="B839:C839"/>
    <mergeCell ref="AM573:AM577"/>
    <mergeCell ref="AB471:AB475"/>
    <mergeCell ref="A573:A578"/>
    <mergeCell ref="AB507:AB511"/>
    <mergeCell ref="E429:E434"/>
    <mergeCell ref="J317:J323"/>
    <mergeCell ref="AL163:AL167"/>
    <mergeCell ref="Q381:Q384"/>
    <mergeCell ref="H465:H470"/>
    <mergeCell ref="E97:E102"/>
    <mergeCell ref="AI345:AI350"/>
    <mergeCell ref="B707:C713"/>
    <mergeCell ref="AT465:AT469"/>
    <mergeCell ref="AL199:AL203"/>
    <mergeCell ref="AK531:AK535"/>
    <mergeCell ref="B378:C378"/>
    <mergeCell ref="AD579:AD583"/>
    <mergeCell ref="AK525:AK529"/>
    <mergeCell ref="B115:C120"/>
    <mergeCell ref="AE809:AE812"/>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Z441:Z445"/>
    <mergeCell ref="H489:H494"/>
    <mergeCell ref="AH61:AH65"/>
    <mergeCell ref="AM284:AM288"/>
    <mergeCell ref="A284:A289"/>
    <mergeCell ref="AF331:AF336"/>
    <mergeCell ref="U413:U416"/>
    <mergeCell ref="AJ459:AJ463"/>
    <mergeCell ref="E151:E156"/>
    <mergeCell ref="H193:H198"/>
    <mergeCell ref="AF296:AF300"/>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AK157:AK161"/>
    <mergeCell ref="G385:G389"/>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C67:AC71"/>
    <mergeCell ref="AL278:AL282"/>
    <mergeCell ref="D682:D687"/>
    <mergeCell ref="AH441:AH445"/>
    <mergeCell ref="U889:U892"/>
    <mergeCell ref="AD317:AD322"/>
    <mergeCell ref="AC97:AC101"/>
    <mergeCell ref="AE290:AE294"/>
    <mergeCell ref="K567:K571"/>
    <mergeCell ref="K561:K565"/>
    <mergeCell ref="E459:E464"/>
    <mergeCell ref="AL115:AL119"/>
    <mergeCell ref="J181:J186"/>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E317:E323"/>
    <mergeCell ref="D97:D102"/>
    <mergeCell ref="G465:G470"/>
    <mergeCell ref="AB447:AB451"/>
    <mergeCell ref="AJ531:AJ535"/>
    <mergeCell ref="K714:K719"/>
    <mergeCell ref="K139:K143"/>
    <mergeCell ref="AF248:AF252"/>
    <mergeCell ref="AL477:AL481"/>
    <mergeCell ref="AM567:AM571"/>
    <mergeCell ref="AT435:AT439"/>
    <mergeCell ref="AC537:AC541"/>
    <mergeCell ref="AN331:AN336"/>
    <mergeCell ref="AW585:AW589"/>
    <mergeCell ref="H217:H222"/>
    <mergeCell ref="A707:A713"/>
    <mergeCell ref="J817:J820"/>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AK395:AK398"/>
    <mergeCell ref="B832:C832"/>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Z127:Z131"/>
    <mergeCell ref="AM763:AM768"/>
    <mergeCell ref="H175:H180"/>
    <mergeCell ref="B845:C845"/>
    <mergeCell ref="AJ447:AJ451"/>
    <mergeCell ref="AL205:AL209"/>
    <mergeCell ref="AE682:AE686"/>
    <mergeCell ref="AH405:AH408"/>
    <mergeCell ref="AC609:AC613"/>
    <mergeCell ref="AR531:AR535"/>
    <mergeCell ref="AR525:AR529"/>
    <mergeCell ref="F525:F530"/>
    <mergeCell ref="W423:W428"/>
    <mergeCell ref="AG19:AG23"/>
    <mergeCell ref="Z181:Z185"/>
    <mergeCell ref="AD272:AD276"/>
    <mergeCell ref="AK537:AK541"/>
    <mergeCell ref="AG133:AG137"/>
    <mergeCell ref="AA447:AA451"/>
    <mergeCell ref="R817:R820"/>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K591:K595"/>
    <mergeCell ref="AF891:AF892"/>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AJ97:AJ101"/>
    <mergeCell ref="I465:I470"/>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M477:AM481"/>
    <mergeCell ref="P9:P12"/>
    <mergeCell ref="A477:A482"/>
    <mergeCell ref="K670:K674"/>
    <mergeCell ref="D809:D813"/>
    <mergeCell ref="AM652:AM656"/>
    <mergeCell ref="AL67:AL71"/>
    <mergeCell ref="A79:A84"/>
    <mergeCell ref="E483:E488"/>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AH447:AH451"/>
    <mergeCell ref="B477:C482"/>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L97:AL101"/>
    <mergeCell ref="A317:A323"/>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W465:AW469"/>
    <mergeCell ref="AL345:AL350"/>
    <mergeCell ref="AG579:AG583"/>
    <mergeCell ref="AD405:AD408"/>
    <mergeCell ref="F91:F96"/>
    <mergeCell ref="AN254:AN258"/>
    <mergeCell ref="B375:C375"/>
    <mergeCell ref="AG423:AG427"/>
    <mergeCell ref="K483:K487"/>
    <mergeCell ref="A290:A295"/>
    <mergeCell ref="AI385:AI388"/>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AN157:AN161"/>
    <mergeCell ref="AA272:AA276"/>
    <mergeCell ref="J385:J389"/>
    <mergeCell ref="D555:D560"/>
    <mergeCell ref="AV417:AV421"/>
    <mergeCell ref="AA735:AA740"/>
    <mergeCell ref="AI688:AI692"/>
    <mergeCell ref="AB248:AB252"/>
    <mergeCell ref="Z31:Z35"/>
    <mergeCell ref="H79:H84"/>
    <mergeCell ref="K400:K403"/>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J109:J114"/>
    <mergeCell ref="AH290:AH29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D181:AD185"/>
    <mergeCell ref="AC366:AC371"/>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AB133:AB137"/>
    <mergeCell ref="M817:M820"/>
    <mergeCell ref="AL799:AL802"/>
    <mergeCell ref="J585:J590"/>
    <mergeCell ref="W646:W651"/>
    <mergeCell ref="J382:J384"/>
    <mergeCell ref="F31:F36"/>
    <mergeCell ref="AH310:AH315"/>
    <mergeCell ref="AB477:AB481"/>
    <mergeCell ref="AG236:AG240"/>
    <mergeCell ref="J789:J793"/>
    <mergeCell ref="AI423:AI427"/>
    <mergeCell ref="AD331:AD336"/>
    <mergeCell ref="AN400:AN403"/>
    <mergeCell ref="J193:J198"/>
    <mergeCell ref="S413:S416"/>
    <mergeCell ref="Z352:Z357"/>
    <mergeCell ref="I390:I394"/>
    <mergeCell ref="AI640:AI644"/>
    <mergeCell ref="B531:C536"/>
    <mergeCell ref="AG664:AG668"/>
    <mergeCell ref="AV483:AV487"/>
    <mergeCell ref="AG707:AG712"/>
    <mergeCell ref="T381:T384"/>
    <mergeCell ref="AD507:AD511"/>
    <mergeCell ref="AH205:AH209"/>
    <mergeCell ref="AM714:AM719"/>
    <mergeCell ref="A714:A720"/>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V435:AV439"/>
    <mergeCell ref="AJ477:AJ481"/>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M400:AM403"/>
    <mergeCell ref="A400:A404"/>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D13:D18"/>
    <mergeCell ref="AM115:AM119"/>
    <mergeCell ref="J175:J180"/>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K794:K797"/>
    <mergeCell ref="P413:P416"/>
    <mergeCell ref="T817:T820"/>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AB310:AB315"/>
    <mergeCell ref="J331:J337"/>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AN49:AN53"/>
    <mergeCell ref="I248:I253"/>
    <mergeCell ref="F809:F813"/>
    <mergeCell ref="B835:C835"/>
    <mergeCell ref="B829:C829"/>
    <mergeCell ref="E85:E90"/>
    <mergeCell ref="AA199:AA203"/>
    <mergeCell ref="AN260:AN264"/>
    <mergeCell ref="AK345:AK350"/>
    <mergeCell ref="AV615:AV619"/>
    <mergeCell ref="J615:J620"/>
    <mergeCell ref="F211:F216"/>
    <mergeCell ref="I676:I681"/>
    <mergeCell ref="AG513:AG517"/>
    <mergeCell ref="AH91:AH95"/>
    <mergeCell ref="AM749:AM754"/>
    <mergeCell ref="AK223:AK227"/>
    <mergeCell ref="AA395:AA398"/>
    <mergeCell ref="AS447:AS451"/>
    <mergeCell ref="A621:A626"/>
    <mergeCell ref="AH385:AH388"/>
    <mergeCell ref="F763:F769"/>
    <mergeCell ref="Z254:Z258"/>
    <mergeCell ref="S889:S892"/>
    <mergeCell ref="AA103:AA107"/>
    <mergeCell ref="Z248:Z252"/>
    <mergeCell ref="AB317:AB322"/>
    <mergeCell ref="AM742:AM747"/>
    <mergeCell ref="B830:C830"/>
    <mergeCell ref="D19:D24"/>
    <mergeCell ref="AB441:AB445"/>
    <mergeCell ref="E109:E114"/>
    <mergeCell ref="AC290:AC294"/>
    <mergeCell ref="J43:J48"/>
    <mergeCell ref="Z465:Z469"/>
    <mergeCell ref="AB223:AB227"/>
    <mergeCell ref="J489:J494"/>
    <mergeCell ref="E145:E150"/>
    <mergeCell ref="W413:W416"/>
    <mergeCell ref="K640:K644"/>
    <mergeCell ref="E139:E144"/>
    <mergeCell ref="O785:O788"/>
    <mergeCell ref="J700:J705"/>
    <mergeCell ref="AM615:AM619"/>
    <mergeCell ref="AJ157:AJ161"/>
    <mergeCell ref="AJ151:AJ155"/>
    <mergeCell ref="AM193:AM197"/>
    <mergeCell ref="AA217:AA221"/>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Z151:Z155"/>
    <mergeCell ref="K366:K371"/>
    <mergeCell ref="AA543:AA547"/>
    <mergeCell ref="AR435:AR439"/>
    <mergeCell ref="B193:C198"/>
    <mergeCell ref="AK236:AK240"/>
    <mergeCell ref="AF477:AF481"/>
    <mergeCell ref="A809:A813"/>
    <mergeCell ref="H817:H820"/>
    <mergeCell ref="AR555:AR559"/>
    <mergeCell ref="E585:E590"/>
    <mergeCell ref="AE67:AE71"/>
    <mergeCell ref="AB242:AB246"/>
    <mergeCell ref="AQ789:AQ792"/>
    <mergeCell ref="AJ597:AJ601"/>
    <mergeCell ref="E789:E793"/>
    <mergeCell ref="AD429:AD433"/>
    <mergeCell ref="I109:I114"/>
    <mergeCell ref="W573:W578"/>
    <mergeCell ref="G352:G358"/>
    <mergeCell ref="AI400:AI403"/>
    <mergeCell ref="E193:E198"/>
    <mergeCell ref="N413:N416"/>
    <mergeCell ref="B570:C570"/>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E400:E404"/>
    <mergeCell ref="D585:D590"/>
    <mergeCell ref="AD67:AD71"/>
    <mergeCell ref="AL640:AL644"/>
    <mergeCell ref="G818:G820"/>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M9:AM12"/>
    <mergeCell ref="AD97:AD101"/>
    <mergeCell ref="AI223:AI227"/>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AJ260:AJ264"/>
    <mergeCell ref="B390:C394"/>
    <mergeCell ref="E676:E681"/>
    <mergeCell ref="J804:J808"/>
    <mergeCell ref="AV471:AV475"/>
    <mergeCell ref="J471:J476"/>
    <mergeCell ref="AD91:AD95"/>
    <mergeCell ref="G13:G18"/>
    <mergeCell ref="AK37:AK41"/>
    <mergeCell ref="I324:I330"/>
    <mergeCell ref="AD385:AD388"/>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G151:G156"/>
    <mergeCell ref="AE230:AE234"/>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AN151:AN155"/>
    <mergeCell ref="E489:E494"/>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AM230:AM234"/>
    <mergeCell ref="E61:E66"/>
    <mergeCell ref="H429:H4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D109:D114"/>
    <mergeCell ref="S381:S38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B841:C841"/>
    <mergeCell ref="AK91:AK95"/>
    <mergeCell ref="H573:H578"/>
    <mergeCell ref="B373:C373"/>
    <mergeCell ref="K804:K807"/>
    <mergeCell ref="AM278:AM282"/>
    <mergeCell ref="A278:A283"/>
    <mergeCell ref="G49:G54"/>
    <mergeCell ref="AK385:AK388"/>
    <mergeCell ref="AC254:AC258"/>
    <mergeCell ref="AJ453:AJ457"/>
    <mergeCell ref="K471:K475"/>
    <mergeCell ref="AE317:AE322"/>
    <mergeCell ref="AL809:AL812"/>
    <mergeCell ref="AW603:AW607"/>
    <mergeCell ref="AC465:AC469"/>
    <mergeCell ref="G303:G309"/>
    <mergeCell ref="Z97:Z101"/>
    <mergeCell ref="AE223:AE227"/>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AD242:AD246"/>
    <mergeCell ref="AD217:AD221"/>
    <mergeCell ref="AL519:AL523"/>
    <mergeCell ref="AG585:AG589"/>
    <mergeCell ref="B846:C846"/>
    <mergeCell ref="AH682:AH686"/>
    <mergeCell ref="A609:A614"/>
    <mergeCell ref="AL891:AL892"/>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F223:F228"/>
    <mergeCell ref="K324:K329"/>
    <mergeCell ref="AE345:AE350"/>
    <mergeCell ref="AK567:AK571"/>
    <mergeCell ref="I591:I596"/>
    <mergeCell ref="Z19:Z23"/>
    <mergeCell ref="A640:A645"/>
    <mergeCell ref="AE670:AE674"/>
    <mergeCell ref="AT794:AT797"/>
    <mergeCell ref="AL405:AL408"/>
    <mergeCell ref="H794:H798"/>
    <mergeCell ref="B849:C849"/>
    <mergeCell ref="AB627:AB631"/>
    <mergeCell ref="G395:G399"/>
    <mergeCell ref="AJ799:AJ802"/>
    <mergeCell ref="AL230:AL234"/>
    <mergeCell ref="AM79:AM83"/>
    <mergeCell ref="AV561:AV565"/>
    <mergeCell ref="H585:H590"/>
    <mergeCell ref="G890:G892"/>
    <mergeCell ref="AI73:AI77"/>
    <mergeCell ref="AE242:AE246"/>
    <mergeCell ref="Z477:Z481"/>
    <mergeCell ref="AE236:AE240"/>
    <mergeCell ref="A633:C633"/>
    <mergeCell ref="H789:H793"/>
    <mergeCell ref="K217:K221"/>
    <mergeCell ref="B303:C309"/>
    <mergeCell ref="D25:D30"/>
    <mergeCell ref="AI187:AI191"/>
    <mergeCell ref="B296:C301"/>
    <mergeCell ref="AG429:AG433"/>
    <mergeCell ref="AB331:AB336"/>
    <mergeCell ref="AB85:AB89"/>
    <mergeCell ref="I284:I289"/>
    <mergeCell ref="J133:J138"/>
    <mergeCell ref="J352:J358"/>
    <mergeCell ref="AG770:AG775"/>
    <mergeCell ref="I785:I788"/>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AA133:AA137"/>
    <mergeCell ref="H413:H416"/>
    <mergeCell ref="B860:C860"/>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K175:AK179"/>
    <mergeCell ref="A248:A253"/>
    <mergeCell ref="AQ501:AQ505"/>
    <mergeCell ref="W489:W494"/>
    <mergeCell ref="AL157:AL161"/>
    <mergeCell ref="AC345:AC350"/>
    <mergeCell ref="AF260:AF264"/>
    <mergeCell ref="H700:H705"/>
    <mergeCell ref="F181:F186"/>
    <mergeCell ref="AA459:AA463"/>
    <mergeCell ref="H115:H120"/>
    <mergeCell ref="AC217:AC221"/>
    <mergeCell ref="B317:C323"/>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AS794:AS797"/>
    <mergeCell ref="Z205:Z209"/>
    <mergeCell ref="G794:G798"/>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AT459:AT463"/>
    <mergeCell ref="F519:F524"/>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AS809:AS812"/>
    <mergeCell ref="AJ465:AJ469"/>
    <mergeCell ref="AL223:AL227"/>
    <mergeCell ref="G809:G813"/>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AE266:AE270"/>
    <mergeCell ref="L785:L788"/>
    <mergeCell ref="AB345:AB350"/>
    <mergeCell ref="AE260:AE264"/>
    <mergeCell ref="AM770:AM775"/>
    <mergeCell ref="E181:E186"/>
    <mergeCell ref="B858:C85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G405:G409"/>
    <mergeCell ref="AK603:AK607"/>
    <mergeCell ref="B817:C820"/>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Z310:Z315"/>
    <mergeCell ref="H331:H337"/>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AK324:AK329"/>
    <mergeCell ref="AF11:AF12"/>
    <mergeCell ref="D513:D518"/>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AL13:AL17"/>
    <mergeCell ref="AM49:AM53"/>
    <mergeCell ref="H248:H253"/>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AK676:AK680"/>
    <mergeCell ref="W555:W560"/>
    <mergeCell ref="AK670:AK674"/>
    <mergeCell ref="B260:C265"/>
    <mergeCell ref="B827:C827"/>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M55:AM59"/>
    <mergeCell ref="AB205:AB20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AK13:AK17"/>
    <mergeCell ref="AL49:AL53"/>
    <mergeCell ref="G248:G253"/>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AG809:AG812"/>
    <mergeCell ref="AR603:AR607"/>
    <mergeCell ref="B895:C895"/>
    <mergeCell ref="AB721:AB726"/>
    <mergeCell ref="AM501:AM505"/>
    <mergeCell ref="G272:G277"/>
    <mergeCell ref="AL400:AL403"/>
    <mergeCell ref="B471:C476"/>
    <mergeCell ref="AK615:AK619"/>
    <mergeCell ref="AH157:AH161"/>
    <mergeCell ref="I459:I464"/>
    <mergeCell ref="D115:D120"/>
    <mergeCell ref="AG519:AG523"/>
    <mergeCell ref="A405:A409"/>
    <mergeCell ref="AC682:AC686"/>
    <mergeCell ref="AJ390:AJ393"/>
    <mergeCell ref="AI11:AI12"/>
    <mergeCell ref="J435:J440"/>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G109:G114"/>
    <mergeCell ref="F324:F330"/>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AH223:AH227"/>
    <mergeCell ref="J303:J309"/>
    <mergeCell ref="AC640:AC644"/>
    <mergeCell ref="I525:I530"/>
    <mergeCell ref="AG591:AG595"/>
    <mergeCell ref="J507:J512"/>
    <mergeCell ref="G489:G494"/>
    <mergeCell ref="B109:C114"/>
    <mergeCell ref="AG217:AG221"/>
    <mergeCell ref="D905:G905"/>
    <mergeCell ref="AD417:AD421"/>
    <mergeCell ref="AA49:AA53"/>
    <mergeCell ref="W567:W572"/>
    <mergeCell ref="AL501:AL505"/>
    <mergeCell ref="B564:C564"/>
    <mergeCell ref="AK400:AK403"/>
    <mergeCell ref="AI383:AI384"/>
    <mergeCell ref="AA266:AA270"/>
    <mergeCell ref="AA260:AA264"/>
    <mergeCell ref="H459:H464"/>
    <mergeCell ref="AN109:AN113"/>
    <mergeCell ref="A181:A186"/>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AG603:AG607"/>
    <mergeCell ref="W721:W727"/>
    <mergeCell ref="F817:G817"/>
    <mergeCell ref="AD145:AD149"/>
    <mergeCell ref="G67:G72"/>
    <mergeCell ref="J395:J399"/>
    <mergeCell ref="J429:J434"/>
    <mergeCell ref="G61:G66"/>
    <mergeCell ref="E756:E762"/>
    <mergeCell ref="AM799:AM802"/>
    <mergeCell ref="A799:A803"/>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K405:K408"/>
    <mergeCell ref="F597:F602"/>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B67:C72"/>
    <mergeCell ref="AG324:AG329"/>
    <mergeCell ref="J573:J578"/>
    <mergeCell ref="W640:W645"/>
    <mergeCell ref="E9:G9"/>
    <mergeCell ref="AJ55:AJ59"/>
    <mergeCell ref="I49:I54"/>
    <mergeCell ref="AM385:AM388"/>
    <mergeCell ref="AE254:AE258"/>
    <mergeCell ref="AN61:AN65"/>
    <mergeCell ref="AB97:AB101"/>
    <mergeCell ref="I303:I309"/>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AH199:AH203"/>
    <mergeCell ref="I181:I186"/>
    <mergeCell ref="H381:J381"/>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G352:AG357"/>
    <mergeCell ref="AL471:AL475"/>
    <mergeCell ref="AJ787:AJ788"/>
    <mergeCell ref="AL145:AL149"/>
    <mergeCell ref="A359:A365"/>
    <mergeCell ref="AE483:AE487"/>
    <mergeCell ref="AB115:AB119"/>
    <mergeCell ref="J163:J168"/>
    <mergeCell ref="J794:J798"/>
    <mergeCell ref="AK507:AK511"/>
    <mergeCell ref="AG676:AG680"/>
    <mergeCell ref="B537:C542"/>
    <mergeCell ref="AG670:AG674"/>
    <mergeCell ref="AN405:AN408"/>
    <mergeCell ref="AW441:AW445"/>
    <mergeCell ref="D735:D741"/>
    <mergeCell ref="F67:F72"/>
    <mergeCell ref="I395:I399"/>
    <mergeCell ref="AN230:AN234"/>
    <mergeCell ref="AD519:AD523"/>
    <mergeCell ref="G435:G440"/>
    <mergeCell ref="AA501:AA505"/>
    <mergeCell ref="AK79:AK83"/>
    <mergeCell ref="AK73:AK77"/>
    <mergeCell ref="AG242:AG246"/>
    <mergeCell ref="AQ573:AQ577"/>
    <mergeCell ref="K459:K463"/>
    <mergeCell ref="A266:A271"/>
    <mergeCell ref="F25:F30"/>
    <mergeCell ref="AI429:AI433"/>
    <mergeCell ref="A260:A265"/>
    <mergeCell ref="D603:D608"/>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Z121:Z125"/>
    <mergeCell ref="J242:J247"/>
    <mergeCell ref="B374:C374"/>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AA242:AA246"/>
    <mergeCell ref="H471:H476"/>
    <mergeCell ref="B609:C614"/>
    <mergeCell ref="B847:C847"/>
    <mergeCell ref="E13:E18"/>
    <mergeCell ref="AB385:AB388"/>
    <mergeCell ref="AF352:AF357"/>
    <mergeCell ref="AI787:AI788"/>
    <mergeCell ref="AC809:AC812"/>
    <mergeCell ref="A664:A669"/>
    <mergeCell ref="AK145:AK149"/>
    <mergeCell ref="I728:I734"/>
    <mergeCell ref="K531:K535"/>
    <mergeCell ref="AA115:AA119"/>
    <mergeCell ref="AI501:AI505"/>
    <mergeCell ref="Z447:Z451"/>
    <mergeCell ref="K525:K529"/>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AC405:AC408"/>
    <mergeCell ref="AN199:AN203"/>
    <mergeCell ref="J728:J734"/>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A187:AA191"/>
    <mergeCell ref="AD555:AD559"/>
    <mergeCell ref="AN248:AN252"/>
    <mergeCell ref="AN352:AN357"/>
    <mergeCell ref="AD400:AD403"/>
    <mergeCell ref="AJ579:AJ583"/>
    <mergeCell ref="AK770:AK775"/>
    <mergeCell ref="AV603:AV607"/>
    <mergeCell ref="AS804:AS807"/>
    <mergeCell ref="AB465:AB469"/>
    <mergeCell ref="AD223:AD227"/>
    <mergeCell ref="F303:F309"/>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AG400:AG403"/>
    <mergeCell ref="L413:L416"/>
    <mergeCell ref="AF615:AF619"/>
    <mergeCell ref="AC157:AC161"/>
    <mergeCell ref="AV627:AV631"/>
    <mergeCell ref="J627:J632"/>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AD278:AD282"/>
    <mergeCell ref="B844:C844"/>
    <mergeCell ref="Z145:Z149"/>
    <mergeCell ref="AM756:AM761"/>
    <mergeCell ref="B838:C838"/>
    <mergeCell ref="AK230:AK234"/>
    <mergeCell ref="F429:F434"/>
    <mergeCell ref="D338:D344"/>
    <mergeCell ref="I290:I295"/>
    <mergeCell ref="AJ163:AJ167"/>
    <mergeCell ref="AK441:AK445"/>
    <mergeCell ref="AH73:AH77"/>
    <mergeCell ref="Q413:Q416"/>
    <mergeCell ref="F890:F892"/>
    <mergeCell ref="AC175:AC179"/>
    <mergeCell ref="D157:D162"/>
    <mergeCell ref="AH400:AH403"/>
    <mergeCell ref="A603:A608"/>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G115:G120"/>
    <mergeCell ref="AB217:AB221"/>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C352:AC357"/>
    <mergeCell ref="AH471:AH475"/>
    <mergeCell ref="AA193:AA197"/>
    <mergeCell ref="AF787:AF788"/>
    <mergeCell ref="AJ664:AJ668"/>
    <mergeCell ref="I756:I762"/>
    <mergeCell ref="K597:K601"/>
    <mergeCell ref="H236:H241"/>
    <mergeCell ref="F163:F168"/>
    <mergeCell ref="AI567:AI571"/>
    <mergeCell ref="F794:F798"/>
    <mergeCell ref="AR794:AR797"/>
    <mergeCell ref="AJ405:AJ408"/>
    <mergeCell ref="AS441:AS445"/>
    <mergeCell ref="AQ525:AQ529"/>
    <mergeCell ref="E525:E530"/>
    <mergeCell ref="AM248:AM252"/>
    <mergeCell ref="AL735:AL740"/>
    <mergeCell ref="E395:E399"/>
    <mergeCell ref="AJ230:AJ234"/>
    <mergeCell ref="AT567:AT571"/>
    <mergeCell ref="B874:C874"/>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B700:C705"/>
    <mergeCell ref="AL296:AL300"/>
    <mergeCell ref="D127:D132"/>
    <mergeCell ref="AL303:AL308"/>
    <mergeCell ref="G495:G500"/>
    <mergeCell ref="AN359:AN364"/>
    <mergeCell ref="I688:I693"/>
    <mergeCell ref="Z786:AA786"/>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7:F713"/>
    <mergeCell ref="F700:F705"/>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B352:AB357"/>
    <mergeCell ref="F573:F578"/>
    <mergeCell ref="AE787:AE78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K303:AK308"/>
    <mergeCell ref="AM338:AM343"/>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I169:I174"/>
    <mergeCell ref="AH284:AH288"/>
    <mergeCell ref="AI133:AI137"/>
    <mergeCell ref="Z414:AB414"/>
    <mergeCell ref="H9:J9"/>
    <mergeCell ref="W597:W602"/>
    <mergeCell ref="AD819:AD820"/>
    <mergeCell ref="AN25:AN29"/>
    <mergeCell ref="B338:C344"/>
    <mergeCell ref="AA296:AA300"/>
    <mergeCell ref="AA303:AA308"/>
    <mergeCell ref="D579:D584"/>
    <mergeCell ref="AQ809:AQ812"/>
    <mergeCell ref="AM405:AM408"/>
    <mergeCell ref="AV441:AV445"/>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AC266:AC270"/>
    <mergeCell ref="AB417:AB421"/>
    <mergeCell ref="H714:H720"/>
    <mergeCell ref="J785:J788"/>
    <mergeCell ref="G382:G384"/>
    <mergeCell ref="AJ352:AJ357"/>
    <mergeCell ref="Z400:Z403"/>
    <mergeCell ref="E413:E416"/>
    <mergeCell ref="AJ127:AJ131"/>
    <mergeCell ref="AG390:AG393"/>
    <mergeCell ref="I495:I500"/>
    <mergeCell ref="E664:E669"/>
    <mergeCell ref="D597:D602"/>
    <mergeCell ref="AH483:AH487"/>
    <mergeCell ref="AL415:AL416"/>
    <mergeCell ref="AD359:AD364"/>
    <mergeCell ref="AI609:AI613"/>
    <mergeCell ref="B79:C84"/>
    <mergeCell ref="I67:I72"/>
    <mergeCell ref="G804:G808"/>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391" operator="containsText" dxfId="325" text="VERDE">
      <formula>NOT(ISERROR(SEARCH("VERDE",D229)))</formula>
    </cfRule>
    <cfRule type="containsText" priority="392" operator="containsText" dxfId="324" text="AMARILLO">
      <formula>NOT(ISERROR(SEARCH("AMARILLO",D229)))</formula>
    </cfRule>
    <cfRule type="containsText" priority="393" operator="containsText" dxfId="323" text="ROJO">
      <formula>NOT(ISERROR(SEARCH("ROJO",D229)))</formula>
    </cfRule>
  </conditionalFormatting>
  <conditionalFormatting sqref="D821:D856">
    <cfRule type="cellIs" priority="389" operator="lessThan" dxfId="0" stopIfTrue="1">
      <formula>0</formula>
    </cfRule>
  </conditionalFormatting>
  <conditionalFormatting sqref="D858:D869">
    <cfRule type="cellIs" priority="388" operator="lessThan" dxfId="0" stopIfTrue="1">
      <formula>0</formula>
    </cfRule>
  </conditionalFormatting>
  <conditionalFormatting sqref="D871:D888">
    <cfRule type="cellIs" priority="387" operator="lessThan" dxfId="0" stopIfTrue="1">
      <formula>0</formula>
    </cfRule>
  </conditionalFormatting>
  <conditionalFormatting sqref="D893:D894">
    <cfRule type="cellIs" priority="390" operator="lessThan" dxfId="0" stopIfTrue="1">
      <formula>0</formula>
    </cfRule>
  </conditionalFormatting>
  <conditionalFormatting sqref="D566">
    <cfRule type="cellIs" priority="386" operator="lessThan" dxfId="384" stopIfTrue="1">
      <formula>0</formula>
    </cfRule>
  </conditionalFormatting>
  <conditionalFormatting sqref="D572">
    <cfRule type="cellIs" priority="385" operator="lessThan" dxfId="384" stopIfTrue="1">
      <formula>0</formula>
    </cfRule>
  </conditionalFormatting>
  <conditionalFormatting sqref="D895:D897">
    <cfRule type="cellIs" priority="384" operator="lessThan" dxfId="0" stopIfTrue="1">
      <formula>0</formula>
    </cfRule>
  </conditionalFormatting>
  <conditionalFormatting sqref="E229 P410">
    <cfRule type="containsText" priority="376" operator="containsText" dxfId="325" text="VERDE">
      <formula>NOT(ISERROR(SEARCH("VERDE",E229)))</formula>
    </cfRule>
    <cfRule type="containsText" priority="377" operator="containsText" dxfId="324" text="AMARILLO">
      <formula>NOT(ISERROR(SEARCH("AMARILLO",E229)))</formula>
    </cfRule>
    <cfRule type="containsText" priority="378" operator="containsText" dxfId="323" text="ROJO">
      <formula>NOT(ISERROR(SEARCH("ROJO",E229)))</formula>
    </cfRule>
  </conditionalFormatting>
  <conditionalFormatting sqref="E821:I856">
    <cfRule type="cellIs" priority="253" operator="lessThan" dxfId="0" stopIfTrue="1">
      <formula>0</formula>
    </cfRule>
  </conditionalFormatting>
  <conditionalFormatting sqref="E858:I869">
    <cfRule type="cellIs" priority="252" operator="lessThan" dxfId="0" stopIfTrue="1">
      <formula>0</formula>
    </cfRule>
  </conditionalFormatting>
  <conditionalFormatting sqref="E871:I888">
    <cfRule type="cellIs" priority="251" operator="lessThan" dxfId="0" stopIfTrue="1">
      <formula>0</formula>
    </cfRule>
  </conditionalFormatting>
  <conditionalFormatting sqref="E893:I893 E894:G894 H894:I897">
    <cfRule type="cellIs" priority="369" operator="lessThan" dxfId="0" stopIfTrue="1">
      <formula>0</formula>
    </cfRule>
  </conditionalFormatting>
  <conditionalFormatting sqref="K13:K17">
    <cfRule type="cellIs" priority="379" operator="lessThan" dxfId="0" stopIfTrue="1">
      <formula>0</formula>
    </cfRule>
  </conditionalFormatting>
  <conditionalFormatting sqref="K303:K308 K777:K783">
    <cfRule type="cellIs" priority="365" operator="lessThan" dxfId="0" stopIfTrue="1">
      <formula>0</formula>
    </cfRule>
  </conditionalFormatting>
  <conditionalFormatting sqref="K309">
    <cfRule type="containsText" priority="375" operator="containsText" dxfId="8" text="Falso">
      <formula>NOT(ISERROR(SEARCH("Falso",K309)))</formula>
    </cfRule>
  </conditionalFormatting>
  <conditionalFormatting sqref="K373:K380">
    <cfRule type="cellIs" priority="372" operator="lessThan" dxfId="0" stopIfTrue="1">
      <formula>0</formula>
    </cfRule>
  </conditionalFormatting>
  <conditionalFormatting sqref="K385:K388">
    <cfRule type="cellIs" priority="380" operator="lessThan" dxfId="0" stopIfTrue="1">
      <formula>0</formula>
    </cfRule>
  </conditionalFormatting>
  <conditionalFormatting sqref="K389">
    <cfRule type="containsText" priority="381" operator="containsText" dxfId="8" text="Falso">
      <formula>NOT(ISERROR(SEARCH("Falso",K389)))</formula>
    </cfRule>
  </conditionalFormatting>
  <conditionalFormatting sqref="K394">
    <cfRule type="containsText" priority="371" operator="containsText" dxfId="8" text="Falso">
      <formula>NOT(ISERROR(SEARCH("Falso",K394)))</formula>
    </cfRule>
  </conditionalFormatting>
  <conditionalFormatting sqref="K399 K404 K409">
    <cfRule type="containsText" priority="370" operator="containsText" dxfId="8" text="Falso">
      <formula>NOT(ISERROR(SEARCH("Falso",K399)))</formula>
    </cfRule>
  </conditionalFormatting>
  <conditionalFormatting sqref="K714:K719 K721:K726">
    <cfRule type="cellIs" priority="273" operator="lessThan" dxfId="0" stopIfTrue="1">
      <formula>0</formula>
    </cfRule>
  </conditionalFormatting>
  <conditionalFormatting sqref="K634:K638">
    <cfRule type="cellIs" priority="279" operator="lessThan" dxfId="0" stopIfTrue="1">
      <formula>0</formula>
    </cfRule>
  </conditionalFormatting>
  <conditionalFormatting sqref="K749:K754 K756:K761">
    <cfRule type="cellIs" priority="271" operator="lessThan" dxfId="0" stopIfTrue="1">
      <formula>0</formula>
    </cfRule>
  </conditionalFormatting>
  <conditionalFormatting sqref="K763:K768">
    <cfRule type="cellIs" priority="270" operator="lessThan" dxfId="0" stopIfTrue="1">
      <formula>0</formula>
    </cfRule>
  </conditionalFormatting>
  <conditionalFormatting sqref="K770:K775">
    <cfRule type="cellIs" priority="269" operator="lessThan" dxfId="0" stopIfTrue="1">
      <formula>0</formula>
    </cfRule>
  </conditionalFormatting>
  <conditionalFormatting sqref="K707:K712">
    <cfRule type="cellIs" priority="278" operator="lessThan" dxfId="0" stopIfTrue="1">
      <formula>0</formula>
    </cfRule>
  </conditionalFormatting>
  <conditionalFormatting sqref="K728:K733 K735:K740 K742:K747">
    <cfRule type="cellIs" priority="272" operator="lessThan" dxfId="0" stopIfTrue="1">
      <formula>0</formula>
    </cfRule>
  </conditionalFormatting>
  <conditionalFormatting sqref="K821:K856 M821:O856">
    <cfRule type="cellIs" priority="250" operator="lessThan" dxfId="0" stopIfTrue="1">
      <formula>0</formula>
    </cfRule>
  </conditionalFormatting>
  <conditionalFormatting sqref="K858:K869 M858:N869">
    <cfRule type="cellIs" priority="249" operator="lessThan" dxfId="0" stopIfTrue="1">
      <formula>0</formula>
    </cfRule>
  </conditionalFormatting>
  <conditionalFormatting sqref="K871:K888 M871:N887 M888:O888">
    <cfRule type="cellIs" priority="248" operator="lessThan" dxfId="0" stopIfTrue="1">
      <formula>0</formula>
    </cfRule>
  </conditionalFormatting>
  <conditionalFormatting sqref="K893:K894 M893:N894">
    <cfRule type="cellIs" priority="247" operator="lessThan" dxfId="0" stopIfTrue="1">
      <formula>0</formula>
    </cfRule>
  </conditionalFormatting>
  <conditionalFormatting sqref="P13:P17 P303:P308">
    <cfRule type="containsText" priority="361" operator="containsText" dxfId="131" text="VENCIDO">
      <formula>NOT(ISERROR(SEARCH("VENCIDO",P13)))</formula>
    </cfRule>
    <cfRule type="containsText" priority="362" operator="containsText" dxfId="130" text="VERDE">
      <formula>NOT(ISERROR(SEARCH("VERDE",P13)))</formula>
    </cfRule>
    <cfRule type="containsText" priority="363" operator="containsText" dxfId="129" stopIfTrue="1" text="AMARILLO">
      <formula>NOT(ISERROR(SEARCH("AMARILLO",P13)))</formula>
    </cfRule>
    <cfRule type="containsText" priority="364" operator="containsText" dxfId="128" text="ROJO">
      <formula>NOT(ISERROR(SEARCH("ROJO",P13)))</formula>
    </cfRule>
  </conditionalFormatting>
  <conditionalFormatting sqref="P373:P379">
    <cfRule type="containsText" priority="357" operator="containsText" dxfId="131" text="VENCIDO">
      <formula>NOT(ISERROR(SEARCH("VENCIDO",P373)))</formula>
    </cfRule>
    <cfRule type="containsText" priority="358" operator="containsText" dxfId="130" text="VERDE">
      <formula>NOT(ISERROR(SEARCH("VERDE",P373)))</formula>
    </cfRule>
    <cfRule type="containsText" priority="359" operator="containsText" dxfId="129" stopIfTrue="1" text="AMARILLO">
      <formula>NOT(ISERROR(SEARCH("AMARILLO",P373)))</formula>
    </cfRule>
    <cfRule type="containsText" priority="360" operator="containsText" dxfId="128" text="ROJO">
      <formula>NOT(ISERROR(SEARCH("ROJO",P373)))</formula>
    </cfRule>
  </conditionalFormatting>
  <conditionalFormatting sqref="P385:P388">
    <cfRule type="containsText" priority="353" operator="containsText" dxfId="131" text="VENCIDO">
      <formula>NOT(ISERROR(SEARCH("VENCIDO",P385)))</formula>
    </cfRule>
    <cfRule type="containsText" priority="354" operator="containsText" dxfId="130" text="VERDE">
      <formula>NOT(ISERROR(SEARCH("VERDE",P385)))</formula>
    </cfRule>
    <cfRule type="containsText" priority="355" operator="containsText" dxfId="129" stopIfTrue="1" text="AMARILLO">
      <formula>NOT(ISERROR(SEARCH("AMARILLO",P385)))</formula>
    </cfRule>
    <cfRule type="containsText" priority="356" operator="containsText" dxfId="128" text="ROJO">
      <formula>NOT(ISERROR(SEARCH("ROJO",P385)))</formula>
    </cfRule>
  </conditionalFormatting>
  <conditionalFormatting sqref="P417:P421">
    <cfRule type="containsText" priority="346" operator="containsText" dxfId="131" text="VENCIDO">
      <formula>NOT(ISERROR(SEARCH("VENCIDO",P417)))</formula>
    </cfRule>
    <cfRule type="containsText" priority="347" operator="containsText" dxfId="130" text="VERDE">
      <formula>NOT(ISERROR(SEARCH("VERDE",P417)))</formula>
    </cfRule>
    <cfRule type="containsText" priority="348" operator="containsText" dxfId="129" stopIfTrue="1" text="AMARILLO">
      <formula>NOT(ISERROR(SEARCH("AMARILLO",P417)))</formula>
    </cfRule>
    <cfRule type="containsText" priority="349" operator="containsText" dxfId="128" text="ROJO">
      <formula>NOT(ISERROR(SEARCH("ROJO",P417)))</formula>
    </cfRule>
  </conditionalFormatting>
  <conditionalFormatting sqref="P561:P565">
    <cfRule type="containsText" priority="342" operator="containsText" dxfId="131" text="VENCIDO">
      <formula>NOT(ISERROR(SEARCH("VENCIDO",P561)))</formula>
    </cfRule>
    <cfRule type="containsText" priority="343" operator="containsText" dxfId="130" text="VERDE">
      <formula>NOT(ISERROR(SEARCH("VERDE",P561)))</formula>
    </cfRule>
    <cfRule type="containsText" priority="344" operator="containsText" dxfId="129" stopIfTrue="1" text="AMARILLO">
      <formula>NOT(ISERROR(SEARCH("AMARILLO",P561)))</formula>
    </cfRule>
    <cfRule type="containsText" priority="345" operator="containsText" dxfId="128" text="ROJO">
      <formula>NOT(ISERROR(SEARCH("ROJO",P561)))</formula>
    </cfRule>
  </conditionalFormatting>
  <conditionalFormatting sqref="P707:P712">
    <cfRule type="containsText" priority="274" operator="containsText" dxfId="131" text="VENCIDO">
      <formula>NOT(ISERROR(SEARCH("VENCIDO",P707)))</formula>
    </cfRule>
    <cfRule type="containsText" priority="275" operator="containsText" dxfId="130" text="VERDE">
      <formula>NOT(ISERROR(SEARCH("VERDE",P707)))</formula>
    </cfRule>
    <cfRule type="containsText" priority="276" operator="containsText" dxfId="129" stopIfTrue="1" text="AMARILLO">
      <formula>NOT(ISERROR(SEARCH("AMARILLO",P707)))</formula>
    </cfRule>
    <cfRule type="containsText" priority="277" operator="containsText" dxfId="128" text="ROJO">
      <formula>NOT(ISERROR(SEARCH("ROJO",P707)))</formula>
    </cfRule>
  </conditionalFormatting>
  <conditionalFormatting sqref="P777:P783">
    <cfRule type="containsText" priority="265" operator="containsText" dxfId="131" text="VENCIDO">
      <formula>NOT(ISERROR(SEARCH("VENCIDO",P777)))</formula>
    </cfRule>
    <cfRule type="containsText" priority="266" operator="containsText" dxfId="130" text="VERDE">
      <formula>NOT(ISERROR(SEARCH("VERDE",P777)))</formula>
    </cfRule>
    <cfRule type="containsText" priority="267" operator="containsText" dxfId="129" stopIfTrue="1" text="AMARILLO">
      <formula>NOT(ISERROR(SEARCH("AMARILLO",P777)))</formula>
    </cfRule>
    <cfRule type="containsText" priority="268" operator="containsText" dxfId="128" text="ROJO">
      <formula>NOT(ISERROR(SEARCH("ROJO",P777)))</formula>
    </cfRule>
  </conditionalFormatting>
  <conditionalFormatting sqref="Q833:Q848">
    <cfRule type="containsText" priority="259" operator="containsText" dxfId="325" text="VERDE">
      <formula>NOT(ISERROR(SEARCH("VERDE",Q833)))</formula>
    </cfRule>
    <cfRule type="containsText" priority="260" operator="containsText" dxfId="324" text="AMARILLO">
      <formula>NOT(ISERROR(SEARCH("AMARILLO",Q833)))</formula>
    </cfRule>
    <cfRule type="containsText" priority="261" operator="containsText" dxfId="323" text="ROJO">
      <formula>NOT(ISERROR(SEARCH("ROJO",Q833)))</formula>
    </cfRule>
  </conditionalFormatting>
  <conditionalFormatting sqref="Q821:R832">
    <cfRule type="containsText" priority="350" operator="containsText" dxfId="325" text="VERDE">
      <formula>NOT(ISERROR(SEARCH("VERDE",Q821)))</formula>
    </cfRule>
    <cfRule type="containsText" priority="351" operator="containsText" dxfId="324" text="AMARILLO">
      <formula>NOT(ISERROR(SEARCH("AMARILLO",Q821)))</formula>
    </cfRule>
    <cfRule type="containsText" priority="352" operator="containsText" dxfId="323" text="ROJO">
      <formula>NOT(ISERROR(SEARCH("ROJO",Q821)))</formula>
    </cfRule>
  </conditionalFormatting>
  <conditionalFormatting sqref="AO821:AO827 AO838:AO860 AO868:AO871 AO873 AO875:AO887">
    <cfRule type="expression" priority="366" dxfId="314">
      <formula>$AO821&lt;&gt;#REF!</formula>
    </cfRule>
  </conditionalFormatting>
  <conditionalFormatting sqref="AO828:AO835">
    <cfRule type="expression" priority="382" dxfId="314">
      <formula>$AO828&lt;&gt;#REF!</formula>
    </cfRule>
  </conditionalFormatting>
  <conditionalFormatting sqref="AO836:AO837">
    <cfRule type="expression" priority="264" dxfId="314">
      <formula>$AO836&lt;&gt;#REF!</formula>
    </cfRule>
  </conditionalFormatting>
  <conditionalFormatting sqref="AO861">
    <cfRule type="expression" priority="258" dxfId="314">
      <formula>$AO861&lt;&gt;#REF!</formula>
    </cfRule>
  </conditionalFormatting>
  <conditionalFormatting sqref="AO862:AO866">
    <cfRule type="expression" priority="257" dxfId="314">
      <formula>$AO862&lt;&gt;#REF!</formula>
    </cfRule>
  </conditionalFormatting>
  <conditionalFormatting sqref="AO867">
    <cfRule type="expression" priority="256" dxfId="314">
      <formula>$AO867&lt;&gt;#REF!</formula>
    </cfRule>
  </conditionalFormatting>
  <conditionalFormatting sqref="AO872">
    <cfRule type="expression" priority="255" dxfId="314">
      <formula>$AO872&lt;&gt;#REF!</formula>
    </cfRule>
  </conditionalFormatting>
  <conditionalFormatting sqref="AO874">
    <cfRule type="expression" priority="254" dxfId="314">
      <formula>$AO874&lt;&gt;#REF!</formula>
    </cfRule>
  </conditionalFormatting>
  <conditionalFormatting sqref="AO888">
    <cfRule type="expression" priority="383" dxfId="314">
      <formula>$AO888&lt;&gt;$L888</formula>
    </cfRule>
  </conditionalFormatting>
  <conditionalFormatting sqref="AS417">
    <cfRule type="cellIs" priority="368" operator="greaterThan" dxfId="8">
      <formula>1</formula>
    </cfRule>
  </conditionalFormatting>
  <conditionalFormatting sqref="AS423">
    <cfRule type="cellIs" priority="341" operator="greaterThan" dxfId="8">
      <formula>1</formula>
    </cfRule>
  </conditionalFormatting>
  <conditionalFormatting sqref="AS429">
    <cfRule type="cellIs" priority="339" operator="greaterThan" dxfId="8">
      <formula>1</formula>
    </cfRule>
  </conditionalFormatting>
  <conditionalFormatting sqref="AS435">
    <cfRule type="cellIs" priority="337" operator="greaterThan" dxfId="8">
      <formula>1</formula>
    </cfRule>
  </conditionalFormatting>
  <conditionalFormatting sqref="AS441">
    <cfRule type="cellIs" priority="335" operator="greaterThan" dxfId="8">
      <formula>1</formula>
    </cfRule>
  </conditionalFormatting>
  <conditionalFormatting sqref="AS447">
    <cfRule type="cellIs" priority="333" operator="greaterThan" dxfId="8">
      <formula>1</formula>
    </cfRule>
  </conditionalFormatting>
  <conditionalFormatting sqref="AS453">
    <cfRule type="cellIs" priority="331" operator="greaterThan" dxfId="8">
      <formula>1</formula>
    </cfRule>
  </conditionalFormatting>
  <conditionalFormatting sqref="AS459">
    <cfRule type="cellIs" priority="329" operator="greaterThan" dxfId="8">
      <formula>1</formula>
    </cfRule>
  </conditionalFormatting>
  <conditionalFormatting sqref="AS465">
    <cfRule type="cellIs" priority="327" operator="greaterThan" dxfId="8">
      <formula>1</formula>
    </cfRule>
  </conditionalFormatting>
  <conditionalFormatting sqref="AS471">
    <cfRule type="cellIs" priority="325" operator="greaterThan" dxfId="8">
      <formula>1</formula>
    </cfRule>
  </conditionalFormatting>
  <conditionalFormatting sqref="AS477">
    <cfRule type="cellIs" priority="323" operator="greaterThan" dxfId="8">
      <formula>1</formula>
    </cfRule>
  </conditionalFormatting>
  <conditionalFormatting sqref="AS483">
    <cfRule type="cellIs" priority="321" operator="greaterThan" dxfId="8">
      <formula>1</formula>
    </cfRule>
  </conditionalFormatting>
  <conditionalFormatting sqref="AS489">
    <cfRule type="cellIs" priority="319" operator="greaterThan" dxfId="8">
      <formula>1</formula>
    </cfRule>
  </conditionalFormatting>
  <conditionalFormatting sqref="AS495">
    <cfRule type="cellIs" priority="317" operator="greaterThan" dxfId="8">
      <formula>1</formula>
    </cfRule>
  </conditionalFormatting>
  <conditionalFormatting sqref="AS501">
    <cfRule type="cellIs" priority="315" operator="greaterThan" dxfId="8">
      <formula>1</formula>
    </cfRule>
  </conditionalFormatting>
  <conditionalFormatting sqref="AS507">
    <cfRule type="cellIs" priority="313" operator="greaterThan" dxfId="8">
      <formula>1</formula>
    </cfRule>
  </conditionalFormatting>
  <conditionalFormatting sqref="AS513">
    <cfRule type="cellIs" priority="311" operator="greaterThan" dxfId="8">
      <formula>1</formula>
    </cfRule>
  </conditionalFormatting>
  <conditionalFormatting sqref="AS519">
    <cfRule type="cellIs" priority="309" operator="greaterThan" dxfId="8">
      <formula>1</formula>
    </cfRule>
  </conditionalFormatting>
  <conditionalFormatting sqref="AS525">
    <cfRule type="cellIs" priority="307" operator="greaterThan" dxfId="8">
      <formula>1</formula>
    </cfRule>
  </conditionalFormatting>
  <conditionalFormatting sqref="AS531">
    <cfRule type="cellIs" priority="305" operator="greaterThan" dxfId="8">
      <formula>1</formula>
    </cfRule>
  </conditionalFormatting>
  <conditionalFormatting sqref="AS537">
    <cfRule type="cellIs" priority="303" operator="greaterThan" dxfId="8">
      <formula>1</formula>
    </cfRule>
  </conditionalFormatting>
  <conditionalFormatting sqref="AS543">
    <cfRule type="cellIs" priority="301" operator="greaterThan" dxfId="8">
      <formula>1</formula>
    </cfRule>
  </conditionalFormatting>
  <conditionalFormatting sqref="AS549">
    <cfRule type="cellIs" priority="299" operator="greaterThan" dxfId="8">
      <formula>1</formula>
    </cfRule>
  </conditionalFormatting>
  <conditionalFormatting sqref="AS555">
    <cfRule type="cellIs" priority="297" operator="greaterThan" dxfId="8">
      <formula>1</formula>
    </cfRule>
  </conditionalFormatting>
  <conditionalFormatting sqref="AS561">
    <cfRule type="cellIs" priority="295" operator="greaterThan" dxfId="8">
      <formula>1</formula>
    </cfRule>
  </conditionalFormatting>
  <conditionalFormatting sqref="AS567">
    <cfRule type="cellIs" priority="293" operator="greaterThan" dxfId="8">
      <formula>1</formula>
    </cfRule>
  </conditionalFormatting>
  <conditionalFormatting sqref="AS573">
    <cfRule type="cellIs" priority="288" operator="greaterThan" dxfId="8">
      <formula>1</formula>
    </cfRule>
  </conditionalFormatting>
  <conditionalFormatting sqref="AS579">
    <cfRule type="cellIs" priority="290" operator="greaterThan" dxfId="8">
      <formula>1</formula>
    </cfRule>
  </conditionalFormatting>
  <conditionalFormatting sqref="AS585">
    <cfRule type="cellIs" priority="287" operator="greaterThan" dxfId="8">
      <formula>1</formula>
    </cfRule>
  </conditionalFormatting>
  <conditionalFormatting sqref="AS591">
    <cfRule type="cellIs" priority="285" operator="greaterThan" dxfId="8">
      <formula>1</formula>
    </cfRule>
  </conditionalFormatting>
  <conditionalFormatting sqref="AS597 AS603">
    <cfRule type="cellIs" priority="283" operator="greaterThan" dxfId="8">
      <formula>1</formula>
    </cfRule>
  </conditionalFormatting>
  <conditionalFormatting sqref="AS609 AS615 AS621 AS627">
    <cfRule type="cellIs" priority="281" operator="greaterThan" dxfId="8">
      <formula>1</formula>
    </cfRule>
  </conditionalFormatting>
  <conditionalFormatting sqref="AS780:AS787">
    <cfRule type="cellIs" priority="374" operator="greaterThan" dxfId="8">
      <formula>1</formula>
    </cfRule>
  </conditionalFormatting>
  <conditionalFormatting sqref="AS821:AS856">
    <cfRule type="cellIs" priority="263" operator="greaterThan" dxfId="8">
      <formula>1</formula>
    </cfRule>
  </conditionalFormatting>
  <conditionalFormatting sqref="AT417">
    <cfRule type="cellIs" priority="367" operator="greaterThan" dxfId="121">
      <formula>1</formula>
    </cfRule>
  </conditionalFormatting>
  <conditionalFormatting sqref="AT423">
    <cfRule type="cellIs" priority="340" operator="greaterThan" dxfId="121">
      <formula>1</formula>
    </cfRule>
  </conditionalFormatting>
  <conditionalFormatting sqref="AT429">
    <cfRule type="cellIs" priority="338" operator="greaterThan" dxfId="121">
      <formula>1</formula>
    </cfRule>
  </conditionalFormatting>
  <conditionalFormatting sqref="AT435">
    <cfRule type="cellIs" priority="336" operator="greaterThan" dxfId="121">
      <formula>1</formula>
    </cfRule>
  </conditionalFormatting>
  <conditionalFormatting sqref="AT441">
    <cfRule type="cellIs" priority="334" operator="greaterThan" dxfId="121">
      <formula>1</formula>
    </cfRule>
  </conditionalFormatting>
  <conditionalFormatting sqref="AT447">
    <cfRule type="cellIs" priority="332" operator="greaterThan" dxfId="121">
      <formula>1</formula>
    </cfRule>
  </conditionalFormatting>
  <conditionalFormatting sqref="AT453">
    <cfRule type="cellIs" priority="330" operator="greaterThan" dxfId="121">
      <formula>1</formula>
    </cfRule>
  </conditionalFormatting>
  <conditionalFormatting sqref="AT459">
    <cfRule type="cellIs" priority="328" operator="greaterThan" dxfId="121">
      <formula>1</formula>
    </cfRule>
  </conditionalFormatting>
  <conditionalFormatting sqref="AT465">
    <cfRule type="cellIs" priority="326" operator="greaterThan" dxfId="121">
      <formula>1</formula>
    </cfRule>
  </conditionalFormatting>
  <conditionalFormatting sqref="AT471">
    <cfRule type="cellIs" priority="324" operator="greaterThan" dxfId="121">
      <formula>1</formula>
    </cfRule>
  </conditionalFormatting>
  <conditionalFormatting sqref="AT477">
    <cfRule type="cellIs" priority="322" operator="greaterThan" dxfId="121">
      <formula>1</formula>
    </cfRule>
  </conditionalFormatting>
  <conditionalFormatting sqref="AT483">
    <cfRule type="cellIs" priority="320" operator="greaterThan" dxfId="121">
      <formula>1</formula>
    </cfRule>
  </conditionalFormatting>
  <conditionalFormatting sqref="AT489">
    <cfRule type="cellIs" priority="318" operator="greaterThan" dxfId="121">
      <formula>1</formula>
    </cfRule>
  </conditionalFormatting>
  <conditionalFormatting sqref="AT495">
    <cfRule type="cellIs" priority="316" operator="greaterThan" dxfId="121">
      <formula>1</formula>
    </cfRule>
  </conditionalFormatting>
  <conditionalFormatting sqref="AT501">
    <cfRule type="cellIs" priority="314" operator="greaterThan" dxfId="121">
      <formula>1</formula>
    </cfRule>
  </conditionalFormatting>
  <conditionalFormatting sqref="AT507">
    <cfRule type="cellIs" priority="312" operator="greaterThan" dxfId="121">
      <formula>1</formula>
    </cfRule>
  </conditionalFormatting>
  <conditionalFormatting sqref="AT513">
    <cfRule type="cellIs" priority="310" operator="greaterThan" dxfId="121">
      <formula>1</formula>
    </cfRule>
  </conditionalFormatting>
  <conditionalFormatting sqref="AT519">
    <cfRule type="cellIs" priority="308" operator="greaterThan" dxfId="121">
      <formula>1</formula>
    </cfRule>
  </conditionalFormatting>
  <conditionalFormatting sqref="AT525">
    <cfRule type="cellIs" priority="306" operator="greaterThan" dxfId="121">
      <formula>1</formula>
    </cfRule>
  </conditionalFormatting>
  <conditionalFormatting sqref="AT531">
    <cfRule type="cellIs" priority="304" operator="greaterThan" dxfId="121">
      <formula>1</formula>
    </cfRule>
  </conditionalFormatting>
  <conditionalFormatting sqref="AT537">
    <cfRule type="cellIs" priority="302" operator="greaterThan" dxfId="121">
      <formula>1</formula>
    </cfRule>
  </conditionalFormatting>
  <conditionalFormatting sqref="AT543">
    <cfRule type="cellIs" priority="300" operator="greaterThan" dxfId="121">
      <formula>1</formula>
    </cfRule>
  </conditionalFormatting>
  <conditionalFormatting sqref="AT549">
    <cfRule type="cellIs" priority="298" operator="greaterThan" dxfId="121">
      <formula>1</formula>
    </cfRule>
  </conditionalFormatting>
  <conditionalFormatting sqref="AT555">
    <cfRule type="cellIs" priority="296" operator="greaterThan" dxfId="121">
      <formula>1</formula>
    </cfRule>
  </conditionalFormatting>
  <conditionalFormatting sqref="AT561">
    <cfRule type="cellIs" priority="294" operator="greaterThan" dxfId="121">
      <formula>1</formula>
    </cfRule>
  </conditionalFormatting>
  <conditionalFormatting sqref="AT567">
    <cfRule type="cellIs" priority="292" operator="greaterThan" dxfId="121">
      <formula>1</formula>
    </cfRule>
  </conditionalFormatting>
  <conditionalFormatting sqref="AT573">
    <cfRule type="cellIs" priority="291" operator="greaterThan" dxfId="121">
      <formula>1</formula>
    </cfRule>
  </conditionalFormatting>
  <conditionalFormatting sqref="AT579">
    <cfRule type="cellIs" priority="289" operator="greaterThan" dxfId="121">
      <formula>1</formula>
    </cfRule>
  </conditionalFormatting>
  <conditionalFormatting sqref="AT585">
    <cfRule type="cellIs" priority="286" operator="greaterThan" dxfId="121">
      <formula>1</formula>
    </cfRule>
  </conditionalFormatting>
  <conditionalFormatting sqref="AT591">
    <cfRule type="cellIs" priority="284" operator="greaterThan" dxfId="121">
      <formula>1</formula>
    </cfRule>
  </conditionalFormatting>
  <conditionalFormatting sqref="AT597 AT603">
    <cfRule type="cellIs" priority="282" operator="greaterThan" dxfId="121">
      <formula>1</formula>
    </cfRule>
  </conditionalFormatting>
  <conditionalFormatting sqref="AT609 AT615 AT621 AT627">
    <cfRule type="cellIs" priority="280" operator="greaterThan" dxfId="121">
      <formula>1</formula>
    </cfRule>
  </conditionalFormatting>
  <conditionalFormatting sqref="AT780:AT787">
    <cfRule type="cellIs" priority="373" operator="greaterThan" dxfId="121">
      <formula>1</formula>
    </cfRule>
  </conditionalFormatting>
  <conditionalFormatting sqref="AT821:AT856">
    <cfRule type="cellIs" priority="262" operator="greaterThan" dxfId="121">
      <formula>1</formula>
    </cfRule>
  </conditionalFormatting>
  <conditionalFormatting sqref="K561:K565">
    <cfRule type="cellIs" priority="246" operator="lessThan" dxfId="0" stopIfTrue="1">
      <formula>0</formula>
    </cfRule>
  </conditionalFormatting>
  <conditionalFormatting sqref="K417:K421">
    <cfRule type="cellIs" priority="245" operator="lessThan" dxfId="0" stopIfTrue="1">
      <formula>0</formula>
    </cfRule>
  </conditionalFormatting>
  <conditionalFormatting sqref="K405:K408">
    <cfRule type="cellIs" priority="244" operator="lessThan" dxfId="0" stopIfTrue="1">
      <formula>0</formula>
    </cfRule>
  </conditionalFormatting>
  <conditionalFormatting sqref="K395:K398">
    <cfRule type="cellIs" priority="243" operator="lessThan" dxfId="0" stopIfTrue="1">
      <formula>0</formula>
    </cfRule>
  </conditionalFormatting>
  <conditionalFormatting sqref="K400:K403">
    <cfRule type="cellIs" priority="242" operator="lessThan" dxfId="0" stopIfTrue="1">
      <formula>0</formula>
    </cfRule>
  </conditionalFormatting>
  <conditionalFormatting sqref="K390:K393">
    <cfRule type="cellIs" priority="241" operator="lessThan" dxfId="0" stopIfTrue="1">
      <formula>0</formula>
    </cfRule>
  </conditionalFormatting>
  <conditionalFormatting sqref="P390:P393">
    <cfRule type="containsText" priority="237" operator="containsText" dxfId="131" text="VENCIDO">
      <formula>NOT(ISERROR(SEARCH("VENCIDO",P390)))</formula>
    </cfRule>
    <cfRule type="containsText" priority="238" operator="containsText" dxfId="130" text="VERDE">
      <formula>NOT(ISERROR(SEARCH("VERDE",P390)))</formula>
    </cfRule>
    <cfRule type="containsText" priority="239" operator="containsText" dxfId="129" stopIfTrue="1" text="AMARILLO">
      <formula>NOT(ISERROR(SEARCH("AMARILLO",P390)))</formula>
    </cfRule>
    <cfRule type="containsText" priority="240" operator="containsText" dxfId="128" text="ROJO">
      <formula>NOT(ISERROR(SEARCH("ROJO",P390)))</formula>
    </cfRule>
  </conditionalFormatting>
  <conditionalFormatting sqref="P395:P398">
    <cfRule type="containsText" priority="233" operator="containsText" dxfId="131" text="VENCIDO">
      <formula>NOT(ISERROR(SEARCH("VENCIDO",P395)))</formula>
    </cfRule>
    <cfRule type="containsText" priority="234" operator="containsText" dxfId="130" text="VERDE">
      <formula>NOT(ISERROR(SEARCH("VERDE",P395)))</formula>
    </cfRule>
    <cfRule type="containsText" priority="235" operator="containsText" dxfId="129" stopIfTrue="1" text="AMARILLO">
      <formula>NOT(ISERROR(SEARCH("AMARILLO",P395)))</formula>
    </cfRule>
    <cfRule type="containsText" priority="236" operator="containsText" dxfId="128" text="ROJO">
      <formula>NOT(ISERROR(SEARCH("ROJO",P395)))</formula>
    </cfRule>
  </conditionalFormatting>
  <conditionalFormatting sqref="P400:P403">
    <cfRule type="containsText" priority="229" operator="containsText" dxfId="131" text="VENCIDO">
      <formula>NOT(ISERROR(SEARCH("VENCIDO",P400)))</formula>
    </cfRule>
    <cfRule type="containsText" priority="230" operator="containsText" dxfId="130" text="VERDE">
      <formula>NOT(ISERROR(SEARCH("VERDE",P400)))</formula>
    </cfRule>
    <cfRule type="containsText" priority="231" operator="containsText" dxfId="129" stopIfTrue="1" text="AMARILLO">
      <formula>NOT(ISERROR(SEARCH("AMARILLO",P400)))</formula>
    </cfRule>
    <cfRule type="containsText" priority="232" operator="containsText" dxfId="128" text="ROJO">
      <formula>NOT(ISERROR(SEARCH("ROJO",P400)))</formula>
    </cfRule>
  </conditionalFormatting>
  <conditionalFormatting sqref="P405:P408">
    <cfRule type="containsText" priority="225" operator="containsText" dxfId="131" text="VENCIDO">
      <formula>NOT(ISERROR(SEARCH("VENCIDO",P405)))</formula>
    </cfRule>
    <cfRule type="containsText" priority="226" operator="containsText" dxfId="130" text="VERDE">
      <formula>NOT(ISERROR(SEARCH("VERDE",P405)))</formula>
    </cfRule>
    <cfRule type="containsText" priority="227" operator="containsText" dxfId="129" stopIfTrue="1" text="AMARILLO">
      <formula>NOT(ISERROR(SEARCH("AMARILLO",P405)))</formula>
    </cfRule>
    <cfRule type="containsText" priority="228" operator="containsText" dxfId="128" text="ROJO">
      <formula>NOT(ISERROR(SEARCH("ROJO",P405)))</formula>
    </cfRule>
  </conditionalFormatting>
  <conditionalFormatting sqref="K640:K644 K646:K650 K652:K656 K658:K662 K664:K668 K670:K674 K676:K680 K682:K686 K688:K692 K694:K698 K700:K704">
    <cfRule type="cellIs" priority="181"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24"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20" operator="containsText" dxfId="131" text="VENCIDO">
      <formula>NOT(ISERROR(SEARCH("VENCIDO",P19)))</formula>
    </cfRule>
    <cfRule type="containsText" priority="221" operator="containsText" dxfId="130" text="VERDE">
      <formula>NOT(ISERROR(SEARCH("VERDE",P19)))</formula>
    </cfRule>
    <cfRule type="containsText" priority="222" operator="containsText" dxfId="129" stopIfTrue="1" text="AMARILLO">
      <formula>NOT(ISERROR(SEARCH("AMARILLO",P19)))</formula>
    </cfRule>
    <cfRule type="containsText" priority="223" operator="containsText" dxfId="128" text="ROJO">
      <formula>NOT(ISERROR(SEARCH("ROJO",P19)))</formula>
    </cfRule>
  </conditionalFormatting>
  <conditionalFormatting sqref="K230:K234 K236:K240 K242:K246 K248:K252 K254:K258 K260:K264 K266:K270 K272:K276 K278:K282 K284:K288 K290:K294 K296:K300">
    <cfRule type="cellIs" priority="219" operator="lessThan" dxfId="0" stopIfTrue="1">
      <formula>0</formula>
    </cfRule>
  </conditionalFormatting>
  <conditionalFormatting sqref="P230:P234 P236:P240 P242:P246 P248:P252 P254:P258 P260:P264 P266:P270 P272:P276 P278:P282 P284:P288 P290:P294 P296:P300">
    <cfRule type="containsText" priority="215" operator="containsText" dxfId="131" text="VENCIDO">
      <formula>NOT(ISERROR(SEARCH("VENCIDO",P230)))</formula>
    </cfRule>
    <cfRule type="containsText" priority="216" operator="containsText" dxfId="130" text="VERDE">
      <formula>NOT(ISERROR(SEARCH("VERDE",P230)))</formula>
    </cfRule>
    <cfRule type="containsText" priority="217" operator="containsText" dxfId="129" stopIfTrue="1" text="AMARILLO">
      <formula>NOT(ISERROR(SEARCH("AMARILLO",P230)))</formula>
    </cfRule>
    <cfRule type="containsText" priority="218" operator="containsText" dxfId="128" text="ROJO">
      <formula>NOT(ISERROR(SEARCH("ROJO",P230)))</formula>
    </cfRule>
  </conditionalFormatting>
  <conditionalFormatting sqref="K316 K323 K330 K337 K344 K351 K358 K365 K372">
    <cfRule type="containsText" priority="214" operator="containsText" dxfId="8" text="Falso">
      <formula>NOT(ISERROR(SEARCH("Falso",K316)))</formula>
    </cfRule>
  </conditionalFormatting>
  <conditionalFormatting sqref="P310:P315 P317:P322 P324:P329 P331:P336 P338:P343 P345:P350 P352:P357 P359:P364 P366:P371">
    <cfRule type="containsText" priority="210" operator="containsText" dxfId="131" text="VENCIDO">
      <formula>NOT(ISERROR(SEARCH("VENCIDO",P310)))</formula>
    </cfRule>
    <cfRule type="containsText" priority="211" operator="containsText" dxfId="130" text="VERDE">
      <formula>NOT(ISERROR(SEARCH("VERDE",P310)))</formula>
    </cfRule>
    <cfRule type="containsText" priority="212" operator="containsText" dxfId="129" stopIfTrue="1" text="AMARILLO">
      <formula>NOT(ISERROR(SEARCH("AMARILLO",P310)))</formula>
    </cfRule>
    <cfRule type="containsText" priority="213" operator="containsText" dxfId="128" text="ROJO">
      <formula>NOT(ISERROR(SEARCH("ROJO",P310)))</formula>
    </cfRule>
  </conditionalFormatting>
  <conditionalFormatting sqref="K310:K315">
    <cfRule type="cellIs" priority="209" operator="lessThan" dxfId="0" stopIfTrue="1">
      <formula>0</formula>
    </cfRule>
  </conditionalFormatting>
  <conditionalFormatting sqref="K317:K322">
    <cfRule type="cellIs" priority="208" operator="lessThan" dxfId="0" stopIfTrue="1">
      <formula>0</formula>
    </cfRule>
  </conditionalFormatting>
  <conditionalFormatting sqref="K324:K329">
    <cfRule type="cellIs" priority="207" operator="lessThan" dxfId="0" stopIfTrue="1">
      <formula>0</formula>
    </cfRule>
  </conditionalFormatting>
  <conditionalFormatting sqref="K331:K336">
    <cfRule type="cellIs" priority="206" operator="lessThan" dxfId="0" stopIfTrue="1">
      <formula>0</formula>
    </cfRule>
  </conditionalFormatting>
  <conditionalFormatting sqref="K338:K343">
    <cfRule type="cellIs" priority="205" operator="lessThan" dxfId="0" stopIfTrue="1">
      <formula>0</formula>
    </cfRule>
  </conditionalFormatting>
  <conditionalFormatting sqref="K345:K350">
    <cfRule type="cellIs" priority="204" operator="lessThan" dxfId="0" stopIfTrue="1">
      <formula>0</formula>
    </cfRule>
  </conditionalFormatting>
  <conditionalFormatting sqref="K352:K357">
    <cfRule type="cellIs" priority="203" operator="lessThan" dxfId="0" stopIfTrue="1">
      <formula>0</formula>
    </cfRule>
  </conditionalFormatting>
  <conditionalFormatting sqref="K359:K364">
    <cfRule type="cellIs" priority="202" operator="lessThan" dxfId="0" stopIfTrue="1">
      <formula>0</formula>
    </cfRule>
  </conditionalFormatting>
  <conditionalFormatting sqref="K366:K371">
    <cfRule type="cellIs" priority="201"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197" operator="containsText" dxfId="131" text="VENCIDO">
      <formula>NOT(ISERROR(SEARCH("VENCIDO",P423)))</formula>
    </cfRule>
    <cfRule type="containsText" priority="198" operator="containsText" dxfId="130" text="VERDE">
      <formula>NOT(ISERROR(SEARCH("VERDE",P423)))</formula>
    </cfRule>
    <cfRule type="containsText" priority="199" operator="containsText" dxfId="129" stopIfTrue="1" text="AMARILLO">
      <formula>NOT(ISERROR(SEARCH("AMARILLO",P423)))</formula>
    </cfRule>
    <cfRule type="containsText" priority="200"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196" operator="lessThan" dxfId="0" stopIfTrue="1">
      <formula>0</formula>
    </cfRule>
  </conditionalFormatting>
  <conditionalFormatting sqref="P567:P571">
    <cfRule type="containsText" priority="192" operator="containsText" dxfId="131" text="VENCIDO">
      <formula>NOT(ISERROR(SEARCH("VENCIDO",P567)))</formula>
    </cfRule>
    <cfRule type="containsText" priority="193" operator="containsText" dxfId="130" text="VERDE">
      <formula>NOT(ISERROR(SEARCH("VERDE",P567)))</formula>
    </cfRule>
    <cfRule type="containsText" priority="194" operator="containsText" dxfId="129" stopIfTrue="1" text="AMARILLO">
      <formula>NOT(ISERROR(SEARCH("AMARILLO",P567)))</formula>
    </cfRule>
    <cfRule type="containsText" priority="195" operator="containsText" dxfId="128" text="ROJO">
      <formula>NOT(ISERROR(SEARCH("ROJO",P567)))</formula>
    </cfRule>
  </conditionalFormatting>
  <conditionalFormatting sqref="K567:K571">
    <cfRule type="cellIs" priority="191" operator="lessThan" dxfId="0" stopIfTrue="1">
      <formula>0</formula>
    </cfRule>
  </conditionalFormatting>
  <conditionalFormatting sqref="P573:P577 P579:P583 P585:P589 P591:P595 P597:P601 P603:P607 P609:P613 P615:P619 P621:P625 P627:P631">
    <cfRule type="containsText" priority="187" operator="containsText" dxfId="131" text="VENCIDO">
      <formula>NOT(ISERROR(SEARCH("VENCIDO",P573)))</formula>
    </cfRule>
    <cfRule type="containsText" priority="188" operator="containsText" dxfId="130" text="VERDE">
      <formula>NOT(ISERROR(SEARCH("VERDE",P573)))</formula>
    </cfRule>
    <cfRule type="containsText" priority="189" operator="containsText" dxfId="129" stopIfTrue="1" text="AMARILLO">
      <formula>NOT(ISERROR(SEARCH("AMARILLO",P573)))</formula>
    </cfRule>
    <cfRule type="containsText" priority="190" operator="containsText" dxfId="128" text="ROJO">
      <formula>NOT(ISERROR(SEARCH("ROJO",P573)))</formula>
    </cfRule>
  </conditionalFormatting>
  <conditionalFormatting sqref="K573:K577 K579:K583 K585:K589 K591:K595 K597:K601 K603:K607 K609:K613 K615:K619 K621:K625 K627:K631">
    <cfRule type="cellIs" priority="186" operator="lessThan" dxfId="0" stopIfTrue="1">
      <formula>0</formula>
    </cfRule>
  </conditionalFormatting>
  <conditionalFormatting sqref="P634:P638">
    <cfRule type="containsText" priority="182" operator="containsText" dxfId="131" text="VENCIDO">
      <formula>NOT(ISERROR(SEARCH("VENCIDO",P634)))</formula>
    </cfRule>
    <cfRule type="containsText" priority="183" operator="containsText" dxfId="130" text="VERDE">
      <formula>NOT(ISERROR(SEARCH("VERDE",P634)))</formula>
    </cfRule>
    <cfRule type="containsText" priority="184" operator="containsText" dxfId="129" stopIfTrue="1" text="AMARILLO">
      <formula>NOT(ISERROR(SEARCH("AMARILLO",P634)))</formula>
    </cfRule>
    <cfRule type="containsText" priority="185" operator="containsText" dxfId="128" text="ROJO">
      <formula>NOT(ISERROR(SEARCH("ROJO",P634)))</formula>
    </cfRule>
  </conditionalFormatting>
  <conditionalFormatting sqref="P640:P644 P646:P650 P652:P656 P658:P662 P664:P668 P670:P674 P676:P680 P682:P686 P688:P692 P694:P698 P700:P704">
    <cfRule type="containsText" priority="177" operator="containsText" dxfId="131" text="VENCIDO">
      <formula>NOT(ISERROR(SEARCH("VENCIDO",P640)))</formula>
    </cfRule>
    <cfRule type="containsText" priority="178" operator="containsText" dxfId="130" text="VERDE">
      <formula>NOT(ISERROR(SEARCH("VERDE",P640)))</formula>
    </cfRule>
    <cfRule type="containsText" priority="179" operator="containsText" dxfId="129" stopIfTrue="1" text="AMARILLO">
      <formula>NOT(ISERROR(SEARCH("AMARILLO",P640)))</formula>
    </cfRule>
    <cfRule type="containsText" priority="180" operator="containsText" dxfId="128" text="ROJO">
      <formula>NOT(ISERROR(SEARCH("ROJO",P640)))</formula>
    </cfRule>
  </conditionalFormatting>
  <conditionalFormatting sqref="P714:P719">
    <cfRule type="containsText" priority="173" operator="containsText" dxfId="131" text="VENCIDO">
      <formula>NOT(ISERROR(SEARCH("VENCIDO",P714)))</formula>
    </cfRule>
    <cfRule type="containsText" priority="174" operator="containsText" dxfId="130" text="VERDE">
      <formula>NOT(ISERROR(SEARCH("VERDE",P714)))</formula>
    </cfRule>
    <cfRule type="containsText" priority="175" operator="containsText" dxfId="129" stopIfTrue="1" text="AMARILLO">
      <formula>NOT(ISERROR(SEARCH("AMARILLO",P714)))</formula>
    </cfRule>
    <cfRule type="containsText" priority="176" operator="containsText" dxfId="128" text="ROJO">
      <formula>NOT(ISERROR(SEARCH("ROJO",P714)))</formula>
    </cfRule>
  </conditionalFormatting>
  <conditionalFormatting sqref="P721:P726">
    <cfRule type="containsText" priority="169" operator="containsText" dxfId="131" text="VENCIDO">
      <formula>NOT(ISERROR(SEARCH("VENCIDO",P721)))</formula>
    </cfRule>
    <cfRule type="containsText" priority="170" operator="containsText" dxfId="130" text="VERDE">
      <formula>NOT(ISERROR(SEARCH("VERDE",P721)))</formula>
    </cfRule>
    <cfRule type="containsText" priority="171" operator="containsText" dxfId="129" stopIfTrue="1" text="AMARILLO">
      <formula>NOT(ISERROR(SEARCH("AMARILLO",P721)))</formula>
    </cfRule>
    <cfRule type="containsText" priority="172" operator="containsText" dxfId="128" text="ROJO">
      <formula>NOT(ISERROR(SEARCH("ROJO",P721)))</formula>
    </cfRule>
  </conditionalFormatting>
  <conditionalFormatting sqref="P728:P733">
    <cfRule type="containsText" priority="165" operator="containsText" dxfId="131" text="VENCIDO">
      <formula>NOT(ISERROR(SEARCH("VENCIDO",P728)))</formula>
    </cfRule>
    <cfRule type="containsText" priority="166" operator="containsText" dxfId="130" text="VERDE">
      <formula>NOT(ISERROR(SEARCH("VERDE",P728)))</formula>
    </cfRule>
    <cfRule type="containsText" priority="167" operator="containsText" dxfId="129" stopIfTrue="1" text="AMARILLO">
      <formula>NOT(ISERROR(SEARCH("AMARILLO",P728)))</formula>
    </cfRule>
    <cfRule type="containsText" priority="168" operator="containsText" dxfId="128" text="ROJO">
      <formula>NOT(ISERROR(SEARCH("ROJO",P728)))</formula>
    </cfRule>
  </conditionalFormatting>
  <conditionalFormatting sqref="P735:P740">
    <cfRule type="containsText" priority="161" operator="containsText" dxfId="131" text="VENCIDO">
      <formula>NOT(ISERROR(SEARCH("VENCIDO",P735)))</formula>
    </cfRule>
    <cfRule type="containsText" priority="162" operator="containsText" dxfId="130" text="VERDE">
      <formula>NOT(ISERROR(SEARCH("VERDE",P735)))</formula>
    </cfRule>
    <cfRule type="containsText" priority="163" operator="containsText" dxfId="129" stopIfTrue="1" text="AMARILLO">
      <formula>NOT(ISERROR(SEARCH("AMARILLO",P735)))</formula>
    </cfRule>
    <cfRule type="containsText" priority="164" operator="containsText" dxfId="128" text="ROJO">
      <formula>NOT(ISERROR(SEARCH("ROJO",P735)))</formula>
    </cfRule>
  </conditionalFormatting>
  <conditionalFormatting sqref="P742:P747">
    <cfRule type="containsText" priority="157" operator="containsText" dxfId="131" text="VENCIDO">
      <formula>NOT(ISERROR(SEARCH("VENCIDO",P742)))</formula>
    </cfRule>
    <cfRule type="containsText" priority="158" operator="containsText" dxfId="130" text="VERDE">
      <formula>NOT(ISERROR(SEARCH("VERDE",P742)))</formula>
    </cfRule>
    <cfRule type="containsText" priority="159" operator="containsText" dxfId="129" stopIfTrue="1" text="AMARILLO">
      <formula>NOT(ISERROR(SEARCH("AMARILLO",P742)))</formula>
    </cfRule>
    <cfRule type="containsText" priority="160" operator="containsText" dxfId="128" text="ROJO">
      <formula>NOT(ISERROR(SEARCH("ROJO",P742)))</formula>
    </cfRule>
  </conditionalFormatting>
  <conditionalFormatting sqref="P749:P754">
    <cfRule type="containsText" priority="153" operator="containsText" dxfId="131" text="VENCIDO">
      <formula>NOT(ISERROR(SEARCH("VENCIDO",P749)))</formula>
    </cfRule>
    <cfRule type="containsText" priority="154" operator="containsText" dxfId="130" text="VERDE">
      <formula>NOT(ISERROR(SEARCH("VERDE",P749)))</formula>
    </cfRule>
    <cfRule type="containsText" priority="155" operator="containsText" dxfId="129" stopIfTrue="1" text="AMARILLO">
      <formula>NOT(ISERROR(SEARCH("AMARILLO",P749)))</formula>
    </cfRule>
    <cfRule type="containsText" priority="156" operator="containsText" dxfId="128" text="ROJO">
      <formula>NOT(ISERROR(SEARCH("ROJO",P749)))</formula>
    </cfRule>
  </conditionalFormatting>
  <conditionalFormatting sqref="P756:P761">
    <cfRule type="containsText" priority="149" operator="containsText" dxfId="131" text="VENCIDO">
      <formula>NOT(ISERROR(SEARCH("VENCIDO",P756)))</formula>
    </cfRule>
    <cfRule type="containsText" priority="150" operator="containsText" dxfId="130" text="VERDE">
      <formula>NOT(ISERROR(SEARCH("VERDE",P756)))</formula>
    </cfRule>
    <cfRule type="containsText" priority="151" operator="containsText" dxfId="129" stopIfTrue="1" text="AMARILLO">
      <formula>NOT(ISERROR(SEARCH("AMARILLO",P756)))</formula>
    </cfRule>
    <cfRule type="containsText" priority="152" operator="containsText" dxfId="128" text="ROJO">
      <formula>NOT(ISERROR(SEARCH("ROJO",P756)))</formula>
    </cfRule>
  </conditionalFormatting>
  <conditionalFormatting sqref="P763:P768">
    <cfRule type="containsText" priority="145" operator="containsText" dxfId="131" text="VENCIDO">
      <formula>NOT(ISERROR(SEARCH("VENCIDO",P763)))</formula>
    </cfRule>
    <cfRule type="containsText" priority="146" operator="containsText" dxfId="130" text="VERDE">
      <formula>NOT(ISERROR(SEARCH("VERDE",P763)))</formula>
    </cfRule>
    <cfRule type="containsText" priority="147" operator="containsText" dxfId="129" stopIfTrue="1" text="AMARILLO">
      <formula>NOT(ISERROR(SEARCH("AMARILLO",P763)))</formula>
    </cfRule>
    <cfRule type="containsText" priority="148" operator="containsText" dxfId="128" text="ROJO">
      <formula>NOT(ISERROR(SEARCH("ROJO",P763)))</formula>
    </cfRule>
  </conditionalFormatting>
  <conditionalFormatting sqref="P770:P775">
    <cfRule type="containsText" priority="141" operator="containsText" dxfId="131" text="VENCIDO">
      <formula>NOT(ISERROR(SEARCH("VENCIDO",P770)))</formula>
    </cfRule>
    <cfRule type="containsText" priority="142" operator="containsText" dxfId="130" text="VERDE">
      <formula>NOT(ISERROR(SEARCH("VERDE",P770)))</formula>
    </cfRule>
    <cfRule type="containsText" priority="143" operator="containsText" dxfId="129" stopIfTrue="1" text="AMARILLO">
      <formula>NOT(ISERROR(SEARCH("AMARILLO",P770)))</formula>
    </cfRule>
    <cfRule type="containsText" priority="144" operator="containsText" dxfId="128" text="ROJO">
      <formula>NOT(ISERROR(SEARCH("ROJO",P770)))</formula>
    </cfRule>
  </conditionalFormatting>
  <conditionalFormatting sqref="P789:P792">
    <cfRule type="containsText" priority="137" operator="containsText" dxfId="131" text="VENCIDO">
      <formula>NOT(ISERROR(SEARCH("VENCIDO",P789)))</formula>
    </cfRule>
    <cfRule type="containsText" priority="138" operator="containsText" dxfId="130" text="VERDE">
      <formula>NOT(ISERROR(SEARCH("VERDE",P789)))</formula>
    </cfRule>
    <cfRule type="containsText" priority="139" operator="containsText" dxfId="129" stopIfTrue="1" text="AMARILLO">
      <formula>NOT(ISERROR(SEARCH("AMARILLO",P789)))</formula>
    </cfRule>
    <cfRule type="containsText" priority="140" operator="containsText" dxfId="128" text="ROJO">
      <formula>NOT(ISERROR(SEARCH("ROJO",P789)))</formula>
    </cfRule>
  </conditionalFormatting>
  <conditionalFormatting sqref="P794:P797">
    <cfRule type="containsText" priority="133" operator="containsText" dxfId="131" text="VENCIDO">
      <formula>NOT(ISERROR(SEARCH("VENCIDO",P794)))</formula>
    </cfRule>
    <cfRule type="containsText" priority="134" operator="containsText" dxfId="130" text="VERDE">
      <formula>NOT(ISERROR(SEARCH("VERDE",P794)))</formula>
    </cfRule>
    <cfRule type="containsText" priority="135" operator="containsText" dxfId="129" stopIfTrue="1" text="AMARILLO">
      <formula>NOT(ISERROR(SEARCH("AMARILLO",P794)))</formula>
    </cfRule>
    <cfRule type="containsText" priority="136" operator="containsText" dxfId="128" text="ROJO">
      <formula>NOT(ISERROR(SEARCH("ROJO",P794)))</formula>
    </cfRule>
  </conditionalFormatting>
  <conditionalFormatting sqref="P799:P802 P804:P807 P809:P812">
    <cfRule type="containsText" priority="129" operator="containsText" dxfId="131" text="VENCIDO">
      <formula>NOT(ISERROR(SEARCH("VENCIDO",P799)))</formula>
    </cfRule>
    <cfRule type="containsText" priority="130" operator="containsText" dxfId="130" text="VERDE">
      <formula>NOT(ISERROR(SEARCH("VERDE",P799)))</formula>
    </cfRule>
    <cfRule type="containsText" priority="131" operator="containsText" dxfId="129" stopIfTrue="1" text="AMARILLO">
      <formula>NOT(ISERROR(SEARCH("AMARILLO",P799)))</formula>
    </cfRule>
    <cfRule type="containsText" priority="132" operator="containsText" dxfId="128" text="ROJO">
      <formula>NOT(ISERROR(SEARCH("ROJO",P799)))</formula>
    </cfRule>
  </conditionalFormatting>
  <conditionalFormatting sqref="K789:K792">
    <cfRule type="cellIs" priority="128" operator="lessThan" dxfId="0" stopIfTrue="1">
      <formula>0</formula>
    </cfRule>
  </conditionalFormatting>
  <conditionalFormatting sqref="K794:K797">
    <cfRule type="cellIs" priority="127" operator="lessThan" dxfId="0" stopIfTrue="1">
      <formula>0</formula>
    </cfRule>
  </conditionalFormatting>
  <conditionalFormatting sqref="K799:K802">
    <cfRule type="cellIs" priority="126" operator="lessThan" dxfId="0" stopIfTrue="1">
      <formula>0</formula>
    </cfRule>
  </conditionalFormatting>
  <conditionalFormatting sqref="K804:K807">
    <cfRule type="cellIs" priority="125" operator="lessThan" dxfId="0" stopIfTrue="1">
      <formula>0</formula>
    </cfRule>
  </conditionalFormatting>
  <conditionalFormatting sqref="K809:K812">
    <cfRule type="cellIs" priority="124" operator="lessThan" dxfId="0" stopIfTrue="1">
      <formula>0</formula>
    </cfRule>
  </conditionalFormatting>
  <conditionalFormatting sqref="AT789">
    <cfRule type="cellIs" priority="123" operator="greaterThan" dxfId="121">
      <formula>1</formula>
    </cfRule>
  </conditionalFormatting>
  <conditionalFormatting sqref="AT794 AT799 AT804 AT809">
    <cfRule type="cellIs" priority="122" operator="greaterThan" dxfId="121">
      <formula>1</formula>
    </cfRule>
  </conditionalFormatting>
  <conditionalFormatting sqref="E895:G897">
    <cfRule type="cellIs" priority="121" operator="lessThan" dxfId="0" stopIfTrue="1">
      <formula>0</formula>
    </cfRule>
  </conditionalFormatting>
  <conditionalFormatting sqref="K895:K897 M895:N897">
    <cfRule type="cellIs" priority="120" operator="lessThan" dxfId="0" stopIfTrue="1">
      <formula>0</formula>
    </cfRule>
  </conditionalFormatting>
  <conditionalFormatting sqref="K301">
    <cfRule type="containsText" priority="119" operator="containsText" dxfId="8" text="Falso">
      <formula>NOT(ISERROR(SEARCH("Falso",K301)))</formula>
    </cfRule>
  </conditionalFormatting>
  <conditionalFormatting sqref="K295">
    <cfRule type="containsText" priority="118" operator="containsText" dxfId="8" text="Falso">
      <formula>NOT(ISERROR(SEARCH("Falso",K295)))</formula>
    </cfRule>
  </conditionalFormatting>
  <conditionalFormatting sqref="K289">
    <cfRule type="containsText" priority="117" operator="containsText" dxfId="8" text="Falso">
      <formula>NOT(ISERROR(SEARCH("Falso",K289)))</formula>
    </cfRule>
  </conditionalFormatting>
  <conditionalFormatting sqref="K283">
    <cfRule type="containsText" priority="116" operator="containsText" dxfId="8" text="Falso">
      <formula>NOT(ISERROR(SEARCH("Falso",K283)))</formula>
    </cfRule>
  </conditionalFormatting>
  <conditionalFormatting sqref="K277">
    <cfRule type="containsText" priority="115" operator="containsText" dxfId="8" text="Falso">
      <formula>NOT(ISERROR(SEARCH("Falso",K277)))</formula>
    </cfRule>
  </conditionalFormatting>
  <conditionalFormatting sqref="K271">
    <cfRule type="containsText" priority="114" operator="containsText" dxfId="8" text="Falso">
      <formula>NOT(ISERROR(SEARCH("Falso",K271)))</formula>
    </cfRule>
  </conditionalFormatting>
  <conditionalFormatting sqref="K265">
    <cfRule type="containsText" priority="113" operator="containsText" dxfId="8" text="Falso">
      <formula>NOT(ISERROR(SEARCH("Falso",K265)))</formula>
    </cfRule>
  </conditionalFormatting>
  <conditionalFormatting sqref="K259">
    <cfRule type="containsText" priority="112" operator="containsText" dxfId="8" text="Falso">
      <formula>NOT(ISERROR(SEARCH("Falso",K259)))</formula>
    </cfRule>
  </conditionalFormatting>
  <conditionalFormatting sqref="K253">
    <cfRule type="containsText" priority="111" operator="containsText" dxfId="8" text="Falso">
      <formula>NOT(ISERROR(SEARCH("Falso",K253)))</formula>
    </cfRule>
  </conditionalFormatting>
  <conditionalFormatting sqref="K247">
    <cfRule type="containsText" priority="110" operator="containsText" dxfId="8" text="Falso">
      <formula>NOT(ISERROR(SEARCH("Falso",K247)))</formula>
    </cfRule>
  </conditionalFormatting>
  <conditionalFormatting sqref="K235">
    <cfRule type="containsText" priority="109" operator="containsText" dxfId="8" text="Falso">
      <formula>NOT(ISERROR(SEARCH("Falso",K235)))</formula>
    </cfRule>
  </conditionalFormatting>
  <conditionalFormatting sqref="K241">
    <cfRule type="containsText" priority="108" operator="containsText" dxfId="8" text="Falso">
      <formula>NOT(ISERROR(SEARCH("Falso",K241)))</formula>
    </cfRule>
  </conditionalFormatting>
  <conditionalFormatting sqref="K228">
    <cfRule type="containsText" priority="107" operator="containsText" dxfId="8" text="Falso">
      <formula>NOT(ISERROR(SEARCH("Falso",K228)))</formula>
    </cfRule>
  </conditionalFormatting>
  <conditionalFormatting sqref="K222">
    <cfRule type="containsText" priority="106" operator="containsText" dxfId="8" text="Falso">
      <formula>NOT(ISERROR(SEARCH("Falso",K222)))</formula>
    </cfRule>
  </conditionalFormatting>
  <conditionalFormatting sqref="K216">
    <cfRule type="containsText" priority="105" operator="containsText" dxfId="8" text="Falso">
      <formula>NOT(ISERROR(SEARCH("Falso",K216)))</formula>
    </cfRule>
  </conditionalFormatting>
  <conditionalFormatting sqref="K210">
    <cfRule type="containsText" priority="104" operator="containsText" dxfId="8" text="Falso">
      <formula>NOT(ISERROR(SEARCH("Falso",K210)))</formula>
    </cfRule>
  </conditionalFormatting>
  <conditionalFormatting sqref="K204">
    <cfRule type="containsText" priority="103" operator="containsText" dxfId="8" text="Falso">
      <formula>NOT(ISERROR(SEARCH("Falso",K204)))</formula>
    </cfRule>
  </conditionalFormatting>
  <conditionalFormatting sqref="K198">
    <cfRule type="containsText" priority="102" operator="containsText" dxfId="8" text="Falso">
      <formula>NOT(ISERROR(SEARCH("Falso",K198)))</formula>
    </cfRule>
  </conditionalFormatting>
  <conditionalFormatting sqref="K192">
    <cfRule type="containsText" priority="101" operator="containsText" dxfId="8" text="Falso">
      <formula>NOT(ISERROR(SEARCH("Falso",K192)))</formula>
    </cfRule>
  </conditionalFormatting>
  <conditionalFormatting sqref="K186">
    <cfRule type="containsText" priority="100" operator="containsText" dxfId="8" text="Falso">
      <formula>NOT(ISERROR(SEARCH("Falso",K186)))</formula>
    </cfRule>
  </conditionalFormatting>
  <conditionalFormatting sqref="K180">
    <cfRule type="containsText" priority="99" operator="containsText" dxfId="8" text="Falso">
      <formula>NOT(ISERROR(SEARCH("Falso",K180)))</formula>
    </cfRule>
  </conditionalFormatting>
  <conditionalFormatting sqref="K174">
    <cfRule type="containsText" priority="98" operator="containsText" dxfId="8" text="Falso">
      <formula>NOT(ISERROR(SEARCH("Falso",K174)))</formula>
    </cfRule>
  </conditionalFormatting>
  <conditionalFormatting sqref="K168">
    <cfRule type="containsText" priority="97" operator="containsText" dxfId="8" text="Falso">
      <formula>NOT(ISERROR(SEARCH("Falso",K168)))</formula>
    </cfRule>
  </conditionalFormatting>
  <conditionalFormatting sqref="K162">
    <cfRule type="containsText" priority="96" operator="containsText" dxfId="8" text="Falso">
      <formula>NOT(ISERROR(SEARCH("Falso",K162)))</formula>
    </cfRule>
  </conditionalFormatting>
  <conditionalFormatting sqref="K156">
    <cfRule type="containsText" priority="95" operator="containsText" dxfId="8" text="Falso">
      <formula>NOT(ISERROR(SEARCH("Falso",K156)))</formula>
    </cfRule>
  </conditionalFormatting>
  <conditionalFormatting sqref="K150">
    <cfRule type="containsText" priority="94" operator="containsText" dxfId="8" text="Falso">
      <formula>NOT(ISERROR(SEARCH("Falso",K150)))</formula>
    </cfRule>
  </conditionalFormatting>
  <conditionalFormatting sqref="K144">
    <cfRule type="containsText" priority="93" operator="containsText" dxfId="8" text="Falso">
      <formula>NOT(ISERROR(SEARCH("Falso",K144)))</formula>
    </cfRule>
  </conditionalFormatting>
  <conditionalFormatting sqref="K138">
    <cfRule type="containsText" priority="92" operator="containsText" dxfId="8" text="Falso">
      <formula>NOT(ISERROR(SEARCH("Falso",K138)))</formula>
    </cfRule>
  </conditionalFormatting>
  <conditionalFormatting sqref="K132">
    <cfRule type="containsText" priority="91" operator="containsText" dxfId="8" text="Falso">
      <formula>NOT(ISERROR(SEARCH("Falso",K132)))</formula>
    </cfRule>
  </conditionalFormatting>
  <conditionalFormatting sqref="K126">
    <cfRule type="containsText" priority="90" operator="containsText" dxfId="8" text="Falso">
      <formula>NOT(ISERROR(SEARCH("Falso",K126)))</formula>
    </cfRule>
  </conditionalFormatting>
  <conditionalFormatting sqref="K120">
    <cfRule type="containsText" priority="89" operator="containsText" dxfId="8" text="Falso">
      <formula>NOT(ISERROR(SEARCH("Falso",K120)))</formula>
    </cfRule>
  </conditionalFormatting>
  <conditionalFormatting sqref="K114">
    <cfRule type="containsText" priority="88" operator="containsText" dxfId="8" text="Falso">
      <formula>NOT(ISERROR(SEARCH("Falso",K114)))</formula>
    </cfRule>
  </conditionalFormatting>
  <conditionalFormatting sqref="K108">
    <cfRule type="containsText" priority="87" operator="containsText" dxfId="8" text="Falso">
      <formula>NOT(ISERROR(SEARCH("Falso",K108)))</formula>
    </cfRule>
  </conditionalFormatting>
  <conditionalFormatting sqref="K102">
    <cfRule type="containsText" priority="86" operator="containsText" dxfId="8" text="Falso">
      <formula>NOT(ISERROR(SEARCH("Falso",K102)))</formula>
    </cfRule>
  </conditionalFormatting>
  <conditionalFormatting sqref="K96">
    <cfRule type="containsText" priority="85" operator="containsText" dxfId="8" text="Falso">
      <formula>NOT(ISERROR(SEARCH("Falso",K96)))</formula>
    </cfRule>
  </conditionalFormatting>
  <conditionalFormatting sqref="K90">
    <cfRule type="containsText" priority="84" operator="containsText" dxfId="8" text="Falso">
      <formula>NOT(ISERROR(SEARCH("Falso",K90)))</formula>
    </cfRule>
  </conditionalFormatting>
  <conditionalFormatting sqref="K84">
    <cfRule type="containsText" priority="83" operator="containsText" dxfId="8" text="Falso">
      <formula>NOT(ISERROR(SEARCH("Falso",K84)))</formula>
    </cfRule>
  </conditionalFormatting>
  <conditionalFormatting sqref="K78">
    <cfRule type="containsText" priority="82" operator="containsText" dxfId="8" text="Falso">
      <formula>NOT(ISERROR(SEARCH("Falso",K78)))</formula>
    </cfRule>
  </conditionalFormatting>
  <conditionalFormatting sqref="K72">
    <cfRule type="containsText" priority="81" operator="containsText" dxfId="8" text="Falso">
      <formula>NOT(ISERROR(SEARCH("Falso",K72)))</formula>
    </cfRule>
  </conditionalFormatting>
  <conditionalFormatting sqref="K66">
    <cfRule type="containsText" priority="80" operator="containsText" dxfId="8" text="Falso">
      <formula>NOT(ISERROR(SEARCH("Falso",K66)))</formula>
    </cfRule>
  </conditionalFormatting>
  <conditionalFormatting sqref="K60">
    <cfRule type="containsText" priority="79" operator="containsText" dxfId="8" text="Falso">
      <formula>NOT(ISERROR(SEARCH("Falso",K60)))</formula>
    </cfRule>
  </conditionalFormatting>
  <conditionalFormatting sqref="K54">
    <cfRule type="containsText" priority="78" operator="containsText" dxfId="8" text="Falso">
      <formula>NOT(ISERROR(SEARCH("Falso",K54)))</formula>
    </cfRule>
  </conditionalFormatting>
  <conditionalFormatting sqref="K48">
    <cfRule type="containsText" priority="77" operator="containsText" dxfId="8" text="Falso">
      <formula>NOT(ISERROR(SEARCH("Falso",K48)))</formula>
    </cfRule>
  </conditionalFormatting>
  <conditionalFormatting sqref="K42">
    <cfRule type="containsText" priority="76" operator="containsText" dxfId="8" text="Falso">
      <formula>NOT(ISERROR(SEARCH("Falso",K42)))</formula>
    </cfRule>
  </conditionalFormatting>
  <conditionalFormatting sqref="K36">
    <cfRule type="containsText" priority="75" operator="containsText" dxfId="8" text="Falso">
      <formula>NOT(ISERROR(SEARCH("Falso",K36)))</formula>
    </cfRule>
  </conditionalFormatting>
  <conditionalFormatting sqref="K30">
    <cfRule type="containsText" priority="74" operator="containsText" dxfId="8" text="Falso">
      <formula>NOT(ISERROR(SEARCH("Falso",K30)))</formula>
    </cfRule>
  </conditionalFormatting>
  <conditionalFormatting sqref="K24">
    <cfRule type="containsText" priority="73" operator="containsText" dxfId="8" text="Falso">
      <formula>NOT(ISERROR(SEARCH("Falso",K24)))</formula>
    </cfRule>
  </conditionalFormatting>
  <conditionalFormatting sqref="K18">
    <cfRule type="containsText" priority="72" operator="containsText" dxfId="8" text="Falso">
      <formula>NOT(ISERROR(SEARCH("Falso",K18)))</formula>
    </cfRule>
  </conditionalFormatting>
  <conditionalFormatting sqref="K422">
    <cfRule type="containsText" priority="71" operator="containsText" dxfId="8" text="Falso">
      <formula>NOT(ISERROR(SEARCH("Falso",K422)))</formula>
    </cfRule>
  </conditionalFormatting>
  <conditionalFormatting sqref="K428">
    <cfRule type="containsText" priority="70" operator="containsText" dxfId="8" text="Falso">
      <formula>NOT(ISERROR(SEARCH("Falso",K428)))</formula>
    </cfRule>
  </conditionalFormatting>
  <conditionalFormatting sqref="K434">
    <cfRule type="containsText" priority="69" operator="containsText" dxfId="8" text="Falso">
      <formula>NOT(ISERROR(SEARCH("Falso",K434)))</formula>
    </cfRule>
  </conditionalFormatting>
  <conditionalFormatting sqref="K440">
    <cfRule type="containsText" priority="68" operator="containsText" dxfId="8" text="Falso">
      <formula>NOT(ISERROR(SEARCH("Falso",K440)))</formula>
    </cfRule>
  </conditionalFormatting>
  <conditionalFormatting sqref="K446">
    <cfRule type="containsText" priority="67" operator="containsText" dxfId="8" text="Falso">
      <formula>NOT(ISERROR(SEARCH("Falso",K446)))</formula>
    </cfRule>
  </conditionalFormatting>
  <conditionalFormatting sqref="K452">
    <cfRule type="containsText" priority="66" operator="containsText" dxfId="8" text="Falso">
      <formula>NOT(ISERROR(SEARCH("Falso",K452)))</formula>
    </cfRule>
  </conditionalFormatting>
  <conditionalFormatting sqref="K458">
    <cfRule type="containsText" priority="65" operator="containsText" dxfId="8" text="Falso">
      <formula>NOT(ISERROR(SEARCH("Falso",K458)))</formula>
    </cfRule>
  </conditionalFormatting>
  <conditionalFormatting sqref="K464">
    <cfRule type="containsText" priority="64" operator="containsText" dxfId="8" text="Falso">
      <formula>NOT(ISERROR(SEARCH("Falso",K464)))</formula>
    </cfRule>
  </conditionalFormatting>
  <conditionalFormatting sqref="K470">
    <cfRule type="containsText" priority="63" operator="containsText" dxfId="8" text="Falso">
      <formula>NOT(ISERROR(SEARCH("Falso",K470)))</formula>
    </cfRule>
  </conditionalFormatting>
  <conditionalFormatting sqref="K476">
    <cfRule type="containsText" priority="62" operator="containsText" dxfId="8" text="Falso">
      <formula>NOT(ISERROR(SEARCH("Falso",K476)))</formula>
    </cfRule>
  </conditionalFormatting>
  <conditionalFormatting sqref="K482">
    <cfRule type="containsText" priority="61" operator="containsText" dxfId="8" text="Falso">
      <formula>NOT(ISERROR(SEARCH("Falso",K482)))</formula>
    </cfRule>
  </conditionalFormatting>
  <conditionalFormatting sqref="K488">
    <cfRule type="containsText" priority="60" operator="containsText" dxfId="8" text="Falso">
      <formula>NOT(ISERROR(SEARCH("Falso",K488)))</formula>
    </cfRule>
  </conditionalFormatting>
  <conditionalFormatting sqref="K494">
    <cfRule type="containsText" priority="59" operator="containsText" dxfId="8" text="Falso">
      <formula>NOT(ISERROR(SEARCH("Falso",K494)))</formula>
    </cfRule>
  </conditionalFormatting>
  <conditionalFormatting sqref="K500">
    <cfRule type="containsText" priority="58" operator="containsText" dxfId="8" text="Falso">
      <formula>NOT(ISERROR(SEARCH("Falso",K500)))</formula>
    </cfRule>
  </conditionalFormatting>
  <conditionalFormatting sqref="K506">
    <cfRule type="containsText" priority="57" operator="containsText" dxfId="8" text="Falso">
      <formula>NOT(ISERROR(SEARCH("Falso",K506)))</formula>
    </cfRule>
  </conditionalFormatting>
  <conditionalFormatting sqref="K512">
    <cfRule type="containsText" priority="56" operator="containsText" dxfId="8" text="Falso">
      <formula>NOT(ISERROR(SEARCH("Falso",K512)))</formula>
    </cfRule>
  </conditionalFormatting>
  <conditionalFormatting sqref="K518">
    <cfRule type="containsText" priority="55" operator="containsText" dxfId="8" text="Falso">
      <formula>NOT(ISERROR(SEARCH("Falso",K518)))</formula>
    </cfRule>
  </conditionalFormatting>
  <conditionalFormatting sqref="K524">
    <cfRule type="containsText" priority="54" operator="containsText" dxfId="8" text="Falso">
      <formula>NOT(ISERROR(SEARCH("Falso",K524)))</formula>
    </cfRule>
  </conditionalFormatting>
  <conditionalFormatting sqref="K530">
    <cfRule type="containsText" priority="53" operator="containsText" dxfId="8" text="Falso">
      <formula>NOT(ISERROR(SEARCH("Falso",K530)))</formula>
    </cfRule>
  </conditionalFormatting>
  <conditionalFormatting sqref="K536">
    <cfRule type="containsText" priority="52" operator="containsText" dxfId="8" text="Falso">
      <formula>NOT(ISERROR(SEARCH("Falso",K536)))</formula>
    </cfRule>
  </conditionalFormatting>
  <conditionalFormatting sqref="K542">
    <cfRule type="containsText" priority="51" operator="containsText" dxfId="8" text="Falso">
      <formula>NOT(ISERROR(SEARCH("Falso",K542)))</formula>
    </cfRule>
  </conditionalFormatting>
  <conditionalFormatting sqref="K548">
    <cfRule type="containsText" priority="50" operator="containsText" dxfId="8" text="Falso">
      <formula>NOT(ISERROR(SEARCH("Falso",K548)))</formula>
    </cfRule>
  </conditionalFormatting>
  <conditionalFormatting sqref="K554">
    <cfRule type="containsText" priority="49" operator="containsText" dxfId="8" text="Falso">
      <formula>NOT(ISERROR(SEARCH("Falso",K554)))</formula>
    </cfRule>
  </conditionalFormatting>
  <conditionalFormatting sqref="K560">
    <cfRule type="containsText" priority="48" operator="containsText" dxfId="8" text="Falso">
      <formula>NOT(ISERROR(SEARCH("Falso",K560)))</formula>
    </cfRule>
  </conditionalFormatting>
  <conditionalFormatting sqref="K566">
    <cfRule type="containsText" priority="47" operator="containsText" dxfId="8" text="Falso">
      <formula>NOT(ISERROR(SEARCH("Falso",K566)))</formula>
    </cfRule>
  </conditionalFormatting>
  <conditionalFormatting sqref="K572">
    <cfRule type="containsText" priority="46" operator="containsText" dxfId="8" text="Falso">
      <formula>NOT(ISERROR(SEARCH("Falso",K572)))</formula>
    </cfRule>
  </conditionalFormatting>
  <conditionalFormatting sqref="K578">
    <cfRule type="containsText" priority="45" operator="containsText" dxfId="8" text="Falso">
      <formula>NOT(ISERROR(SEARCH("Falso",K578)))</formula>
    </cfRule>
  </conditionalFormatting>
  <conditionalFormatting sqref="K584">
    <cfRule type="containsText" priority="44" operator="containsText" dxfId="8" text="Falso">
      <formula>NOT(ISERROR(SEARCH("Falso",K584)))</formula>
    </cfRule>
  </conditionalFormatting>
  <conditionalFormatting sqref="K590">
    <cfRule type="containsText" priority="43" operator="containsText" dxfId="8" text="Falso">
      <formula>NOT(ISERROR(SEARCH("Falso",K590)))</formula>
    </cfRule>
  </conditionalFormatting>
  <conditionalFormatting sqref="K596">
    <cfRule type="containsText" priority="42" operator="containsText" dxfId="8" text="Falso">
      <formula>NOT(ISERROR(SEARCH("Falso",K596)))</formula>
    </cfRule>
  </conditionalFormatting>
  <conditionalFormatting sqref="K602">
    <cfRule type="containsText" priority="41" operator="containsText" dxfId="8" text="Falso">
      <formula>NOT(ISERROR(SEARCH("Falso",K602)))</formula>
    </cfRule>
  </conditionalFormatting>
  <conditionalFormatting sqref="K608">
    <cfRule type="containsText" priority="40" operator="containsText" dxfId="8" text="Falso">
      <formula>NOT(ISERROR(SEARCH("Falso",K608)))</formula>
    </cfRule>
  </conditionalFormatting>
  <conditionalFormatting sqref="K614">
    <cfRule type="containsText" priority="39" operator="containsText" dxfId="8" text="Falso">
      <formula>NOT(ISERROR(SEARCH("Falso",K614)))</formula>
    </cfRule>
  </conditionalFormatting>
  <conditionalFormatting sqref="K620">
    <cfRule type="containsText" priority="38" operator="containsText" dxfId="8" text="Falso">
      <formula>NOT(ISERROR(SEARCH("Falso",K620)))</formula>
    </cfRule>
  </conditionalFormatting>
  <conditionalFormatting sqref="K626">
    <cfRule type="containsText" priority="37" operator="containsText" dxfId="8" text="Falso">
      <formula>NOT(ISERROR(SEARCH("Falso",K626)))</formula>
    </cfRule>
  </conditionalFormatting>
  <conditionalFormatting sqref="K632">
    <cfRule type="containsText" priority="36" operator="containsText" dxfId="8" text="Falso">
      <formula>NOT(ISERROR(SEARCH("Falso",K632)))</formula>
    </cfRule>
  </conditionalFormatting>
  <conditionalFormatting sqref="K639">
    <cfRule type="containsText" priority="35" operator="containsText" dxfId="8" text="Falso">
      <formula>NOT(ISERROR(SEARCH("Falso",K639)))</formula>
    </cfRule>
  </conditionalFormatting>
  <conditionalFormatting sqref="K645">
    <cfRule type="containsText" priority="34" operator="containsText" dxfId="8" text="Falso">
      <formula>NOT(ISERROR(SEARCH("Falso",K645)))</formula>
    </cfRule>
  </conditionalFormatting>
  <conditionalFormatting sqref="K651">
    <cfRule type="containsText" priority="33" operator="containsText" dxfId="8" text="Falso">
      <formula>NOT(ISERROR(SEARCH("Falso",K651)))</formula>
    </cfRule>
  </conditionalFormatting>
  <conditionalFormatting sqref="K657">
    <cfRule type="containsText" priority="32" operator="containsText" dxfId="8" text="Falso">
      <formula>NOT(ISERROR(SEARCH("Falso",K657)))</formula>
    </cfRule>
  </conditionalFormatting>
  <conditionalFormatting sqref="K663">
    <cfRule type="containsText" priority="31" operator="containsText" dxfId="8" text="Falso">
      <formula>NOT(ISERROR(SEARCH("Falso",K663)))</formula>
    </cfRule>
  </conditionalFormatting>
  <conditionalFormatting sqref="K669">
    <cfRule type="containsText" priority="30" operator="containsText" dxfId="8" text="Falso">
      <formula>NOT(ISERROR(SEARCH("Falso",K669)))</formula>
    </cfRule>
  </conditionalFormatting>
  <conditionalFormatting sqref="K675">
    <cfRule type="containsText" priority="29" operator="containsText" dxfId="8" text="Falso">
      <formula>NOT(ISERROR(SEARCH("Falso",K675)))</formula>
    </cfRule>
  </conditionalFormatting>
  <conditionalFormatting sqref="K681">
    <cfRule type="containsText" priority="28" operator="containsText" dxfId="8" text="Falso">
      <formula>NOT(ISERROR(SEARCH("Falso",K681)))</formula>
    </cfRule>
  </conditionalFormatting>
  <conditionalFormatting sqref="K687">
    <cfRule type="containsText" priority="27" operator="containsText" dxfId="8" text="Falso">
      <formula>NOT(ISERROR(SEARCH("Falso",K687)))</formula>
    </cfRule>
  </conditionalFormatting>
  <conditionalFormatting sqref="K693">
    <cfRule type="containsText" priority="26" operator="containsText" dxfId="8" text="Falso">
      <formula>NOT(ISERROR(SEARCH("Falso",K693)))</formula>
    </cfRule>
  </conditionalFormatting>
  <conditionalFormatting sqref="K699">
    <cfRule type="containsText" priority="25" operator="containsText" dxfId="8" text="Falso">
      <formula>NOT(ISERROR(SEARCH("Falso",K699)))</formula>
    </cfRule>
  </conditionalFormatting>
  <conditionalFormatting sqref="K705">
    <cfRule type="containsText" priority="24" operator="containsText" dxfId="8" text="Falso">
      <formula>NOT(ISERROR(SEARCH("Falso",K705)))</formula>
    </cfRule>
  </conditionalFormatting>
  <conditionalFormatting sqref="K713">
    <cfRule type="containsText" priority="23" operator="containsText" dxfId="8" text="Falso">
      <formula>NOT(ISERROR(SEARCH("Falso",K713)))</formula>
    </cfRule>
  </conditionalFormatting>
  <conditionalFormatting sqref="K720">
    <cfRule type="containsText" priority="22" operator="containsText" dxfId="8" text="Falso">
      <formula>NOT(ISERROR(SEARCH("Falso",K720)))</formula>
    </cfRule>
  </conditionalFormatting>
  <conditionalFormatting sqref="K727">
    <cfRule type="containsText" priority="21" operator="containsText" dxfId="8" text="Falso">
      <formula>NOT(ISERROR(SEARCH("Falso",K727)))</formula>
    </cfRule>
  </conditionalFormatting>
  <conditionalFormatting sqref="K734">
    <cfRule type="containsText" priority="20" operator="containsText" dxfId="8" text="Falso">
      <formula>NOT(ISERROR(SEARCH("Falso",K734)))</formula>
    </cfRule>
  </conditionalFormatting>
  <conditionalFormatting sqref="K741">
    <cfRule type="containsText" priority="19" operator="containsText" dxfId="8" text="Falso">
      <formula>NOT(ISERROR(SEARCH("Falso",K741)))</formula>
    </cfRule>
  </conditionalFormatting>
  <conditionalFormatting sqref="K748">
    <cfRule type="containsText" priority="18" operator="containsText" dxfId="8" text="Falso">
      <formula>NOT(ISERROR(SEARCH("Falso",K748)))</formula>
    </cfRule>
  </conditionalFormatting>
  <conditionalFormatting sqref="K755">
    <cfRule type="containsText" priority="17" operator="containsText" dxfId="8" text="Falso">
      <formula>NOT(ISERROR(SEARCH("Falso",K755)))</formula>
    </cfRule>
  </conditionalFormatting>
  <conditionalFormatting sqref="K762">
    <cfRule type="containsText" priority="16" operator="containsText" dxfId="8" text="Falso">
      <formula>NOT(ISERROR(SEARCH("Falso",K762)))</formula>
    </cfRule>
  </conditionalFormatting>
  <conditionalFormatting sqref="K769">
    <cfRule type="containsText" priority="15" operator="containsText" dxfId="8" text="Falso">
      <formula>NOT(ISERROR(SEARCH("Falso",K769)))</formula>
    </cfRule>
  </conditionalFormatting>
  <conditionalFormatting sqref="K776">
    <cfRule type="containsText" priority="14" operator="containsText" dxfId="8" text="Falso">
      <formula>NOT(ISERROR(SEARCH("Falso",K776)))</formula>
    </cfRule>
  </conditionalFormatting>
  <conditionalFormatting sqref="K793">
    <cfRule type="containsText" priority="13" operator="containsText" dxfId="8" text="Falso">
      <formula>NOT(ISERROR(SEARCH("Falso",K793)))</formula>
    </cfRule>
  </conditionalFormatting>
  <conditionalFormatting sqref="K798">
    <cfRule type="containsText" priority="12" operator="containsText" dxfId="8" text="Falso">
      <formula>NOT(ISERROR(SEARCH("Falso",K798)))</formula>
    </cfRule>
  </conditionalFormatting>
  <conditionalFormatting sqref="K803">
    <cfRule type="containsText" priority="11" operator="containsText" dxfId="8" text="Falso">
      <formula>NOT(ISERROR(SEARCH("Falso",K803)))</formula>
    </cfRule>
  </conditionalFormatting>
  <conditionalFormatting sqref="K808">
    <cfRule type="containsText" priority="10" operator="containsText" dxfId="8" text="Falso">
      <formula>NOT(ISERROR(SEARCH("Falso",K808)))</formula>
    </cfRule>
  </conditionalFormatting>
  <conditionalFormatting sqref="K813">
    <cfRule type="containsText" priority="9" operator="containsText" dxfId="8" text="Falso">
      <formula>NOT(ISERROR(SEARCH("Falso",K813)))</formula>
    </cfRule>
  </conditionalFormatting>
  <conditionalFormatting sqref="O858:O869">
    <cfRule type="cellIs" priority="8" operator="lessThan" dxfId="0" stopIfTrue="1">
      <formula>0</formula>
    </cfRule>
  </conditionalFormatting>
  <conditionalFormatting sqref="O871:O887">
    <cfRule type="cellIs" priority="7" operator="lessThan" dxfId="0" stopIfTrue="1">
      <formula>0</formula>
    </cfRule>
  </conditionalFormatting>
  <conditionalFormatting sqref="O893:O897">
    <cfRule type="cellIs" priority="6" operator="lessThan" dxfId="0" stopIfTrue="1">
      <formula>0</formula>
    </cfRule>
  </conditionalFormatting>
  <conditionalFormatting sqref="L888">
    <cfRule type="cellIs" priority="5" operator="lessThan" dxfId="0" stopIfTrue="1">
      <formula>0</formula>
    </cfRule>
  </conditionalFormatting>
  <conditionalFormatting sqref="L821:L856">
    <cfRule type="cellIs" priority="4" operator="lessThan" dxfId="0" stopIfTrue="1">
      <formula>0</formula>
    </cfRule>
  </conditionalFormatting>
  <conditionalFormatting sqref="L858:L869">
    <cfRule type="cellIs" priority="3" operator="lessThan" dxfId="0" stopIfTrue="1">
      <formula>0</formula>
    </cfRule>
  </conditionalFormatting>
  <conditionalFormatting sqref="L871:L887">
    <cfRule type="cellIs" priority="2" operator="lessThan" dxfId="0" stopIfTrue="1">
      <formula>0</formula>
    </cfRule>
  </conditionalFormatting>
  <conditionalFormatting sqref="L893:L897">
    <cfRule type="cellIs" priority="1" operator="lessThan" dxfId="0" stopIfTrue="1">
      <formula>0</formula>
    </cfRule>
  </conditionalFormatting>
  <dataValidations count="3">
    <dataValidation sqref="C903:C907 C912:C913" showDropDown="0" showInputMessage="1" showErrorMessage="1" allowBlank="1" type="list">
      <formula1>"SI,NO"</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O278:O279 O284:O285 O292" showDropDown="0" showInputMessage="1" showErrorMessage="1" allowBlank="1" errorTitle="INGRESE LA FECHA" error="FECHA DE VENCIMIENTO" type="date" operator="greaterThan">
      <formula1>39083</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xl/worksheets/sheet17.xml><?xml version="1.0" encoding="utf-8"?>
<worksheet xmlns="http://schemas.openxmlformats.org/spreadsheetml/2006/main">
  <sheetPr codeName="Hoja27">
    <tabColor theme="9" tint="0.3999755851924192"/>
    <outlinePr summaryBelow="1" summaryRight="1"/>
    <pageSetUpPr/>
  </sheetPr>
  <dimension ref="A1:AZ919"/>
  <sheetViews>
    <sheetView topLeftCell="A52" zoomScale="70" zoomScaleNormal="70" workbookViewId="0">
      <selection activeCell="D13" sqref="D13:D379"/>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n"/>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748"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496">
        <f>NOVIEMBRE!K13</f>
        <v/>
      </c>
      <c r="E13" s="731" t="n"/>
      <c r="F13" s="731" t="n"/>
      <c r="G13" s="730">
        <f>E13+F13</f>
        <v/>
      </c>
      <c r="H13" s="731" t="n"/>
      <c r="I13" s="731" t="n"/>
      <c r="J13" s="732">
        <f>AM13</f>
        <v/>
      </c>
      <c r="K13" s="738">
        <f>+(D13+G13)-(H13+I13+J13)</f>
        <v/>
      </c>
      <c r="L13" s="253" t="n"/>
      <c r="M13" s="254" t="n"/>
      <c r="N13" s="254" t="n"/>
      <c r="O13" s="1183" t="n"/>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inlineStr">
        <is>
          <t>AMAZONAS</t>
        </is>
      </c>
      <c r="AZ13" s="231" t="inlineStr">
        <is>
          <t>ENERO</t>
        </is>
      </c>
    </row>
    <row r="14" ht="18.75" customHeight="1">
      <c r="A14" s="973" t="n"/>
      <c r="B14" s="971" t="n"/>
      <c r="C14" s="972" t="n"/>
      <c r="D14" s="973" t="n"/>
      <c r="E14" s="994" t="n"/>
      <c r="F14" s="994" t="n"/>
      <c r="G14" s="973" t="n"/>
      <c r="H14" s="994" t="n"/>
      <c r="I14" s="994" t="n"/>
      <c r="J14" s="973" t="n"/>
      <c r="K14" s="973" t="n"/>
      <c r="L14" s="253" t="n"/>
      <c r="M14" s="254" t="n"/>
      <c r="N14" s="254" t="n"/>
      <c r="O14" s="1183" t="n"/>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inlineStr">
        <is>
          <t>ANTIOQUIA</t>
        </is>
      </c>
      <c r="AZ14" s="231" t="inlineStr">
        <is>
          <t>NOVIEMBRE</t>
        </is>
      </c>
    </row>
    <row r="15" ht="18.75" customHeight="1">
      <c r="A15" s="973" t="n"/>
      <c r="B15" s="971" t="n"/>
      <c r="C15" s="972" t="n"/>
      <c r="D15" s="973" t="n"/>
      <c r="E15" s="994" t="n"/>
      <c r="F15" s="994" t="n"/>
      <c r="G15" s="973" t="n"/>
      <c r="H15" s="994" t="n"/>
      <c r="I15" s="994" t="n"/>
      <c r="J15" s="973" t="n"/>
      <c r="K15" s="973" t="n"/>
      <c r="L15" s="253" t="n"/>
      <c r="M15" s="254" t="n"/>
      <c r="N15" s="254" t="n"/>
      <c r="O15" s="1183" t="n"/>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73"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inlineStr">
        <is>
          <t>ATLANTICO</t>
        </is>
      </c>
      <c r="AZ16" s="231" t="inlineStr">
        <is>
          <t>NOVIEMBRE</t>
        </is>
      </c>
    </row>
    <row r="17" ht="18.75" customHeight="1">
      <c r="A17" s="973" t="n"/>
      <c r="B17" s="971" t="n"/>
      <c r="C17" s="972" t="n"/>
      <c r="D17" s="973"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inlineStr">
        <is>
          <t>BARRANQUILLA</t>
        </is>
      </c>
      <c r="AZ17" s="231" t="inlineStr">
        <is>
          <t>MAYO</t>
        </is>
      </c>
    </row>
    <row r="18" ht="18.75" customHeight="1">
      <c r="A18" s="975" t="n"/>
      <c r="B18" s="1182" t="n"/>
      <c r="C18" s="1103" t="n"/>
      <c r="D18" s="975"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JUNIO</t>
        </is>
      </c>
    </row>
    <row r="19" ht="18.75" customHeight="1">
      <c r="A19" s="741">
        <f>A13+1</f>
        <v/>
      </c>
      <c r="B19" s="733" t="inlineStr">
        <is>
          <t>Vacuna de Hepatitis B Recombinante Pediátrica - Liquida</t>
        </is>
      </c>
      <c r="C19" s="965" t="n"/>
      <c r="D19" s="496">
        <f>NOVIEMBRE!K19</f>
        <v/>
      </c>
      <c r="E19" s="731" t="n"/>
      <c r="F19" s="731" t="n"/>
      <c r="G19" s="730">
        <f>E19+F19</f>
        <v/>
      </c>
      <c r="H19" s="731" t="n"/>
      <c r="I19" s="731" t="n"/>
      <c r="J19" s="732">
        <f>AM19</f>
        <v/>
      </c>
      <c r="K19" s="738">
        <f>+(D19+G19)-(H19+I19+J19)</f>
        <v/>
      </c>
      <c r="L19" s="253" t="n"/>
      <c r="M19" s="254" t="n"/>
      <c r="N19" s="254" t="n"/>
      <c r="O19" s="1183" t="n"/>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inlineStr">
        <is>
          <t>BOLIVAR</t>
        </is>
      </c>
      <c r="AZ19" s="231" t="inlineStr">
        <is>
          <t>JULIO</t>
        </is>
      </c>
    </row>
    <row r="20" ht="18.75" customHeight="1">
      <c r="A20" s="973" t="n"/>
      <c r="B20" s="971" t="n"/>
      <c r="C20" s="972" t="n"/>
      <c r="D20" s="973" t="n"/>
      <c r="E20" s="994" t="n"/>
      <c r="F20" s="994" t="n"/>
      <c r="G20" s="973" t="n"/>
      <c r="H20" s="994" t="n"/>
      <c r="I20" s="994" t="n"/>
      <c r="J20" s="973" t="n"/>
      <c r="K20" s="973" t="n"/>
      <c r="L20" s="253" t="n"/>
      <c r="M20" s="254" t="n"/>
      <c r="N20" s="254" t="n"/>
      <c r="O20" s="1183" t="n"/>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73" t="n"/>
      <c r="E21" s="994" t="n"/>
      <c r="F21" s="994" t="n"/>
      <c r="G21" s="973" t="n"/>
      <c r="H21" s="994" t="n"/>
      <c r="I21" s="994" t="n"/>
      <c r="J21" s="973" t="n"/>
      <c r="K21" s="973" t="n"/>
      <c r="L21" s="253" t="n"/>
      <c r="M21" s="254" t="n"/>
      <c r="N21" s="254" t="n"/>
      <c r="O21" s="1183" t="n"/>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inlineStr">
        <is>
          <t>CARTAGENA</t>
        </is>
      </c>
      <c r="AZ21" s="231" t="inlineStr">
        <is>
          <t>AGOSTO</t>
        </is>
      </c>
    </row>
    <row r="22" ht="18.75" customHeight="1">
      <c r="A22" s="973" t="n"/>
      <c r="B22" s="971" t="n"/>
      <c r="C22" s="972" t="n"/>
      <c r="D22" s="973" t="n"/>
      <c r="E22" s="994" t="n"/>
      <c r="F22" s="994" t="n"/>
      <c r="G22" s="973" t="n"/>
      <c r="H22" s="994" t="n"/>
      <c r="I22" s="994" t="n"/>
      <c r="J22" s="973" t="n"/>
      <c r="K22" s="973" t="n"/>
      <c r="L22" s="253" t="n"/>
      <c r="M22" s="254" t="n"/>
      <c r="N22" s="254" t="n"/>
      <c r="O22" s="1183" t="n"/>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inlineStr">
        <is>
          <t>BOYACA</t>
        </is>
      </c>
      <c r="AZ22" s="231" t="inlineStr">
        <is>
          <t>SEPTIEMBRE</t>
        </is>
      </c>
    </row>
    <row r="23" ht="18.75" customHeight="1">
      <c r="A23" s="973" t="n"/>
      <c r="B23" s="971" t="n"/>
      <c r="C23" s="972" t="n"/>
      <c r="D23" s="973"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inlineStr">
        <is>
          <t>CAQUETA</t>
        </is>
      </c>
      <c r="AZ23" s="231" t="inlineStr">
        <is>
          <t>NOVIEMBRE</t>
        </is>
      </c>
    </row>
    <row r="24" ht="18.75" customHeight="1">
      <c r="A24" s="975" t="n"/>
      <c r="B24" s="1182" t="n"/>
      <c r="C24" s="1103" t="n"/>
      <c r="D24" s="975"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496">
        <f>NOVIEMBRE!K25</f>
        <v/>
      </c>
      <c r="E25" s="731" t="n"/>
      <c r="F25" s="731" t="n"/>
      <c r="G25" s="730">
        <f>E25+F25</f>
        <v/>
      </c>
      <c r="H25" s="731" t="n"/>
      <c r="I25" s="731" t="n"/>
      <c r="J25" s="732">
        <f>AM25</f>
        <v/>
      </c>
      <c r="K25" s="738">
        <f>+(D25+G25)-(H25+I25+J25)</f>
        <v/>
      </c>
      <c r="L25" s="253" t="n"/>
      <c r="M25" s="254" t="n"/>
      <c r="N25" s="254" t="n"/>
      <c r="O25" s="1183" t="n"/>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inlineStr">
        <is>
          <t>BOLIVAR</t>
        </is>
      </c>
    </row>
    <row r="26" ht="18.75" customHeight="1">
      <c r="A26" s="973" t="n"/>
      <c r="B26" s="971" t="n"/>
      <c r="C26" s="972" t="n"/>
      <c r="D26" s="973"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73"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inlineStr">
        <is>
          <t>CARTAGENA</t>
        </is>
      </c>
    </row>
    <row r="28" ht="18.75" customHeight="1">
      <c r="A28" s="973" t="n"/>
      <c r="B28" s="971" t="n"/>
      <c r="C28" s="972" t="n"/>
      <c r="D28" s="973"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inlineStr">
        <is>
          <t>BOYACA</t>
        </is>
      </c>
    </row>
    <row r="29" ht="18.75" customHeight="1">
      <c r="A29" s="973" t="n"/>
      <c r="B29" s="971" t="n"/>
      <c r="C29" s="972" t="n"/>
      <c r="D29" s="973"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inlineStr">
        <is>
          <t>CAQUETA</t>
        </is>
      </c>
    </row>
    <row r="30" ht="18.75" customHeight="1">
      <c r="A30" s="975" t="n"/>
      <c r="B30" s="1182" t="n"/>
      <c r="C30" s="1103" t="n"/>
      <c r="D30" s="975"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496">
        <f>NOVIEMBRE!K31</f>
        <v/>
      </c>
      <c r="E31" s="731" t="n"/>
      <c r="F31" s="731" t="n"/>
      <c r="G31" s="730">
        <f>E31+F31</f>
        <v/>
      </c>
      <c r="H31" s="731" t="n"/>
      <c r="I31" s="731" t="n"/>
      <c r="J31" s="732">
        <f>AM31</f>
        <v/>
      </c>
      <c r="K31" s="738">
        <f>+(D31+G31)-(H31+I31+J31)</f>
        <v/>
      </c>
      <c r="L31" s="253" t="n"/>
      <c r="M31" s="254" t="n"/>
      <c r="N31" s="254" t="n"/>
      <c r="O31" s="1183" t="n"/>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inlineStr">
        <is>
          <t>CAUCA</t>
        </is>
      </c>
    </row>
    <row r="32" ht="18.75" customHeight="1">
      <c r="A32" s="973" t="n"/>
      <c r="B32" s="971" t="n"/>
      <c r="C32" s="972" t="n"/>
      <c r="D32" s="973" t="n"/>
      <c r="E32" s="994" t="n"/>
      <c r="F32" s="994" t="n"/>
      <c r="G32" s="973" t="n"/>
      <c r="H32" s="994" t="n"/>
      <c r="I32" s="994" t="n"/>
      <c r="J32" s="973" t="n"/>
      <c r="K32" s="973" t="n"/>
      <c r="L32" s="253" t="n"/>
      <c r="M32" s="254" t="n"/>
      <c r="N32" s="254" t="n"/>
      <c r="O32" s="1183" t="n"/>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73" t="n"/>
      <c r="E33" s="994" t="n"/>
      <c r="F33" s="994" t="n"/>
      <c r="G33" s="973" t="n"/>
      <c r="H33" s="994" t="n"/>
      <c r="I33" s="994" t="n"/>
      <c r="J33" s="973" t="n"/>
      <c r="K33" s="973" t="n"/>
      <c r="L33" s="253" t="n"/>
      <c r="M33" s="254" t="n"/>
      <c r="N33" s="254" t="n"/>
      <c r="O33" s="1183" t="n"/>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inlineStr">
        <is>
          <t>CESAR</t>
        </is>
      </c>
    </row>
    <row r="34" ht="18.75" customHeight="1">
      <c r="A34" s="973" t="n"/>
      <c r="B34" s="971" t="n"/>
      <c r="C34" s="972" t="n"/>
      <c r="D34" s="973"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inlineStr">
        <is>
          <t>CHOCO</t>
        </is>
      </c>
    </row>
    <row r="35" ht="18.75" customHeight="1">
      <c r="A35" s="973" t="n"/>
      <c r="B35" s="971" t="n"/>
      <c r="C35" s="972" t="n"/>
      <c r="D35" s="973"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inlineStr">
        <is>
          <t>CORDOBA</t>
        </is>
      </c>
    </row>
    <row r="36" ht="18.75" customHeight="1">
      <c r="A36" s="975" t="n"/>
      <c r="B36" s="1182" t="n"/>
      <c r="C36" s="1103" t="n"/>
      <c r="D36" s="975"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496">
        <f>NOVIEMBRE!K37</f>
        <v/>
      </c>
      <c r="E37" s="731" t="n"/>
      <c r="F37" s="731" t="n"/>
      <c r="G37" s="730">
        <f>E37+F37</f>
        <v/>
      </c>
      <c r="H37" s="731" t="n"/>
      <c r="I37" s="731" t="n"/>
      <c r="J37" s="732">
        <f>AM37</f>
        <v/>
      </c>
      <c r="K37" s="738">
        <f>+(D37+G37)-(H37+I37+J37)</f>
        <v/>
      </c>
      <c r="L37" s="253" t="n"/>
      <c r="M37" s="254" t="n"/>
      <c r="N37" s="254" t="n"/>
      <c r="O37" s="1183" t="n"/>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inlineStr">
        <is>
          <t>NARIÑO</t>
        </is>
      </c>
    </row>
    <row r="38" ht="19.5" customHeight="1">
      <c r="A38" s="973" t="n"/>
      <c r="B38" s="971" t="n"/>
      <c r="C38" s="972" t="n"/>
      <c r="D38" s="973" t="n"/>
      <c r="E38" s="994" t="n"/>
      <c r="F38" s="994" t="n"/>
      <c r="G38" s="973" t="n"/>
      <c r="H38" s="994" t="n"/>
      <c r="I38" s="994" t="n"/>
      <c r="J38" s="973" t="n"/>
      <c r="K38" s="973" t="n"/>
      <c r="L38" s="253" t="n"/>
      <c r="M38" s="254" t="n"/>
      <c r="N38" s="254" t="n"/>
      <c r="O38" s="1183" t="n"/>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73" t="n"/>
      <c r="E39" s="994" t="n"/>
      <c r="F39" s="994" t="n"/>
      <c r="G39" s="973" t="n"/>
      <c r="H39" s="994" t="n"/>
      <c r="I39" s="994" t="n"/>
      <c r="J39" s="973" t="n"/>
      <c r="K39" s="973" t="n"/>
      <c r="L39" s="253" t="n"/>
      <c r="M39" s="254" t="n"/>
      <c r="N39" s="254" t="n"/>
      <c r="O39" s="1183" t="n"/>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inlineStr">
        <is>
          <t>NORTE DE SANTANDER</t>
        </is>
      </c>
    </row>
    <row r="40" ht="19.5" customHeight="1">
      <c r="A40" s="973" t="n"/>
      <c r="B40" s="971" t="n"/>
      <c r="C40" s="972" t="n"/>
      <c r="D40" s="973"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73"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inlineStr">
        <is>
          <t>PUTUMAYO</t>
        </is>
      </c>
    </row>
    <row r="42" ht="19.5" customHeight="1">
      <c r="A42" s="975" t="n"/>
      <c r="B42" s="1182" t="n"/>
      <c r="C42" s="1103" t="n"/>
      <c r="D42" s="975"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496">
        <f>NOVIEMBRE!K43</f>
        <v/>
      </c>
      <c r="E43" s="731" t="n"/>
      <c r="F43" s="731" t="n"/>
      <c r="G43" s="730">
        <f>E43+F43</f>
        <v/>
      </c>
      <c r="H43" s="731" t="n"/>
      <c r="I43" s="731" t="n"/>
      <c r="J43" s="732">
        <f>AM43</f>
        <v/>
      </c>
      <c r="K43" s="706">
        <f>+(D43+G43)-(H43+I43+J43)</f>
        <v/>
      </c>
      <c r="L43" s="253" t="n"/>
      <c r="M43" s="254" t="n"/>
      <c r="N43" s="254" t="n"/>
      <c r="O43" s="1183" t="n"/>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inlineStr">
        <is>
          <t>NARIÑO</t>
        </is>
      </c>
    </row>
    <row r="44" ht="19.5" customHeight="1">
      <c r="A44" s="973" t="n"/>
      <c r="B44" s="971" t="n"/>
      <c r="C44" s="972" t="n"/>
      <c r="D44" s="973"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73"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inlineStr">
        <is>
          <t>NORTE DE SANTANDER</t>
        </is>
      </c>
    </row>
    <row r="46" ht="19.5" customHeight="1">
      <c r="A46" s="973" t="n"/>
      <c r="B46" s="971" t="n"/>
      <c r="C46" s="972" t="n"/>
      <c r="D46" s="973"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inlineStr">
        <is>
          <t>PUTUMAYO</t>
        </is>
      </c>
    </row>
    <row r="47" ht="19.5" customHeight="1">
      <c r="A47" s="973" t="n"/>
      <c r="B47" s="971" t="n"/>
      <c r="C47" s="972" t="n"/>
      <c r="D47" s="973"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inlineStr">
        <is>
          <t>QUINDIO</t>
        </is>
      </c>
    </row>
    <row r="48" ht="19.5" customHeight="1">
      <c r="A48" s="975" t="n"/>
      <c r="B48" s="1182" t="n"/>
      <c r="C48" s="1103" t="n"/>
      <c r="D48" s="975"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496">
        <f>NOVIEMBRE!K49</f>
        <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inlineStr">
        <is>
          <t>NARIÑO</t>
        </is>
      </c>
    </row>
    <row r="50" ht="19.5" customHeight="1">
      <c r="A50" s="973" t="n"/>
      <c r="B50" s="971" t="n"/>
      <c r="C50" s="972" t="n"/>
      <c r="D50" s="973"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73"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inlineStr">
        <is>
          <t>NORTE DE SANTANDER</t>
        </is>
      </c>
    </row>
    <row r="52" ht="19.5" customHeight="1">
      <c r="A52" s="973" t="n"/>
      <c r="B52" s="971" t="n"/>
      <c r="C52" s="972" t="n"/>
      <c r="D52" s="973"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inlineStr">
        <is>
          <t>PUTUMAYO</t>
        </is>
      </c>
    </row>
    <row r="53" ht="19.5" customHeight="1">
      <c r="A53" s="973" t="n"/>
      <c r="B53" s="971" t="n"/>
      <c r="C53" s="972" t="n"/>
      <c r="D53" s="973"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inlineStr">
        <is>
          <t>QUINDIO</t>
        </is>
      </c>
    </row>
    <row r="54" ht="19.5" customHeight="1">
      <c r="A54" s="975" t="n"/>
      <c r="B54" s="1182" t="n"/>
      <c r="C54" s="1103" t="n"/>
      <c r="D54" s="975"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496">
        <f>NOVIEMBRE!K55</f>
        <v/>
      </c>
      <c r="E55" s="731" t="n"/>
      <c r="F55" s="731" t="n"/>
      <c r="G55" s="730">
        <f>E55+F55</f>
        <v/>
      </c>
      <c r="H55" s="731" t="n"/>
      <c r="I55" s="731" t="n"/>
      <c r="J55" s="732">
        <f>AM55</f>
        <v/>
      </c>
      <c r="K55" s="738">
        <f>+(D55+G55)-(H55+I55+J55)</f>
        <v/>
      </c>
      <c r="L55" s="253" t="n"/>
      <c r="M55" s="254" t="n"/>
      <c r="N55" s="254" t="n"/>
      <c r="O55" s="1183" t="n"/>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inlineStr">
        <is>
          <t>SANTANDER</t>
        </is>
      </c>
    </row>
    <row r="56" ht="19.5" customHeight="1">
      <c r="A56" s="973" t="n"/>
      <c r="B56" s="971" t="n"/>
      <c r="C56" s="972" t="n"/>
      <c r="D56" s="973" t="n"/>
      <c r="E56" s="994" t="n"/>
      <c r="F56" s="994" t="n"/>
      <c r="G56" s="973" t="n"/>
      <c r="H56" s="994" t="n"/>
      <c r="I56" s="994" t="n"/>
      <c r="J56" s="973" t="n"/>
      <c r="K56" s="973" t="n"/>
      <c r="L56" s="253" t="n"/>
      <c r="M56" s="254" t="n"/>
      <c r="N56" s="254" t="n"/>
      <c r="O56" s="1183" t="n"/>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73"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inlineStr">
        <is>
          <t>SUCRE</t>
        </is>
      </c>
    </row>
    <row r="58" ht="19.5" customHeight="1">
      <c r="A58" s="973" t="n"/>
      <c r="B58" s="971" t="n"/>
      <c r="C58" s="972" t="n"/>
      <c r="D58" s="973"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inlineStr">
        <is>
          <t>TOLIMA</t>
        </is>
      </c>
    </row>
    <row r="59" ht="19.5" customHeight="1">
      <c r="A59" s="973" t="n"/>
      <c r="B59" s="971" t="n"/>
      <c r="C59" s="972" t="n"/>
      <c r="D59" s="973"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inlineStr">
        <is>
          <t>VALLE</t>
        </is>
      </c>
    </row>
    <row r="60" ht="19.5" customHeight="1">
      <c r="A60" s="975" t="n"/>
      <c r="B60" s="971" t="n"/>
      <c r="C60" s="972" t="n"/>
      <c r="D60" s="975"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496">
        <f>NOVIEMBRE!K61</f>
        <v/>
      </c>
      <c r="E61" s="731" t="n"/>
      <c r="F61" s="731" t="n"/>
      <c r="G61" s="730">
        <f>E61+F61</f>
        <v/>
      </c>
      <c r="H61" s="731" t="n"/>
      <c r="I61" s="731" t="n"/>
      <c r="J61" s="732">
        <f>AM61</f>
        <v/>
      </c>
      <c r="K61" s="738">
        <f>+(D61+G61)-(H61+I61+J61)</f>
        <v/>
      </c>
      <c r="L61" s="253" t="n"/>
      <c r="M61" s="254" t="n"/>
      <c r="N61" s="254" t="n"/>
      <c r="O61" s="1183" t="n"/>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inlineStr">
        <is>
          <t>VICHADA</t>
        </is>
      </c>
    </row>
    <row r="62" ht="19.5" customHeight="1">
      <c r="A62" s="973" t="n"/>
      <c r="B62" s="971" t="n"/>
      <c r="C62" s="972" t="n"/>
      <c r="D62" s="973"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73"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73"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73"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75"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496">
        <f>NOVIEMBRE!K67</f>
        <v/>
      </c>
      <c r="E67" s="731" t="n"/>
      <c r="F67" s="731" t="n"/>
      <c r="G67" s="730">
        <f>E67+F67</f>
        <v/>
      </c>
      <c r="H67" s="731" t="n"/>
      <c r="I67" s="731" t="n"/>
      <c r="J67" s="732">
        <f>AM67</f>
        <v/>
      </c>
      <c r="K67" s="738">
        <f>+(D67+G67)-(H67+I67+J67)</f>
        <v/>
      </c>
      <c r="L67" s="253" t="n"/>
      <c r="M67" s="254" t="n"/>
      <c r="N67" s="254" t="n"/>
      <c r="O67" s="1183" t="n"/>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73" t="n"/>
      <c r="E68" s="994" t="n"/>
      <c r="F68" s="994" t="n"/>
      <c r="G68" s="973" t="n"/>
      <c r="H68" s="994" t="n"/>
      <c r="I68" s="994" t="n"/>
      <c r="J68" s="973" t="n"/>
      <c r="K68" s="973" t="n"/>
      <c r="L68" s="253" t="n"/>
      <c r="M68" s="254" t="n"/>
      <c r="N68" s="254" t="n"/>
      <c r="O68" s="1183" t="n"/>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73" t="n"/>
      <c r="E69" s="994" t="n"/>
      <c r="F69" s="994" t="n"/>
      <c r="G69" s="973" t="n"/>
      <c r="H69" s="994" t="n"/>
      <c r="I69" s="994" t="n"/>
      <c r="J69" s="973" t="n"/>
      <c r="K69" s="973" t="n"/>
      <c r="L69" s="253" t="n"/>
      <c r="M69" s="254" t="n"/>
      <c r="N69" s="254" t="n"/>
      <c r="O69" s="1183" t="n"/>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73"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73"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75"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496">
        <f>NOVIEMBRE!K73</f>
        <v/>
      </c>
      <c r="E73" s="731" t="n"/>
      <c r="F73" s="731" t="n"/>
      <c r="G73" s="730">
        <f>E73+F73</f>
        <v/>
      </c>
      <c r="H73" s="731" t="n"/>
      <c r="I73" s="731" t="n"/>
      <c r="J73" s="732">
        <f>AM73</f>
        <v/>
      </c>
      <c r="K73" s="738">
        <f>+(D73+G73)-(H73+I73+J73)</f>
        <v/>
      </c>
      <c r="L73" s="253" t="n"/>
      <c r="M73" s="254" t="n"/>
      <c r="N73" s="254" t="n"/>
      <c r="O73" s="1183" t="n"/>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73" t="n"/>
      <c r="E74" s="994" t="n"/>
      <c r="F74" s="994" t="n"/>
      <c r="G74" s="973" t="n"/>
      <c r="H74" s="994" t="n"/>
      <c r="I74" s="994" t="n"/>
      <c r="J74" s="973" t="n"/>
      <c r="K74" s="973" t="n"/>
      <c r="L74" s="253" t="n"/>
      <c r="M74" s="254" t="n"/>
      <c r="N74" s="254" t="n"/>
      <c r="O74" s="1183" t="n"/>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73" t="n"/>
      <c r="E75" s="994" t="n"/>
      <c r="F75" s="994" t="n"/>
      <c r="G75" s="973" t="n"/>
      <c r="H75" s="994" t="n"/>
      <c r="I75" s="994" t="n"/>
      <c r="J75" s="973" t="n"/>
      <c r="K75" s="973" t="n"/>
      <c r="L75" s="253" t="n"/>
      <c r="M75" s="254" t="n"/>
      <c r="N75" s="254" t="n"/>
      <c r="O75" s="1183" t="n"/>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73"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73"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75"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496">
        <f>NOVIEMBRE!K79</f>
        <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73"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73"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73"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73"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75"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496">
        <f>NOVIEMBRE!K85</f>
        <v/>
      </c>
      <c r="E85" s="731" t="n"/>
      <c r="F85" s="731" t="n"/>
      <c r="G85" s="730">
        <f>E85+F85</f>
        <v/>
      </c>
      <c r="H85" s="731" t="n"/>
      <c r="I85" s="731" t="n"/>
      <c r="J85" s="732">
        <f>AM85</f>
        <v/>
      </c>
      <c r="K85" s="738">
        <f>+(D85+G85)-(H85+I85+J85)</f>
        <v/>
      </c>
      <c r="L85" s="253" t="n"/>
      <c r="M85" s="254" t="n"/>
      <c r="N85" s="254" t="n"/>
      <c r="O85" s="1183" t="n"/>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73" t="n"/>
      <c r="E86" s="994" t="n"/>
      <c r="F86" s="994" t="n"/>
      <c r="G86" s="973" t="n"/>
      <c r="H86" s="994" t="n"/>
      <c r="I86" s="994" t="n"/>
      <c r="J86" s="973" t="n"/>
      <c r="K86" s="973" t="n"/>
      <c r="L86" s="253" t="n"/>
      <c r="M86" s="254" t="n"/>
      <c r="N86" s="254" t="n"/>
      <c r="O86" s="1183" t="n"/>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73" t="n"/>
      <c r="E87" s="994" t="n"/>
      <c r="F87" s="994" t="n"/>
      <c r="G87" s="973" t="n"/>
      <c r="H87" s="994" t="n"/>
      <c r="I87" s="994" t="n"/>
      <c r="J87" s="973" t="n"/>
      <c r="K87" s="973" t="n"/>
      <c r="L87" s="253" t="n"/>
      <c r="M87" s="254" t="n"/>
      <c r="N87" s="254" t="n"/>
      <c r="O87" s="1183" t="n"/>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73" t="n"/>
      <c r="E88" s="994" t="n"/>
      <c r="F88" s="994" t="n"/>
      <c r="G88" s="973" t="n"/>
      <c r="H88" s="994" t="n"/>
      <c r="I88" s="994" t="n"/>
      <c r="J88" s="973" t="n"/>
      <c r="K88" s="973" t="n"/>
      <c r="L88" s="253" t="n"/>
      <c r="M88" s="254" t="n"/>
      <c r="N88" s="254" t="n"/>
      <c r="O88" s="1183" t="n"/>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73"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75"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496">
        <f>NOVIEMBRE!K91</f>
        <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73"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73"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73"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73"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75"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496">
        <f>NOVIEMBRE!K97</f>
        <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73"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73"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73"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73"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75"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496">
        <f>NOVIEMBRE!K103</f>
        <v/>
      </c>
      <c r="E103" s="731" t="n"/>
      <c r="F103" s="731" t="n"/>
      <c r="G103" s="730">
        <f>E103+F103</f>
        <v/>
      </c>
      <c r="H103" s="731" t="n"/>
      <c r="I103" s="731" t="n"/>
      <c r="J103" s="732">
        <f>AM103</f>
        <v/>
      </c>
      <c r="K103" s="738">
        <f>+(D103+G103)-(H103+I103+J103)</f>
        <v/>
      </c>
      <c r="L103" s="253" t="n"/>
      <c r="M103" s="254" t="n"/>
      <c r="N103" s="254" t="n"/>
      <c r="O103" s="1183" t="n"/>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73" t="n"/>
      <c r="E104" s="994" t="n"/>
      <c r="F104" s="994" t="n"/>
      <c r="G104" s="973" t="n"/>
      <c r="H104" s="994" t="n"/>
      <c r="I104" s="994" t="n"/>
      <c r="J104" s="973" t="n"/>
      <c r="K104" s="973" t="n"/>
      <c r="L104" s="253" t="n"/>
      <c r="M104" s="254" t="n"/>
      <c r="N104" s="254" t="n"/>
      <c r="O104" s="1183" t="n"/>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73"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73"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73"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75"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496">
        <f>NOVIEMBRE!K109</f>
        <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73"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73"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73"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73"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75"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496">
        <f>NOVIEMBRE!K115</f>
        <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73"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73"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73"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73"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75"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496">
        <f>NOVIEMBRE!K121</f>
        <v/>
      </c>
      <c r="E121" s="731" t="n"/>
      <c r="F121" s="731" t="n"/>
      <c r="G121" s="730">
        <f>E121+F121</f>
        <v/>
      </c>
      <c r="H121" s="731" t="n"/>
      <c r="I121" s="731" t="n"/>
      <c r="J121" s="732">
        <f>AM121</f>
        <v/>
      </c>
      <c r="K121" s="738">
        <f>+(D121+G121)-(H121+I121+J121)</f>
        <v/>
      </c>
      <c r="L121" s="253" t="n"/>
      <c r="M121" s="254" t="n"/>
      <c r="N121" s="254" t="n"/>
      <c r="O121" s="1183" t="n"/>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73" t="n"/>
      <c r="E122" s="994" t="n"/>
      <c r="F122" s="994" t="n"/>
      <c r="G122" s="973" t="n"/>
      <c r="H122" s="994" t="n"/>
      <c r="I122" s="994" t="n"/>
      <c r="J122" s="973" t="n"/>
      <c r="K122" s="973" t="n"/>
      <c r="L122" s="253" t="n"/>
      <c r="M122" s="254" t="n"/>
      <c r="N122" s="254" t="n"/>
      <c r="O122" s="1183" t="n"/>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73" t="n"/>
      <c r="E123" s="994" t="n"/>
      <c r="F123" s="994" t="n"/>
      <c r="G123" s="973" t="n"/>
      <c r="H123" s="994" t="n"/>
      <c r="I123" s="994" t="n"/>
      <c r="J123" s="973" t="n"/>
      <c r="K123" s="973" t="n"/>
      <c r="L123" s="253" t="n"/>
      <c r="M123" s="254" t="n"/>
      <c r="N123" s="254" t="n"/>
      <c r="O123" s="1183" t="n"/>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73"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73"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75"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496">
        <f>NOVIEMBRE!K127</f>
        <v/>
      </c>
      <c r="E127" s="731" t="n"/>
      <c r="F127" s="731" t="n"/>
      <c r="G127" s="730">
        <f>E127+F127</f>
        <v/>
      </c>
      <c r="H127" s="731" t="n"/>
      <c r="I127" s="731" t="n"/>
      <c r="J127" s="732">
        <f>AM127</f>
        <v/>
      </c>
      <c r="K127" s="738">
        <f>+(D127+G127)-(H127+I127+J127)</f>
        <v/>
      </c>
      <c r="L127" s="253" t="n"/>
      <c r="M127" s="254" t="n"/>
      <c r="N127" s="254" t="n"/>
      <c r="O127" s="1183" t="n"/>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73" t="n"/>
      <c r="E128" s="994" t="n"/>
      <c r="F128" s="994" t="n"/>
      <c r="G128" s="973" t="n"/>
      <c r="H128" s="994" t="n"/>
      <c r="I128" s="994" t="n"/>
      <c r="J128" s="973" t="n"/>
      <c r="K128" s="973" t="n"/>
      <c r="L128" s="253" t="n"/>
      <c r="M128" s="254" t="n"/>
      <c r="N128" s="254" t="n"/>
      <c r="O128" s="1183" t="n"/>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73" t="n"/>
      <c r="E129" s="994" t="n"/>
      <c r="F129" s="994" t="n"/>
      <c r="G129" s="973" t="n"/>
      <c r="H129" s="994" t="n"/>
      <c r="I129" s="994" t="n"/>
      <c r="J129" s="973" t="n"/>
      <c r="K129" s="973" t="n"/>
      <c r="L129" s="253" t="n"/>
      <c r="M129" s="254" t="n"/>
      <c r="N129" s="254" t="n"/>
      <c r="O129" s="1183" t="n"/>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73"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73"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75"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496">
        <f>NOVIEMBRE!K133</f>
        <v/>
      </c>
      <c r="E133" s="731" t="n"/>
      <c r="F133" s="731" t="n"/>
      <c r="G133" s="730">
        <f>E133+F133</f>
        <v/>
      </c>
      <c r="H133" s="731" t="n"/>
      <c r="I133" s="731" t="n"/>
      <c r="J133" s="732">
        <f>AM133</f>
        <v/>
      </c>
      <c r="K133" s="738">
        <f>+(D133+G133)-(H133+I133+J133)</f>
        <v/>
      </c>
      <c r="L133" s="253" t="n"/>
      <c r="M133" s="254" t="n"/>
      <c r="N133" s="254" t="n"/>
      <c r="O133" s="1183" t="n"/>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73" t="n"/>
      <c r="E134" s="994" t="n"/>
      <c r="F134" s="994" t="n"/>
      <c r="G134" s="973" t="n"/>
      <c r="H134" s="994" t="n"/>
      <c r="I134" s="994" t="n"/>
      <c r="J134" s="973" t="n"/>
      <c r="K134" s="973" t="n"/>
      <c r="L134" s="253" t="n"/>
      <c r="M134" s="254" t="n"/>
      <c r="N134" s="254" t="n"/>
      <c r="O134" s="1183" t="n"/>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73" t="n"/>
      <c r="E135" s="994" t="n"/>
      <c r="F135" s="994" t="n"/>
      <c r="G135" s="973" t="n"/>
      <c r="H135" s="994" t="n"/>
      <c r="I135" s="994" t="n"/>
      <c r="J135" s="973" t="n"/>
      <c r="K135" s="973" t="n"/>
      <c r="L135" s="253" t="n"/>
      <c r="M135" s="254" t="n"/>
      <c r="N135" s="254" t="n"/>
      <c r="O135" s="1183" t="n"/>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73"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73"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75"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496">
        <f>NOVIEMBRE!K139</f>
        <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73"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73"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73"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73"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75"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496">
        <f>NOVIEMBRE!K145</f>
        <v/>
      </c>
      <c r="E145" s="731" t="n"/>
      <c r="F145" s="731" t="n"/>
      <c r="G145" s="730">
        <f>E145+F145</f>
        <v/>
      </c>
      <c r="H145" s="731" t="n"/>
      <c r="I145" s="731" t="n"/>
      <c r="J145" s="732">
        <f>AM145</f>
        <v/>
      </c>
      <c r="K145" s="738">
        <f>+(D145+G145)-(H145+I145+J145)</f>
        <v/>
      </c>
      <c r="L145" s="253" t="n"/>
      <c r="M145" s="254" t="n"/>
      <c r="N145" s="254" t="n"/>
      <c r="O145" s="1183" t="n"/>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73" t="n"/>
      <c r="E146" s="994" t="n"/>
      <c r="F146" s="994" t="n"/>
      <c r="G146" s="973" t="n"/>
      <c r="H146" s="994" t="n"/>
      <c r="I146" s="994" t="n"/>
      <c r="J146" s="973" t="n"/>
      <c r="K146" s="973" t="n"/>
      <c r="L146" s="253" t="n"/>
      <c r="M146" s="254" t="n"/>
      <c r="N146" s="254" t="n"/>
      <c r="O146" s="1183" t="n"/>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73"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73"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73"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75"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496">
        <f>NOVIEMBRE!K151</f>
        <v/>
      </c>
      <c r="E151" s="731" t="n"/>
      <c r="F151" s="731" t="n"/>
      <c r="G151" s="730">
        <f>E151+F151</f>
        <v/>
      </c>
      <c r="H151" s="731" t="n"/>
      <c r="I151" s="731" t="n"/>
      <c r="J151" s="732">
        <f>AM151</f>
        <v/>
      </c>
      <c r="K151" s="738">
        <f>+(D151+G151)-(H151+I151+J151)</f>
        <v/>
      </c>
      <c r="L151" s="253" t="n"/>
      <c r="M151" s="254" t="n"/>
      <c r="N151" s="254" t="n"/>
      <c r="O151" s="1183" t="n"/>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73" t="n"/>
      <c r="E152" s="994" t="n"/>
      <c r="F152" s="994" t="n"/>
      <c r="G152" s="973" t="n"/>
      <c r="H152" s="994" t="n"/>
      <c r="I152" s="994" t="n"/>
      <c r="J152" s="973" t="n"/>
      <c r="K152" s="973" t="n"/>
      <c r="L152" s="253" t="n"/>
      <c r="M152" s="254" t="n"/>
      <c r="N152" s="254" t="n"/>
      <c r="O152" s="1183" t="n"/>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73"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73"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73"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75"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496">
        <f>NOVIEMBRE!K157</f>
        <v/>
      </c>
      <c r="E157" s="731" t="n"/>
      <c r="F157" s="731" t="n"/>
      <c r="G157" s="730">
        <f>E157+F157</f>
        <v/>
      </c>
      <c r="H157" s="731" t="n"/>
      <c r="I157" s="731" t="n"/>
      <c r="J157" s="732">
        <f>AM157</f>
        <v/>
      </c>
      <c r="K157" s="738">
        <f>+(D157+G157)-(H157+I157+J157)</f>
        <v/>
      </c>
      <c r="L157" s="253" t="n"/>
      <c r="M157" s="254" t="n"/>
      <c r="N157" s="254" t="n"/>
      <c r="O157" s="1183" t="n"/>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73"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73"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73"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73"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75"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496">
        <f>NOVIEMBRE!K163</f>
        <v/>
      </c>
      <c r="E163" s="731" t="n"/>
      <c r="F163" s="731" t="n"/>
      <c r="G163" s="730">
        <f>E163+F163</f>
        <v/>
      </c>
      <c r="H163" s="731" t="n"/>
      <c r="I163" s="731" t="n"/>
      <c r="J163" s="732">
        <f>AM163</f>
        <v/>
      </c>
      <c r="K163" s="738">
        <f>+(D163+G163)-(H163+I163+J163)</f>
        <v/>
      </c>
      <c r="L163" s="253" t="n"/>
      <c r="M163" s="254" t="n"/>
      <c r="N163" s="254" t="n"/>
      <c r="O163" s="1183" t="n"/>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73" t="n"/>
      <c r="E164" s="994" t="n"/>
      <c r="F164" s="994" t="n"/>
      <c r="G164" s="973" t="n"/>
      <c r="H164" s="994" t="n"/>
      <c r="I164" s="994" t="n"/>
      <c r="J164" s="973" t="n"/>
      <c r="K164" s="973" t="n"/>
      <c r="L164" s="253" t="n"/>
      <c r="M164" s="254" t="n"/>
      <c r="N164" s="254" t="n"/>
      <c r="O164" s="1183" t="n"/>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73" t="n"/>
      <c r="E165" s="994" t="n"/>
      <c r="F165" s="994" t="n"/>
      <c r="G165" s="973" t="n"/>
      <c r="H165" s="994" t="n"/>
      <c r="I165" s="994" t="n"/>
      <c r="J165" s="973" t="n"/>
      <c r="K165" s="973" t="n"/>
      <c r="L165" s="253" t="n"/>
      <c r="M165" s="254" t="n"/>
      <c r="N165" s="254" t="n"/>
      <c r="O165" s="1183" t="n"/>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73"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73"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75"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496">
        <f>NOVIEMBRE!K169</f>
        <v/>
      </c>
      <c r="E169" s="731" t="n"/>
      <c r="F169" s="731" t="n"/>
      <c r="G169" s="730">
        <f>E169+F169</f>
        <v/>
      </c>
      <c r="H169" s="731" t="n"/>
      <c r="I169" s="731" t="n"/>
      <c r="J169" s="732">
        <f>AM169</f>
        <v/>
      </c>
      <c r="K169" s="738">
        <f>+(D169+G169)-(H169+I169+J169)</f>
        <v/>
      </c>
      <c r="L169" s="253" t="n"/>
      <c r="M169" s="254" t="n"/>
      <c r="N169" s="254" t="n"/>
      <c r="O169" s="1183" t="n"/>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73" t="n"/>
      <c r="E170" s="994" t="n"/>
      <c r="F170" s="994" t="n"/>
      <c r="G170" s="973" t="n"/>
      <c r="H170" s="994" t="n"/>
      <c r="I170" s="994" t="n"/>
      <c r="J170" s="973" t="n"/>
      <c r="K170" s="973" t="n"/>
      <c r="L170" s="253" t="n"/>
      <c r="M170" s="254"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73"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73"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73"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75"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496">
        <f>NOVIEMBRE!K175</f>
        <v/>
      </c>
      <c r="E175" s="731" t="n"/>
      <c r="F175" s="731" t="n"/>
      <c r="G175" s="730">
        <f>E175+F175</f>
        <v/>
      </c>
      <c r="H175" s="731" t="n"/>
      <c r="I175" s="731" t="n"/>
      <c r="J175" s="732">
        <f>AM175</f>
        <v/>
      </c>
      <c r="K175" s="738">
        <f>+(D175+G175)-(H175+I175+J175)</f>
        <v/>
      </c>
      <c r="L175" s="253" t="n"/>
      <c r="M175" s="254" t="n"/>
      <c r="N175" s="254" t="n"/>
      <c r="O175" s="1183" t="n"/>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73" t="n"/>
      <c r="E176" s="994" t="n"/>
      <c r="F176" s="994" t="n"/>
      <c r="G176" s="973" t="n"/>
      <c r="H176" s="994" t="n"/>
      <c r="I176" s="994" t="n"/>
      <c r="J176" s="973" t="n"/>
      <c r="K176" s="973" t="n"/>
      <c r="L176" s="253" t="n"/>
      <c r="M176" s="254" t="n"/>
      <c r="N176" s="254" t="n"/>
      <c r="O176" s="1183" t="n"/>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73" t="n"/>
      <c r="E177" s="994" t="n"/>
      <c r="F177" s="994" t="n"/>
      <c r="G177" s="973" t="n"/>
      <c r="H177" s="994" t="n"/>
      <c r="I177" s="994" t="n"/>
      <c r="J177" s="973" t="n"/>
      <c r="K177" s="973" t="n"/>
      <c r="L177" s="253" t="n"/>
      <c r="M177" s="254" t="n"/>
      <c r="N177" s="254" t="n"/>
      <c r="O177" s="1183" t="n"/>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73"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73"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75"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496">
        <f>NOVIEMBRE!K181</f>
        <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73"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73"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73"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73"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75"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496">
        <f>NOVIEMBRE!K187</f>
        <v/>
      </c>
      <c r="E187" s="731" t="n"/>
      <c r="F187" s="731" t="n"/>
      <c r="G187" s="730">
        <f>E187+F187</f>
        <v/>
      </c>
      <c r="H187" s="731" t="n"/>
      <c r="I187" s="731" t="n"/>
      <c r="J187" s="732">
        <f>AM187</f>
        <v/>
      </c>
      <c r="K187" s="738">
        <f>+(D187+G187)-(H187+I187+J187)</f>
        <v/>
      </c>
      <c r="L187" s="253" t="n"/>
      <c r="M187" s="254" t="n"/>
      <c r="N187" s="254" t="n"/>
      <c r="O187" s="1183" t="n"/>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73" t="n"/>
      <c r="E188" s="994" t="n"/>
      <c r="F188" s="994" t="n"/>
      <c r="G188" s="973" t="n"/>
      <c r="H188" s="994" t="n"/>
      <c r="I188" s="994" t="n"/>
      <c r="J188" s="973" t="n"/>
      <c r="K188" s="973" t="n"/>
      <c r="L188" s="253" t="n"/>
      <c r="M188" s="254" t="n"/>
      <c r="N188" s="254" t="n"/>
      <c r="O188" s="1183" t="n"/>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73"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73"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73"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75"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496">
        <f>NOVIEMBRE!K193</f>
        <v/>
      </c>
      <c r="E193" s="731" t="n"/>
      <c r="F193" s="731" t="n"/>
      <c r="G193" s="730">
        <f>E193+F193</f>
        <v/>
      </c>
      <c r="H193" s="731" t="n"/>
      <c r="I193" s="731" t="n"/>
      <c r="J193" s="732">
        <f>AM193</f>
        <v/>
      </c>
      <c r="K193" s="738">
        <f>+(D193+G193)-(H193+I193+J193)</f>
        <v/>
      </c>
      <c r="L193" s="253" t="n"/>
      <c r="M193" s="254" t="n"/>
      <c r="N193" s="254" t="n"/>
      <c r="O193" s="1183" t="n"/>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73"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73"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73"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73"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75"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496">
        <f>NOVIEMBRE!K199</f>
        <v/>
      </c>
      <c r="E199" s="731" t="n"/>
      <c r="F199" s="731" t="n"/>
      <c r="G199" s="730">
        <f>E199+F199</f>
        <v/>
      </c>
      <c r="H199" s="731" t="n"/>
      <c r="I199" s="731" t="n"/>
      <c r="J199" s="732">
        <f>AM199</f>
        <v/>
      </c>
      <c r="K199" s="738">
        <f>+(D199+G199)-(H199+I199+J199)</f>
        <v/>
      </c>
      <c r="L199" s="253" t="n"/>
      <c r="M199" s="254" t="n"/>
      <c r="N199" s="254" t="n"/>
      <c r="O199" s="1183" t="n"/>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73" t="n"/>
      <c r="E200" s="994" t="n"/>
      <c r="F200" s="994" t="n"/>
      <c r="G200" s="973" t="n"/>
      <c r="H200" s="994" t="n"/>
      <c r="I200" s="994" t="n"/>
      <c r="J200" s="973" t="n"/>
      <c r="K200" s="973" t="n"/>
      <c r="L200" s="253" t="n"/>
      <c r="M200" s="254" t="n"/>
      <c r="N200" s="254" t="n"/>
      <c r="O200" s="1183" t="n"/>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73"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73"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73"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75"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496">
        <f>NOVIEMBRE!K205</f>
        <v/>
      </c>
      <c r="E205" s="731" t="n"/>
      <c r="F205" s="731" t="n"/>
      <c r="G205" s="730">
        <f>E205+F205</f>
        <v/>
      </c>
      <c r="H205" s="731" t="n"/>
      <c r="I205" s="731" t="n"/>
      <c r="J205" s="732">
        <f>AM205</f>
        <v/>
      </c>
      <c r="K205" s="738">
        <f>+(D205+G205)-(H205+I205+J205)</f>
        <v/>
      </c>
      <c r="L205" s="253" t="n"/>
      <c r="M205" s="254" t="n"/>
      <c r="N205" s="254" t="n"/>
      <c r="O205" s="1183" t="n"/>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73"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73"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73"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73"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75"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496">
        <f>NOVIEMBRE!K211</f>
        <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73"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73"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73"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73"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75"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496">
        <f>NOVIEMBRE!K217</f>
        <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73"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73"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73"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73"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75"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496">
        <f>NOVIEMBRE!K223</f>
        <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73"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73"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73"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73"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75"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496">
        <f>NOVIEMBRE!K230</f>
        <v/>
      </c>
      <c r="E230" s="731" t="n"/>
      <c r="F230" s="731" t="n"/>
      <c r="G230" s="730">
        <f>E230+F230</f>
        <v/>
      </c>
      <c r="H230" s="731" t="n"/>
      <c r="I230" s="731" t="n"/>
      <c r="J230" s="732">
        <f>AM230</f>
        <v/>
      </c>
      <c r="K230" s="738">
        <f>+(D230+G230)-(H230+I230+J230)</f>
        <v/>
      </c>
      <c r="L230" s="253" t="n"/>
      <c r="M230" s="254" t="n"/>
      <c r="N230" s="254" t="n"/>
      <c r="O230" s="1183" t="n"/>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73" t="n"/>
      <c r="E231" s="994" t="n"/>
      <c r="F231" s="994" t="n"/>
      <c r="G231" s="973" t="n"/>
      <c r="H231" s="994" t="n"/>
      <c r="I231" s="994" t="n"/>
      <c r="J231" s="973" t="n"/>
      <c r="K231" s="973" t="n"/>
      <c r="L231" s="253" t="n"/>
      <c r="M231" s="254" t="n"/>
      <c r="N231" s="254" t="n"/>
      <c r="O231" s="1183" t="n"/>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73" t="n"/>
      <c r="E232" s="994" t="n"/>
      <c r="F232" s="994" t="n"/>
      <c r="G232" s="973" t="n"/>
      <c r="H232" s="994" t="n"/>
      <c r="I232" s="994" t="n"/>
      <c r="J232" s="973" t="n"/>
      <c r="K232" s="973" t="n"/>
      <c r="L232" s="253" t="n"/>
      <c r="M232" s="254" t="n"/>
      <c r="N232" s="254" t="n"/>
      <c r="O232" s="1183" t="n"/>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73"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73"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75" t="n"/>
      <c r="E235" s="998" t="n"/>
      <c r="F235" s="998" t="n"/>
      <c r="G235" s="975" t="n"/>
      <c r="H235" s="998" t="n"/>
      <c r="I235" s="998" t="n"/>
      <c r="J235" s="975" t="n"/>
      <c r="K235" s="1189">
        <f>K230=L235</f>
        <v/>
      </c>
      <c r="L235" s="491">
        <f>SUM(L230:L234)</f>
        <v/>
      </c>
      <c r="M235" s="1190" t="inlineStr">
        <is>
          <t xml:space="preserve">“Verdadero” indica que la cantidad por lote, coincide con el saldo que inicia al mes siguiente. "Falso" no coinicide. </t>
        </is>
      </c>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496">
        <f>NOVIEMBRE!K236</f>
        <v/>
      </c>
      <c r="E236" s="731" t="n"/>
      <c r="F236" s="731" t="n"/>
      <c r="G236" s="730">
        <f>E236+F236</f>
        <v/>
      </c>
      <c r="H236" s="731" t="n"/>
      <c r="I236" s="731" t="n"/>
      <c r="J236" s="732">
        <f>AM236</f>
        <v/>
      </c>
      <c r="K236" s="738">
        <f>+(D236+G236)-(H236+I236+J236)</f>
        <v/>
      </c>
      <c r="L236" s="253" t="n"/>
      <c r="M236" s="254" t="n"/>
      <c r="N236" s="254" t="n"/>
      <c r="O236" s="1183" t="n"/>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73" t="n"/>
      <c r="E237" s="994" t="n"/>
      <c r="F237" s="994" t="n"/>
      <c r="G237" s="973" t="n"/>
      <c r="H237" s="994" t="n"/>
      <c r="I237" s="994" t="n"/>
      <c r="J237" s="973" t="n"/>
      <c r="K237" s="973" t="n"/>
      <c r="L237" s="253" t="n"/>
      <c r="M237" s="254" t="n"/>
      <c r="N237" s="254" t="n"/>
      <c r="O237" s="1183" t="n"/>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73" t="n"/>
      <c r="E238" s="994" t="n"/>
      <c r="F238" s="994" t="n"/>
      <c r="G238" s="973" t="n"/>
      <c r="H238" s="994" t="n"/>
      <c r="I238" s="994" t="n"/>
      <c r="J238" s="973" t="n"/>
      <c r="K238" s="973" t="n"/>
      <c r="L238" s="253" t="n"/>
      <c r="M238" s="254" t="n"/>
      <c r="N238" s="254" t="n"/>
      <c r="O238" s="1183" t="n"/>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73"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73"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75" t="n"/>
      <c r="E241" s="998" t="n"/>
      <c r="F241" s="998" t="n"/>
      <c r="G241" s="975" t="n"/>
      <c r="H241" s="998" t="n"/>
      <c r="I241" s="998" t="n"/>
      <c r="J241" s="975" t="n"/>
      <c r="K241" s="1189">
        <f>K236=L241</f>
        <v/>
      </c>
      <c r="L241" s="491">
        <f>SUM(L236:L240)</f>
        <v/>
      </c>
      <c r="M241" s="1190" t="inlineStr">
        <is>
          <t xml:space="preserve">“Verdadero” indica que la cantidad por lote, coincide con el saldo que inicia al mes siguiente. "Falso" no coinicide. </t>
        </is>
      </c>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496">
        <f>NOVIEMBRE!K242</f>
        <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73"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73"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73"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73"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75" t="n"/>
      <c r="E247" s="998" t="n"/>
      <c r="F247" s="998" t="n"/>
      <c r="G247" s="975" t="n"/>
      <c r="H247" s="998" t="n"/>
      <c r="I247" s="998" t="n"/>
      <c r="J247" s="975" t="n"/>
      <c r="K247" s="1189">
        <f>K242=L247</f>
        <v/>
      </c>
      <c r="L247" s="491">
        <f>SUM(L242:L246)</f>
        <v/>
      </c>
      <c r="M247" s="1190" t="inlineStr">
        <is>
          <t xml:space="preserve">“Verdadero” indica que la cantidad por lote, coincide con el saldo que inicia al mes siguiente. "Falso" no coinicide. </t>
        </is>
      </c>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496">
        <f>NOVIEMBRE!K248</f>
        <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73"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73"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73"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73"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75" t="n"/>
      <c r="E253" s="998" t="n"/>
      <c r="F253" s="998" t="n"/>
      <c r="G253" s="975" t="n"/>
      <c r="H253" s="998" t="n"/>
      <c r="I253" s="998" t="n"/>
      <c r="J253" s="975" t="n"/>
      <c r="K253" s="1189">
        <f>K248=L253</f>
        <v/>
      </c>
      <c r="L253" s="491">
        <f>SUM(L248:L252)</f>
        <v/>
      </c>
      <c r="M253" s="1190" t="inlineStr">
        <is>
          <t xml:space="preserve">“Verdadero” indica que la cantidad por lote, coincide con el saldo que inicia al mes siguiente. "Falso" no coinicide. </t>
        </is>
      </c>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496">
        <f>NOVIEMBRE!K254</f>
        <v/>
      </c>
      <c r="E254" s="731" t="n"/>
      <c r="F254" s="731" t="n"/>
      <c r="G254" s="730">
        <f>E254+F254</f>
        <v/>
      </c>
      <c r="H254" s="731" t="n"/>
      <c r="I254" s="731" t="n"/>
      <c r="J254" s="732">
        <f>AM254</f>
        <v/>
      </c>
      <c r="K254" s="738">
        <f>+(D254+G254)-(H254+I254+J254)</f>
        <v/>
      </c>
      <c r="L254" s="253" t="n"/>
      <c r="M254" s="254" t="n"/>
      <c r="N254" s="254" t="n"/>
      <c r="O254" s="1183" t="n"/>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73" t="n"/>
      <c r="E255" s="994" t="n"/>
      <c r="F255" s="994" t="n"/>
      <c r="G255" s="973" t="n"/>
      <c r="H255" s="994" t="n"/>
      <c r="I255" s="994" t="n"/>
      <c r="J255" s="973" t="n"/>
      <c r="K255" s="973" t="n"/>
      <c r="L255" s="253" t="n"/>
      <c r="M255" s="254" t="n"/>
      <c r="N255" s="254" t="n"/>
      <c r="O255" s="1183" t="n"/>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73" t="n"/>
      <c r="E256" s="994" t="n"/>
      <c r="F256" s="994" t="n"/>
      <c r="G256" s="973" t="n"/>
      <c r="H256" s="994" t="n"/>
      <c r="I256" s="994" t="n"/>
      <c r="J256" s="973" t="n"/>
      <c r="K256" s="973" t="n"/>
      <c r="L256" s="253" t="n"/>
      <c r="M256" s="254" t="n"/>
      <c r="N256" s="254" t="n"/>
      <c r="O256" s="1183" t="n"/>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73" t="n"/>
      <c r="E257" s="994" t="n"/>
      <c r="F257" s="994" t="n"/>
      <c r="G257" s="973" t="n"/>
      <c r="H257" s="994" t="n"/>
      <c r="I257" s="994" t="n"/>
      <c r="J257" s="973" t="n"/>
      <c r="K257" s="973" t="n"/>
      <c r="L257" s="253" t="n"/>
      <c r="M257" s="254" t="n"/>
      <c r="N257" s="254" t="n"/>
      <c r="O257" s="1183" t="n"/>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73"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75" t="n"/>
      <c r="E259" s="998" t="n"/>
      <c r="F259" s="998" t="n"/>
      <c r="G259" s="975" t="n"/>
      <c r="H259" s="998" t="n"/>
      <c r="I259" s="998" t="n"/>
      <c r="J259" s="975" t="n"/>
      <c r="K259" s="1189">
        <f>K254=L259</f>
        <v/>
      </c>
      <c r="L259" s="491">
        <f>SUM(L254:L258)</f>
        <v/>
      </c>
      <c r="M259" s="1190" t="inlineStr">
        <is>
          <t xml:space="preserve">“Verdadero” indica que la cantidad por lote, coincide con el saldo que inicia al mes siguiente. "Falso" no coinicide. </t>
        </is>
      </c>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496">
        <f>NOVIEMBRE!K260</f>
        <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73"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73"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73"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73"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75" t="n"/>
      <c r="E265" s="998" t="n"/>
      <c r="F265" s="998" t="n"/>
      <c r="G265" s="975" t="n"/>
      <c r="H265" s="998" t="n"/>
      <c r="I265" s="998" t="n"/>
      <c r="J265" s="975" t="n"/>
      <c r="K265" s="1189">
        <f>K260=L265</f>
        <v/>
      </c>
      <c r="L265" s="491">
        <f>SUM(L260:L264)</f>
        <v/>
      </c>
      <c r="M265" s="1190" t="inlineStr">
        <is>
          <t xml:space="preserve">“Verdadero” indica que la cantidad por lote, coincide con el saldo que inicia al mes siguiente. "Falso" no coinicide. </t>
        </is>
      </c>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496">
        <f>NOVIEMBRE!K266</f>
        <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73"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73"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73"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73"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75" t="n"/>
      <c r="E271" s="998" t="n"/>
      <c r="F271" s="998" t="n"/>
      <c r="G271" s="975" t="n"/>
      <c r="H271" s="998" t="n"/>
      <c r="I271" s="998" t="n"/>
      <c r="J271" s="975" t="n"/>
      <c r="K271" s="1189">
        <f>K266=L271</f>
        <v/>
      </c>
      <c r="L271" s="491">
        <f>SUM(L266:L270)</f>
        <v/>
      </c>
      <c r="M271" s="1190" t="inlineStr">
        <is>
          <t xml:space="preserve">“Verdadero” indica que la cantidad por lote, coincide con el saldo que inicia al mes siguiente. "Falso" no coinicide. </t>
        </is>
      </c>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496">
        <f>NOVIEMBRE!K272</f>
        <v/>
      </c>
      <c r="E272" s="731" t="n"/>
      <c r="F272" s="731" t="n"/>
      <c r="G272" s="730">
        <f>E272+F272</f>
        <v/>
      </c>
      <c r="H272" s="731" t="n"/>
      <c r="I272" s="731" t="n"/>
      <c r="J272" s="732">
        <f>AM272</f>
        <v/>
      </c>
      <c r="K272" s="738">
        <f>+(D272+G272)-(H272+I272+J272)</f>
        <v/>
      </c>
      <c r="L272" s="253" t="n"/>
      <c r="M272" s="254" t="n"/>
      <c r="N272" s="254" t="n"/>
      <c r="O272" s="1183" t="n"/>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73" t="n"/>
      <c r="E273" s="994" t="n"/>
      <c r="F273" s="994" t="n"/>
      <c r="G273" s="973" t="n"/>
      <c r="H273" s="994" t="n"/>
      <c r="I273" s="994" t="n"/>
      <c r="J273" s="973" t="n"/>
      <c r="K273" s="973" t="n"/>
      <c r="L273" s="253" t="n"/>
      <c r="M273" s="254" t="n"/>
      <c r="N273" s="254" t="n"/>
      <c r="O273" s="1183" t="n"/>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73" t="n"/>
      <c r="E274" s="994" t="n"/>
      <c r="F274" s="994" t="n"/>
      <c r="G274" s="973" t="n"/>
      <c r="H274" s="994" t="n"/>
      <c r="I274" s="994" t="n"/>
      <c r="J274" s="973" t="n"/>
      <c r="K274" s="973" t="n"/>
      <c r="L274" s="253" t="n"/>
      <c r="M274" s="254" t="n"/>
      <c r="N274" s="254" t="n"/>
      <c r="O274" s="1183" t="n"/>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73"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73"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75" t="n"/>
      <c r="E277" s="998" t="n"/>
      <c r="F277" s="998" t="n"/>
      <c r="G277" s="975" t="n"/>
      <c r="H277" s="998" t="n"/>
      <c r="I277" s="998" t="n"/>
      <c r="J277" s="975" t="n"/>
      <c r="K277" s="1189">
        <f>K272=L277</f>
        <v/>
      </c>
      <c r="L277" s="491">
        <f>SUM(L272:L276)</f>
        <v/>
      </c>
      <c r="M277" s="1190" t="inlineStr">
        <is>
          <t xml:space="preserve">“Verdadero” indica que la cantidad por lote, coincide con el saldo que inicia al mes siguiente. "Falso" no coinicide. </t>
        </is>
      </c>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496">
        <f>NOVIEMBRE!K278</f>
        <v/>
      </c>
      <c r="E278" s="731" t="n"/>
      <c r="F278" s="731" t="n"/>
      <c r="G278" s="730">
        <f>E278+F278</f>
        <v/>
      </c>
      <c r="H278" s="731" t="n"/>
      <c r="I278" s="731" t="n"/>
      <c r="J278" s="732">
        <f>AM278</f>
        <v/>
      </c>
      <c r="K278" s="738">
        <f>+(D278+G278)-(H278+I278+J278)</f>
        <v/>
      </c>
      <c r="L278" s="253" t="n"/>
      <c r="M278" s="254" t="n"/>
      <c r="N278" s="254" t="n"/>
      <c r="O278" s="1183" t="n"/>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73" t="n"/>
      <c r="E279" s="994" t="n"/>
      <c r="F279" s="994" t="n"/>
      <c r="G279" s="973" t="n"/>
      <c r="H279" s="994" t="n"/>
      <c r="I279" s="994" t="n"/>
      <c r="J279" s="973" t="n"/>
      <c r="K279" s="973" t="n"/>
      <c r="L279" s="253" t="n"/>
      <c r="M279" s="254" t="n"/>
      <c r="N279" s="254" t="n"/>
      <c r="O279" s="1183" t="n"/>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73"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73"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73"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75" t="n"/>
      <c r="E283" s="998" t="n"/>
      <c r="F283" s="998" t="n"/>
      <c r="G283" s="975" t="n"/>
      <c r="H283" s="998" t="n"/>
      <c r="I283" s="998" t="n"/>
      <c r="J283" s="975" t="n"/>
      <c r="K283" s="1189">
        <f>K278=L283</f>
        <v/>
      </c>
      <c r="L283" s="491">
        <f>SUM(L278:L282)</f>
        <v/>
      </c>
      <c r="M283" s="1190" t="inlineStr">
        <is>
          <t xml:space="preserve">“Verdadero” indica que la cantidad por lote, coincide con el saldo que inicia al mes siguiente. "Falso" no coinicide. </t>
        </is>
      </c>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496">
        <f>NOVIEMBRE!K284</f>
        <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73"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73"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73"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73"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75" t="n"/>
      <c r="E289" s="998" t="n"/>
      <c r="F289" s="998" t="n"/>
      <c r="G289" s="975" t="n"/>
      <c r="H289" s="998" t="n"/>
      <c r="I289" s="998" t="n"/>
      <c r="J289" s="975" t="n"/>
      <c r="K289" s="1189">
        <f>K284=L289</f>
        <v/>
      </c>
      <c r="L289" s="491">
        <f>SUM(L284:L288)</f>
        <v/>
      </c>
      <c r="M289" s="1190" t="inlineStr">
        <is>
          <t xml:space="preserve">“Verdadero” indica que la cantidad por lote, coincide con el saldo que inicia al mes siguiente. "Falso" no coinicide. </t>
        </is>
      </c>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496">
        <f>NOVIEMBRE!K290</f>
        <v/>
      </c>
      <c r="E290" s="731" t="n"/>
      <c r="F290" s="731" t="n"/>
      <c r="G290" s="730">
        <f>E290+F290</f>
        <v/>
      </c>
      <c r="H290" s="731" t="n"/>
      <c r="I290" s="731" t="n"/>
      <c r="J290" s="732">
        <f>AM290</f>
        <v/>
      </c>
      <c r="K290" s="738">
        <f>+(D290+G290)-(H290+I290+J290)</f>
        <v/>
      </c>
      <c r="L290" s="253" t="n"/>
      <c r="M290" s="254" t="n"/>
      <c r="N290" s="254" t="n"/>
      <c r="O290" s="1183" t="n"/>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73" t="n"/>
      <c r="E291" s="994" t="n"/>
      <c r="F291" s="994" t="n"/>
      <c r="G291" s="973" t="n"/>
      <c r="H291" s="994" t="n"/>
      <c r="I291" s="994" t="n"/>
      <c r="J291" s="973" t="n"/>
      <c r="K291" s="973" t="n"/>
      <c r="L291" s="253" t="n"/>
      <c r="M291" s="254" t="n"/>
      <c r="N291" s="254" t="n"/>
      <c r="O291" s="1183" t="n"/>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73"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73"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73"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75" t="n"/>
      <c r="E295" s="998" t="n"/>
      <c r="F295" s="998" t="n"/>
      <c r="G295" s="975" t="n"/>
      <c r="H295" s="998" t="n"/>
      <c r="I295" s="998" t="n"/>
      <c r="J295" s="975" t="n"/>
      <c r="K295" s="1189">
        <f>K290=L295</f>
        <v/>
      </c>
      <c r="L295" s="491">
        <f>SUM(L290:L294)</f>
        <v/>
      </c>
      <c r="M295" s="1190" t="inlineStr">
        <is>
          <t xml:space="preserve">“Verdadero” indica que la cantidad por lote, coincide con el saldo que inicia al mes siguiente. "Falso" no coinicide. </t>
        </is>
      </c>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496">
        <f>NOVIEMBRE!K296</f>
        <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73"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73"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73"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73"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75" t="n"/>
      <c r="E301" s="998" t="n"/>
      <c r="F301" s="998" t="n"/>
      <c r="G301" s="975" t="n"/>
      <c r="H301" s="998" t="n"/>
      <c r="I301" s="998" t="n"/>
      <c r="J301" s="975" t="n"/>
      <c r="K301" s="1189">
        <f>K296=L301</f>
        <v/>
      </c>
      <c r="L301" s="491">
        <f>SUM(L296:L300)</f>
        <v/>
      </c>
      <c r="M301" s="1190" t="inlineStr">
        <is>
          <t xml:space="preserve">“Verdadero” indica que la cantidad por lote, coincide con el saldo que inicia al mes siguiente. "Falso" no coinicide. </t>
        </is>
      </c>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647" t="inlineStr">
        <is>
          <t>JERINGAS</t>
        </is>
      </c>
      <c r="C302" s="967" t="n"/>
      <c r="D302" s="1257"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496">
        <f>NOVIEMBRE!K303</f>
        <v/>
      </c>
      <c r="E303" s="731" t="n"/>
      <c r="F303" s="731" t="n"/>
      <c r="G303" s="730">
        <f>E303+F303</f>
        <v/>
      </c>
      <c r="H303" s="731" t="n"/>
      <c r="I303" s="731" t="n"/>
      <c r="J303" s="732">
        <f>+AM303</f>
        <v/>
      </c>
      <c r="K303" s="706">
        <f>+(D303+G303)-(H303+I303+J303)</f>
        <v/>
      </c>
      <c r="L303" s="253" t="n"/>
      <c r="M303" s="254" t="n"/>
      <c r="N303" s="254" t="n"/>
      <c r="O303" s="1183" t="n"/>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73"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73" t="n"/>
      <c r="E305" s="994" t="n"/>
      <c r="F305" s="994" t="n"/>
      <c r="G305" s="973" t="n"/>
      <c r="H305" s="994" t="n"/>
      <c r="I305" s="994" t="n"/>
      <c r="J305" s="973" t="n"/>
      <c r="K305" s="973" t="n"/>
      <c r="L305" s="253" t="n"/>
      <c r="M305" s="254" t="n"/>
      <c r="N305" s="254" t="n"/>
      <c r="O305" s="1183" t="n"/>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73"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73"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73"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75" t="n"/>
      <c r="E309" s="998" t="n"/>
      <c r="F309" s="998" t="n"/>
      <c r="G309" s="975" t="n"/>
      <c r="H309" s="998" t="n"/>
      <c r="I309" s="998" t="n"/>
      <c r="J309" s="975" t="n"/>
      <c r="K309" s="1189">
        <f>K303=L309</f>
        <v/>
      </c>
      <c r="L309" s="491">
        <f>SUM(L303:L308)</f>
        <v/>
      </c>
      <c r="M309" s="1190" t="inlineStr">
        <is>
          <t xml:space="preserve">“Verdadero” indica que la cantidad por lote, coincide con el saldo que inicia al mes siguiente. "Falso" no coinicide. </t>
        </is>
      </c>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496">
        <f>NOVIEMBRE!K310</f>
        <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73"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73"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73"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73"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73"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75" t="n"/>
      <c r="E316" s="998" t="n"/>
      <c r="F316" s="998" t="n"/>
      <c r="G316" s="975" t="n"/>
      <c r="H316" s="998" t="n"/>
      <c r="I316" s="998" t="n"/>
      <c r="J316" s="975" t="n"/>
      <c r="K316" s="1189">
        <f>K310=L316</f>
        <v/>
      </c>
      <c r="L316" s="491">
        <f>SUM(L310:L315)</f>
        <v/>
      </c>
      <c r="M316" s="1190" t="inlineStr">
        <is>
          <t xml:space="preserve">“Verdadero” indica que la cantidad por lote, coincide con el saldo que inicia al mes siguiente. "Falso" no coinicide. </t>
        </is>
      </c>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496">
        <f>NOVIEMBRE!K317</f>
        <v/>
      </c>
      <c r="E317" s="731" t="n"/>
      <c r="F317" s="731" t="n"/>
      <c r="G317" s="730">
        <f>E317+F317</f>
        <v/>
      </c>
      <c r="H317" s="731" t="n"/>
      <c r="I317" s="731" t="n"/>
      <c r="J317" s="732">
        <f>+AM317</f>
        <v/>
      </c>
      <c r="K317" s="706">
        <f>+(D317+G317)-(H317+I317+J317)</f>
        <v/>
      </c>
      <c r="L317" s="253" t="n"/>
      <c r="M317" s="254" t="n"/>
      <c r="N317" s="254" t="n"/>
      <c r="O317" s="1183" t="n"/>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73" t="n"/>
      <c r="E318" s="994" t="n"/>
      <c r="F318" s="994" t="n"/>
      <c r="G318" s="973" t="n"/>
      <c r="H318" s="994" t="n"/>
      <c r="I318" s="994" t="n"/>
      <c r="J318" s="973" t="n"/>
      <c r="K318" s="973" t="n"/>
      <c r="L318" s="253" t="n"/>
      <c r="M318" s="254" t="n"/>
      <c r="N318" s="254" t="n"/>
      <c r="O318" s="1183" t="n"/>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73" t="n"/>
      <c r="E319" s="994" t="n"/>
      <c r="F319" s="994" t="n"/>
      <c r="G319" s="973" t="n"/>
      <c r="H319" s="994" t="n"/>
      <c r="I319" s="994" t="n"/>
      <c r="J319" s="973" t="n"/>
      <c r="K319" s="973" t="n"/>
      <c r="L319" s="253" t="n"/>
      <c r="M319" s="254" t="n"/>
      <c r="N319" s="254" t="n"/>
      <c r="O319" s="1183" t="n"/>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73"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73"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73"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75" t="n"/>
      <c r="E323" s="998" t="n"/>
      <c r="F323" s="998" t="n"/>
      <c r="G323" s="975" t="n"/>
      <c r="H323" s="998" t="n"/>
      <c r="I323" s="998" t="n"/>
      <c r="J323" s="975" t="n"/>
      <c r="K323" s="1189">
        <f>K317=L323</f>
        <v/>
      </c>
      <c r="L323" s="491">
        <f>SUM(L317:L322)</f>
        <v/>
      </c>
      <c r="M323" s="1190" t="inlineStr">
        <is>
          <t xml:space="preserve">“Verdadero” indica que la cantidad por lote, coincide con el saldo que inicia al mes siguiente. "Falso" no coinicide. </t>
        </is>
      </c>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496">
        <f>NOVIEMBRE!K324</f>
        <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73"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73"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73"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73"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73"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75"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496">
        <f>NOVIEMBRE!K331</f>
        <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73"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73"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73"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73"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73"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75" t="n"/>
      <c r="E337" s="998" t="n"/>
      <c r="F337" s="998" t="n"/>
      <c r="G337" s="975" t="n"/>
      <c r="H337" s="998" t="n"/>
      <c r="I337" s="998" t="n"/>
      <c r="J337" s="975" t="n"/>
      <c r="K337" s="1189">
        <f>K331=L337</f>
        <v/>
      </c>
      <c r="L337" s="491">
        <f>SUM(L331:L336)</f>
        <v/>
      </c>
      <c r="M337" s="1190" t="inlineStr">
        <is>
          <t xml:space="preserve">“Verdadero” indica que la cantidad por lote, coincide con el saldo que inicia al mes siguiente. "Falso" no coinicide. </t>
        </is>
      </c>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496">
        <f>NOVIEMBRE!K338</f>
        <v/>
      </c>
      <c r="E338" s="731" t="n"/>
      <c r="F338" s="731" t="n"/>
      <c r="G338" s="730">
        <f>E338+F338</f>
        <v/>
      </c>
      <c r="H338" s="731" t="n"/>
      <c r="I338" s="731" t="n"/>
      <c r="J338" s="732">
        <f>+AM338</f>
        <v/>
      </c>
      <c r="K338" s="706">
        <f>+(D338+G338)-(H338+I338+J338)</f>
        <v/>
      </c>
      <c r="L338" s="253" t="n"/>
      <c r="M338" s="254" t="n"/>
      <c r="N338" s="254" t="n"/>
      <c r="O338" s="1183" t="n"/>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73" t="n"/>
      <c r="E339" s="994" t="n"/>
      <c r="F339" s="994" t="n"/>
      <c r="G339" s="973" t="n"/>
      <c r="H339" s="994" t="n"/>
      <c r="I339" s="994" t="n"/>
      <c r="J339" s="973" t="n"/>
      <c r="K339" s="973" t="n"/>
      <c r="L339" s="253" t="n"/>
      <c r="M339" s="254" t="n"/>
      <c r="N339" s="254" t="n"/>
      <c r="O339" s="1183" t="n"/>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73" t="n"/>
      <c r="E340" s="994" t="n"/>
      <c r="F340" s="994" t="n"/>
      <c r="G340" s="973" t="n"/>
      <c r="H340" s="994" t="n"/>
      <c r="I340" s="994" t="n"/>
      <c r="J340" s="973" t="n"/>
      <c r="K340" s="973" t="n"/>
      <c r="L340" s="253" t="n"/>
      <c r="M340" s="254" t="n"/>
      <c r="N340" s="254" t="n"/>
      <c r="O340" s="1183" t="n"/>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73"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73"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73"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75" t="n"/>
      <c r="E344" s="998" t="n"/>
      <c r="F344" s="998" t="n"/>
      <c r="G344" s="975" t="n"/>
      <c r="H344" s="998" t="n"/>
      <c r="I344" s="998" t="n"/>
      <c r="J344" s="975" t="n"/>
      <c r="K344" s="1189">
        <f>K338=L344</f>
        <v/>
      </c>
      <c r="L344" s="491">
        <f>SUM(L338:L343)</f>
        <v/>
      </c>
      <c r="M344" s="1190" t="inlineStr">
        <is>
          <t xml:space="preserve">“Verdadero” indica que la cantidad por lote, coincide con el saldo que inicia al mes siguiente. "Falso" no coinicide. </t>
        </is>
      </c>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496">
        <f>NOVIEMBRE!K345</f>
        <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73"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73"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73"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73"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73"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75" t="n"/>
      <c r="E351" s="998" t="n"/>
      <c r="F351" s="998" t="n"/>
      <c r="G351" s="975" t="n"/>
      <c r="H351" s="998" t="n"/>
      <c r="I351" s="998" t="n"/>
      <c r="J351" s="975" t="n"/>
      <c r="K351" s="1189">
        <f>K345=L351</f>
        <v/>
      </c>
      <c r="L351" s="491">
        <f>SUM(L345:L350)</f>
        <v/>
      </c>
      <c r="M351" s="1190" t="inlineStr">
        <is>
          <t xml:space="preserve">“Verdadero” indica que la cantidad por lote, coincide con el saldo que inicia al mes siguiente. "Falso" no coinicide. </t>
        </is>
      </c>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496">
        <f>NOVIEMBRE!K352</f>
        <v/>
      </c>
      <c r="E352" s="731" t="n"/>
      <c r="F352" s="731" t="n"/>
      <c r="G352" s="730">
        <f>E352+F352</f>
        <v/>
      </c>
      <c r="H352" s="731" t="n"/>
      <c r="I352" s="731" t="n"/>
      <c r="J352" s="732">
        <f>AM352</f>
        <v/>
      </c>
      <c r="K352" s="706">
        <f>+(D352+G352)-(H352+I352+J352)</f>
        <v/>
      </c>
      <c r="L352" s="253" t="n"/>
      <c r="M352" s="254" t="n"/>
      <c r="N352" s="254" t="n"/>
      <c r="O352" s="1183" t="n"/>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73" t="n"/>
      <c r="E353" s="994" t="n"/>
      <c r="F353" s="994" t="n"/>
      <c r="G353" s="973" t="n"/>
      <c r="H353" s="994" t="n"/>
      <c r="I353" s="994" t="n"/>
      <c r="J353" s="973" t="n"/>
      <c r="K353" s="973" t="n"/>
      <c r="L353" s="253" t="n"/>
      <c r="M353" s="254" t="n"/>
      <c r="N353" s="254" t="n"/>
      <c r="O353" s="1183" t="n"/>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73" t="n"/>
      <c r="E354" s="994" t="n"/>
      <c r="F354" s="994" t="n"/>
      <c r="G354" s="973" t="n"/>
      <c r="H354" s="994" t="n"/>
      <c r="I354" s="994" t="n"/>
      <c r="J354" s="973" t="n"/>
      <c r="K354" s="973" t="n"/>
      <c r="L354" s="253" t="n"/>
      <c r="M354" s="254" t="n"/>
      <c r="N354" s="254" t="n"/>
      <c r="O354" s="1183" t="n"/>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73"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73"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73"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75" t="n"/>
      <c r="E358" s="998" t="n"/>
      <c r="F358" s="998" t="n"/>
      <c r="G358" s="975" t="n"/>
      <c r="H358" s="998" t="n"/>
      <c r="I358" s="998" t="n"/>
      <c r="J358" s="975" t="n"/>
      <c r="K358" s="1189">
        <f>K352=L358</f>
        <v/>
      </c>
      <c r="L358" s="491">
        <f>SUM(L352:L357)</f>
        <v/>
      </c>
      <c r="M358" s="1190" t="inlineStr">
        <is>
          <t xml:space="preserve">“Verdadero” indica que la cantidad por lote, coincide con el saldo que inicia al mes siguiente. "Falso" no coinicide. </t>
        </is>
      </c>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496">
        <f>NOVIEMBRE!K359</f>
        <v/>
      </c>
      <c r="E359" s="731" t="n"/>
      <c r="F359" s="731" t="n"/>
      <c r="G359" s="730">
        <f>E359+F359</f>
        <v/>
      </c>
      <c r="H359" s="731" t="n"/>
      <c r="I359" s="731" t="n"/>
      <c r="J359" s="732">
        <f>AM359</f>
        <v/>
      </c>
      <c r="K359" s="706">
        <f>+(D359+G359)-(H359+I359+J359)</f>
        <v/>
      </c>
      <c r="L359" s="253" t="n"/>
      <c r="M359" s="254" t="n"/>
      <c r="N359" s="254" t="n"/>
      <c r="O359" s="1183" t="n"/>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73" t="n"/>
      <c r="E360" s="994" t="n"/>
      <c r="F360" s="994" t="n"/>
      <c r="G360" s="973" t="n"/>
      <c r="H360" s="994" t="n"/>
      <c r="I360" s="994" t="n"/>
      <c r="J360" s="973" t="n"/>
      <c r="K360" s="973" t="n"/>
      <c r="L360" s="253" t="n"/>
      <c r="M360" s="254" t="n"/>
      <c r="N360" s="254" t="n"/>
      <c r="O360" s="1183" t="n"/>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73" t="n"/>
      <c r="E361" s="994" t="n"/>
      <c r="F361" s="994" t="n"/>
      <c r="G361" s="973" t="n"/>
      <c r="H361" s="994" t="n"/>
      <c r="I361" s="994" t="n"/>
      <c r="J361" s="973" t="n"/>
      <c r="K361" s="973" t="n"/>
      <c r="L361" s="253" t="n"/>
      <c r="M361" s="254" t="n"/>
      <c r="N361" s="254" t="n"/>
      <c r="O361" s="1183" t="n"/>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73" t="n"/>
      <c r="E362" s="994" t="n"/>
      <c r="F362" s="994" t="n"/>
      <c r="G362" s="973" t="n"/>
      <c r="H362" s="994" t="n"/>
      <c r="I362" s="994" t="n"/>
      <c r="J362" s="973" t="n"/>
      <c r="K362" s="973" t="n"/>
      <c r="L362" s="253" t="n"/>
      <c r="M362" s="254" t="n"/>
      <c r="N362" s="254" t="n"/>
      <c r="O362" s="1183" t="n"/>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73"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73"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75" t="n"/>
      <c r="E365" s="998" t="n"/>
      <c r="F365" s="998" t="n"/>
      <c r="G365" s="975" t="n"/>
      <c r="H365" s="998" t="n"/>
      <c r="I365" s="998" t="n"/>
      <c r="J365" s="975" t="n"/>
      <c r="K365" s="1189">
        <f>K359=L365</f>
        <v/>
      </c>
      <c r="L365" s="491">
        <f>SUM(L359:L364)</f>
        <v/>
      </c>
      <c r="M365" s="1190" t="inlineStr">
        <is>
          <t xml:space="preserve">“Verdadero” indica que la cantidad por lote, coincide con el saldo que inicia al mes siguiente. "Falso" no coinicide. </t>
        </is>
      </c>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496">
        <f>NOVIEMBRE!K366</f>
        <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73"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73"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73"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73"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73"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75"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496">
        <f>NOVIEMBRE!K373</f>
        <v/>
      </c>
      <c r="E373" s="731" t="n"/>
      <c r="F373" s="731" t="n"/>
      <c r="G373" s="730">
        <f>E373+F373</f>
        <v/>
      </c>
      <c r="H373" s="731" t="n"/>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496">
        <f>NOVIEMBRE!K374</f>
        <v/>
      </c>
      <c r="E374" s="731" t="n"/>
      <c r="F374" s="731" t="n"/>
      <c r="G374" s="730">
        <f>E374+F374</f>
        <v/>
      </c>
      <c r="H374" s="731" t="n"/>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496">
        <f>NOVIEMBRE!K375</f>
        <v/>
      </c>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496">
        <f>NOVIEMBRE!K376</f>
        <v/>
      </c>
      <c r="E376" s="731" t="n"/>
      <c r="F376" s="731" t="n"/>
      <c r="G376" s="730">
        <f>E376+F376</f>
        <v/>
      </c>
      <c r="H376" s="731" t="n"/>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496">
        <f>NOVIEMBRE!K377</f>
        <v/>
      </c>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496">
        <f>NOVIEMBRE!K378</f>
        <v/>
      </c>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496">
        <f>NOVIEMBRE!K379</f>
        <v/>
      </c>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623" t="inlineStr">
        <is>
          <t>ÍTEM</t>
        </is>
      </c>
      <c r="B381" s="719" t="inlineStr">
        <is>
          <t>VACUNA COVID-19</t>
        </is>
      </c>
      <c r="C381" s="965" t="n"/>
      <c r="D381" s="716" t="inlineStr">
        <is>
          <t>SALDO MES ANTERIOR</t>
        </is>
      </c>
      <c r="E381" s="1179" t="inlineStr">
        <is>
          <t>ENTRADA</t>
        </is>
      </c>
      <c r="F381" s="1180" t="n"/>
      <c r="G381" s="965" t="n"/>
      <c r="H381" s="715" t="inlineStr">
        <is>
          <t>SALIDAS</t>
        </is>
      </c>
      <c r="I381" s="968" t="n"/>
      <c r="J381" s="967" t="n"/>
      <c r="K381" s="623" t="inlineStr">
        <is>
          <t>SALDO QUE INICIA EL MES SIGUIENTE</t>
        </is>
      </c>
      <c r="L381" s="623" t="inlineStr">
        <is>
          <t>DOSIS POR LOTES</t>
        </is>
      </c>
      <c r="M381" s="623" t="inlineStr">
        <is>
          <t xml:space="preserve">No. LOTE </t>
        </is>
      </c>
      <c r="N381" s="623" t="inlineStr">
        <is>
          <t>LABORATORIO</t>
        </is>
      </c>
      <c r="O381" s="623" t="inlineStr">
        <is>
          <t>FECHA DE VENCIMIENTO</t>
        </is>
      </c>
      <c r="P381" s="623" t="inlineStr">
        <is>
          <t>SEMAFORIZACION VIDA  ÚTIL DEL BIOLÓGICO</t>
        </is>
      </c>
      <c r="Q381" s="623" t="inlineStr">
        <is>
          <t>CONDICIÓN FINAL DEL BIOLÓGICO, DILUYENTE Y CARNET</t>
        </is>
      </c>
      <c r="R381" s="613" t="inlineStr">
        <is>
          <t>DOSIS EN CUARENTENA</t>
        </is>
      </c>
      <c r="S381" s="613" t="inlineStr">
        <is>
          <t>LABORATORIO</t>
        </is>
      </c>
      <c r="T381" s="613" t="inlineStr">
        <is>
          <t>No. LOTE</t>
        </is>
      </c>
      <c r="U381" s="613" t="inlineStr">
        <is>
          <t>FECHA DE VENCIMEINTO</t>
        </is>
      </c>
      <c r="V381" s="613" t="inlineStr">
        <is>
          <t>FECHA DE INICIO CUARENTENA</t>
        </is>
      </c>
      <c r="W381" s="613" t="inlineStr">
        <is>
          <t>OBSERVACIONES</t>
        </is>
      </c>
      <c r="X381" s="250" t="n"/>
      <c r="Z381" s="1221" t="inlineStr">
        <is>
          <t>MOTIVOS DE NO USO DE VACUNAS CONTRA LA COVID-19
RESOLUCIÓN 0118 DEL 27 DE ENERO DE 2026
DISPONIBLE EN EL SIGUIENTE LINK: https://www.minsalud.gov.co/Normatividad_Nuevo/Resolucion%20No%20118%20de%202026.pdf</t>
        </is>
      </c>
      <c r="AA381" s="968" t="n"/>
      <c r="AB381" s="968" t="n"/>
      <c r="AC381" s="968" t="n"/>
      <c r="AD381" s="968" t="n"/>
      <c r="AE381" s="968" t="n"/>
      <c r="AF381" s="968" t="n"/>
      <c r="AG381" s="968" t="n"/>
      <c r="AH381" s="968" t="n"/>
      <c r="AI381" s="968" t="n"/>
      <c r="AJ381" s="968" t="n"/>
      <c r="AK381" s="968" t="n"/>
      <c r="AL381" s="967" t="n"/>
      <c r="AM381" s="532" t="inlineStr">
        <is>
          <t xml:space="preserve">TOTAL DOSIS PERDIDAS        </t>
        </is>
      </c>
      <c r="AN381" s="478" t="n"/>
      <c r="AO381" s="368" t="n"/>
      <c r="AU381" s="251" t="n"/>
      <c r="AV381" s="251" t="n"/>
    </row>
    <row r="382" ht="28.5" customHeight="1">
      <c r="A382" s="973" t="n"/>
      <c r="B382" s="971" t="n"/>
      <c r="C382" s="972" t="n"/>
      <c r="D382" s="973" t="n"/>
      <c r="E382" s="623" t="inlineStr">
        <is>
          <t>DOSIS RECIBIDAS DEL ALMACÉN CENTRAL DEL MSPS</t>
        </is>
      </c>
      <c r="F382" s="623" t="inlineStr">
        <is>
          <t>DOSIS RECIBIDAS X TRASLADO DEL CA DEPARTAMENTAL O DISTRITAL</t>
        </is>
      </c>
      <c r="G382" s="623" t="inlineStr">
        <is>
          <t>TOTAL ENTRADAS</t>
        </is>
      </c>
      <c r="H382" s="711" t="inlineStr">
        <is>
          <t>DOSIS DESPACHADAS A LOS MUNICIPIOS / DISTRITOS A IPS</t>
        </is>
      </c>
      <c r="I382" s="711" t="inlineStr">
        <is>
          <t>DOSIS TRASLADADAS A OTROS DEPARTAMENTOS O DISTRITOS</t>
        </is>
      </c>
      <c r="J382" s="716" t="inlineStr">
        <is>
          <t>DOSIS PERDIDAS</t>
        </is>
      </c>
      <c r="K382" s="973" t="n"/>
      <c r="L382" s="973" t="n"/>
      <c r="M382" s="973" t="n"/>
      <c r="N382" s="973" t="n"/>
      <c r="O382" s="973" t="n"/>
      <c r="P382" s="973" t="n"/>
      <c r="Q382" s="973" t="n"/>
      <c r="R382" s="973" t="n"/>
      <c r="S382" s="973" t="n"/>
      <c r="T382" s="973" t="n"/>
      <c r="U382" s="973" t="n"/>
      <c r="V382" s="973" t="n"/>
      <c r="W382" s="973" t="n"/>
      <c r="X382" s="250" t="n"/>
      <c r="Y382" s="252" t="n"/>
      <c r="Z382" s="533" t="n">
        <v>1</v>
      </c>
      <c r="AA382" s="967" t="n"/>
      <c r="AB382" s="533" t="n">
        <v>2</v>
      </c>
      <c r="AC382" s="533" t="n">
        <v>3</v>
      </c>
      <c r="AD382" s="533" t="n">
        <v>4</v>
      </c>
      <c r="AE382" s="533" t="n">
        <v>5</v>
      </c>
      <c r="AF382" s="533" t="n">
        <v>6</v>
      </c>
      <c r="AG382" s="533" t="n">
        <v>7</v>
      </c>
      <c r="AH382" s="533" t="n">
        <v>8</v>
      </c>
      <c r="AI382" s="533" t="n">
        <v>9</v>
      </c>
      <c r="AJ382" s="533" t="n">
        <v>10</v>
      </c>
      <c r="AK382" s="533" t="n">
        <v>11</v>
      </c>
      <c r="AL382" s="533" t="n">
        <v>12</v>
      </c>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inlineStr">
        <is>
          <t>POLÍTICA DE FRASCOS ABIERTO</t>
        </is>
      </c>
      <c r="AA383" s="967" t="n"/>
      <c r="AB383" s="1222" t="inlineStr">
        <is>
          <t>INTERRUPCIÓN DE LA CADENA DE FRÍO</t>
        </is>
      </c>
      <c r="AC383" s="537" t="inlineStr">
        <is>
          <t>CONTAMINACIÓN DEL BIOLÓGICO</t>
        </is>
      </c>
      <c r="AD383" s="1222" t="inlineStr">
        <is>
          <t>ERROR EN LA MANIPULACIÓN</t>
        </is>
      </c>
      <c r="AE383" s="537" t="inlineStr">
        <is>
          <t>ERROR EN LA RECONSTITUCIÓN/DILUCIÓN</t>
        </is>
      </c>
      <c r="AF383" s="1222" t="inlineStr">
        <is>
          <t>ERROR EN LA DOSIFICACIÓN</t>
        </is>
      </c>
      <c r="AG383" s="537" t="inlineStr">
        <is>
          <t>VACUNA QUE EXCEDE EL TIEMPO DE ALMACENAMIENTO EN REFRIGERACIÓN</t>
        </is>
      </c>
      <c r="AH383" s="1222" t="inlineStr">
        <is>
          <t>VENCIMIENTO DEL BIOLÓGICO</t>
        </is>
      </c>
      <c r="AI383" s="537" t="inlineStr">
        <is>
          <t>FRASCO VIAL ROTO</t>
        </is>
      </c>
      <c r="AJ383" s="1222" t="inlineStr">
        <is>
          <t>FALLAS DE FABRICACIÓN/CALIDAD</t>
        </is>
      </c>
      <c r="AK383" s="537" t="inlineStr">
        <is>
          <t>SINIESTRO / ACCIDENTE</t>
        </is>
      </c>
      <c r="AL383" s="1222" t="inlineStr">
        <is>
          <t>ROBO/HURTO BIOLÓGICO</t>
        </is>
      </c>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496">
        <f>NOVIEMBRE!K385</f>
        <v/>
      </c>
      <c r="E385" s="731" t="n"/>
      <c r="F385" s="731" t="n"/>
      <c r="G385" s="730">
        <f>E385+F385</f>
        <v/>
      </c>
      <c r="H385" s="731" t="n"/>
      <c r="I385" s="731" t="n"/>
      <c r="J385" s="732">
        <f>AM385</f>
        <v/>
      </c>
      <c r="K385" s="706">
        <f>+(D385+G385)-(H385+I385+J385)</f>
        <v/>
      </c>
      <c r="L385" s="486" t="n"/>
      <c r="M385" s="487" t="n"/>
      <c r="N385" s="487" t="n"/>
      <c r="O385" s="1223" t="n"/>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73"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73"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73"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75" t="n"/>
      <c r="E389" s="998" t="n"/>
      <c r="F389" s="998" t="n"/>
      <c r="G389" s="975" t="n"/>
      <c r="H389" s="998" t="n"/>
      <c r="I389" s="998" t="n"/>
      <c r="J389" s="975" t="n"/>
      <c r="K389" s="1189">
        <f>K385=L389</f>
        <v/>
      </c>
      <c r="L389" s="491">
        <f>SUM(L385:L388)</f>
        <v/>
      </c>
      <c r="M389" s="1190" t="inlineStr">
        <is>
          <t xml:space="preserve">“Verdadero” indica que la cantidad por lote, coincide con el saldo que inicia al mes siguiente. "Falso" no coinicide. </t>
        </is>
      </c>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496">
        <f>NOVIEMBRE!K390</f>
        <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73"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73"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73"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75" t="n"/>
      <c r="E394" s="998" t="n"/>
      <c r="F394" s="998" t="n"/>
      <c r="G394" s="975" t="n"/>
      <c r="H394" s="998" t="n"/>
      <c r="I394" s="998" t="n"/>
      <c r="J394" s="975" t="n"/>
      <c r="K394" s="1189">
        <f>K390=L394</f>
        <v/>
      </c>
      <c r="L394" s="491">
        <f>SUM(L390:L393)</f>
        <v/>
      </c>
      <c r="M394" s="1190" t="inlineStr">
        <is>
          <t xml:space="preserve">“Verdadero” indica que la cantidad por lote, coincide con el saldo que inicia al mes siguiente. "Falso" no coinicide. </t>
        </is>
      </c>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496">
        <f>NOVIEMBRE!K395</f>
        <v/>
      </c>
      <c r="E395" s="731" t="n"/>
      <c r="F395" s="731" t="n"/>
      <c r="G395" s="730">
        <f>E395+F395</f>
        <v/>
      </c>
      <c r="H395" s="731" t="n"/>
      <c r="I395" s="731" t="n"/>
      <c r="J395" s="732">
        <f>AM395</f>
        <v/>
      </c>
      <c r="K395" s="706">
        <f>+(D395+G395)-(H395+I395+J395)</f>
        <v/>
      </c>
      <c r="L395" s="486" t="n"/>
      <c r="M395" s="487" t="n"/>
      <c r="N395" s="487" t="n"/>
      <c r="O395" s="1223" t="n"/>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73"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73"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73"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75" t="n"/>
      <c r="E399" s="998" t="n"/>
      <c r="F399" s="998" t="n"/>
      <c r="G399" s="975" t="n"/>
      <c r="H399" s="998" t="n"/>
      <c r="I399" s="998" t="n"/>
      <c r="J399" s="975" t="n"/>
      <c r="K399" s="1189">
        <f>K395=L399</f>
        <v/>
      </c>
      <c r="L399" s="491">
        <f>SUM(L395:L398)</f>
        <v/>
      </c>
      <c r="M399" s="1190" t="inlineStr">
        <is>
          <t xml:space="preserve">“Verdadero” indica que la cantidad por lote, coincide con el saldo que inicia al mes siguiente. "Falso" no coinicide. </t>
        </is>
      </c>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496">
        <f>NOVIEMBRE!K400</f>
        <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73"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73"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73"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75" t="n"/>
      <c r="E404" s="998" t="n"/>
      <c r="F404" s="998" t="n"/>
      <c r="G404" s="975" t="n"/>
      <c r="H404" s="998" t="n"/>
      <c r="I404" s="998" t="n"/>
      <c r="J404" s="975" t="n"/>
      <c r="K404" s="1189">
        <f>K400=L404</f>
        <v/>
      </c>
      <c r="L404" s="491">
        <f>SUM(L400:L403)</f>
        <v/>
      </c>
      <c r="M404" s="1190" t="inlineStr">
        <is>
          <t xml:space="preserve">“Verdadero” indica que la cantidad por lote, coincide con el saldo que inicia al mes siguiente. "Falso" no coinicide. </t>
        </is>
      </c>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496">
        <f>NOVIEMBRE!K405</f>
        <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73"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73"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73"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75" t="n"/>
      <c r="E409" s="998" t="n"/>
      <c r="F409" s="998" t="n"/>
      <c r="G409" s="975" t="n"/>
      <c r="H409" s="998" t="n"/>
      <c r="I409" s="998" t="n"/>
      <c r="J409" s="975" t="n"/>
      <c r="K409" s="1189">
        <f>K405=L409</f>
        <v/>
      </c>
      <c r="L409" s="491">
        <f>SUM(L405:L408)</f>
        <v/>
      </c>
      <c r="M409" s="1190" t="inlineStr">
        <is>
          <t xml:space="preserve">“Verdadero” indica que la cantidad por lote, coincide con el saldo que inicia al mes siguiente. "Falso" no coinicide. </t>
        </is>
      </c>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1268" t="inlineStr">
        <is>
          <t>ÍTEM</t>
        </is>
      </c>
      <c r="B413" s="1268" t="inlineStr">
        <is>
          <t>INSUMOS</t>
        </is>
      </c>
      <c r="C413" s="965" t="n"/>
      <c r="D413" s="1231" t="inlineStr">
        <is>
          <t>SALDO MES ANTERIOR</t>
        </is>
      </c>
      <c r="E413" s="961" t="inlineStr">
        <is>
          <t>BIOLÓGICO RECIBIDO DEL CENTRO DE ACOPIO DEPARTAMENTAL / DISTRITAL</t>
        </is>
      </c>
      <c r="F413" s="1231" t="inlineStr">
        <is>
          <t>DOSIS APLICADAS</t>
        </is>
      </c>
      <c r="G413" s="967" t="n"/>
      <c r="H413" s="1232" t="inlineStr">
        <is>
          <t>TOTAL DOSIS APLICADAS</t>
        </is>
      </c>
      <c r="I413" s="961" t="inlineStr">
        <is>
          <t>DOSIS PERDIDAS</t>
        </is>
      </c>
      <c r="J413" s="1231" t="inlineStr">
        <is>
          <t>TOTAL DOSIS ÚTILIZADAS EN EL MES</t>
        </is>
      </c>
      <c r="K413" s="623" t="inlineStr">
        <is>
          <t>SALDO QUE INICIA EL MES SIGUIENTE (SOLO MUNICIPIOS)</t>
        </is>
      </c>
      <c r="L413" s="623" t="inlineStr">
        <is>
          <t>DOSIS POR LOTES</t>
        </is>
      </c>
      <c r="M413" s="623" t="inlineStr">
        <is>
          <t xml:space="preserve">No. LOTE </t>
        </is>
      </c>
      <c r="N413" s="1233" t="inlineStr">
        <is>
          <t>LABORATORIO</t>
        </is>
      </c>
      <c r="O413" s="623" t="inlineStr">
        <is>
          <t>FECHA DE VENCIMIENTO</t>
        </is>
      </c>
      <c r="P413" s="623" t="inlineStr">
        <is>
          <t>SEMAFORIZACION VIDA  ÚTIL DEL BIOLÓGICO</t>
        </is>
      </c>
      <c r="Q413" s="623" t="inlineStr">
        <is>
          <t>CONDICIÓN FINAL DEL BIOLÓGICO, DILUYENTE Y CARNET</t>
        </is>
      </c>
      <c r="R413" s="613" t="inlineStr">
        <is>
          <t>DOSIS EN CUARENTENA</t>
        </is>
      </c>
      <c r="S413" s="613" t="inlineStr">
        <is>
          <t>LABORATORIO</t>
        </is>
      </c>
      <c r="T413" s="613" t="inlineStr">
        <is>
          <t>No. LOTE</t>
        </is>
      </c>
      <c r="U413" s="613" t="inlineStr">
        <is>
          <t>FECHA DE VENCIMEINTO</t>
        </is>
      </c>
      <c r="V413" s="613" t="inlineStr">
        <is>
          <t>FECHA DE INICIO CUARENTENA</t>
        </is>
      </c>
      <c r="W413" s="961" t="inlineStr">
        <is>
          <t>PORCENTAJE DE PERDIDA DEL MES</t>
        </is>
      </c>
      <c r="X413" s="961" t="inlineStr">
        <is>
          <t>OBSERVACIONES</t>
        </is>
      </c>
      <c r="Y413" s="232" t="n"/>
      <c r="Z413" s="400" t="inlineStr">
        <is>
          <t>CAUSAS PERDIDA DE BIOLÓGICOS (Remítase a la primera hoja donde se especifica la clasificación de las perdidas)</t>
        </is>
      </c>
      <c r="AA413" s="400" t="n"/>
      <c r="AB413" s="400" t="n"/>
      <c r="AC413" s="400" t="n"/>
      <c r="AD413" s="400" t="n"/>
      <c r="AE413" s="400" t="n"/>
      <c r="AF413" s="400" t="n"/>
      <c r="AG413" s="400" t="n"/>
      <c r="AH413" s="400" t="n"/>
      <c r="AI413" s="400" t="n"/>
      <c r="AJ413" s="400" t="n"/>
      <c r="AK413" s="400" t="n"/>
      <c r="AL413" s="400" t="n"/>
      <c r="AM413" s="1181" t="inlineStr">
        <is>
          <t xml:space="preserve">TOTAL DOSIS PERDIDAS        </t>
        </is>
      </c>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inlineStr">
        <is>
          <t>POLÍTICA DE FRASCOS ABIERTO</t>
        </is>
      </c>
      <c r="AA415" s="968" t="n"/>
      <c r="AB415" s="967" t="n"/>
      <c r="AC415" s="330" t="inlineStr">
        <is>
          <t>INTERRUPCIÓN DE CADENA DE FRÍO</t>
        </is>
      </c>
      <c r="AD415" s="566" t="inlineStr">
        <is>
          <t>CONTAMINACION DEL BIOLÓGICO/DISPOSITIVO MÉDICO</t>
        </is>
      </c>
      <c r="AE415" s="533" t="inlineStr">
        <is>
          <t>VIAL ROTO</t>
        </is>
      </c>
      <c r="AF415" s="566" t="inlineStr">
        <is>
          <t>ERRORES EN LA MANIPULACIÓN</t>
        </is>
      </c>
      <c r="AG415" s="533" t="inlineStr">
        <is>
          <t>VENCIMIENTO DEL BIOLÓGICO O JERINGA</t>
        </is>
      </c>
      <c r="AH415" s="566" t="inlineStr">
        <is>
          <t>FARMACOVIGILANCIA / TECNOVIGILANCIA</t>
        </is>
      </c>
      <c r="AI415" s="533" t="inlineStr">
        <is>
          <t>VOMITO FRANCO</t>
        </is>
      </c>
      <c r="AJ415" s="533" t="inlineStr">
        <is>
          <t>APLICACIÓN FUERA DE LA EDAD</t>
        </is>
      </c>
      <c r="AK415" s="533" t="inlineStr">
        <is>
          <t>POR DECISIÓN FINAL DEL PACIENTE DE NO VACUNACIÓN</t>
        </is>
      </c>
      <c r="AL415" s="566" t="inlineStr">
        <is>
          <t>SINIESTRO O ROBO</t>
        </is>
      </c>
      <c r="AM415" s="973" t="n"/>
      <c r="AN415" s="333" t="n"/>
      <c r="AQ415" s="332" t="n"/>
      <c r="AR415" s="332" t="n"/>
      <c r="AS415" s="332" t="n"/>
      <c r="AT415" s="332" t="n"/>
      <c r="AU415" s="332" t="n"/>
      <c r="AV415" s="566" t="inlineStr">
        <is>
          <t>Dosis reportadas Plantilla Cero</t>
        </is>
      </c>
      <c r="AW415" s="566" t="inlineStr">
        <is>
          <t>Diferencia dosis aplicadas vs dosis reportadas plantilla cero</t>
        </is>
      </c>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inlineStr">
        <is>
          <t>INSTITUCIONAL</t>
        </is>
      </c>
      <c r="AA416" s="533" t="inlineStr">
        <is>
          <t>EXTRAMURAL</t>
        </is>
      </c>
      <c r="AB416" s="533" t="inlineStr">
        <is>
          <t>TOTAL</t>
        </is>
      </c>
      <c r="AC416" s="975" t="n"/>
      <c r="AD416" s="975" t="n"/>
      <c r="AE416" s="975" t="n"/>
      <c r="AF416" s="975" t="n"/>
      <c r="AG416" s="975" t="n"/>
      <c r="AH416" s="975" t="n"/>
      <c r="AI416" s="975" t="n"/>
      <c r="AJ416" s="975" t="n"/>
      <c r="AK416" s="975" t="n"/>
      <c r="AL416" s="975" t="n"/>
      <c r="AM416" s="975" t="n"/>
      <c r="AN416" s="333" t="n"/>
      <c r="AQ416" s="546" t="inlineStr">
        <is>
          <t>PORCENTAJE DE PERDIDA DEL MES
%</t>
        </is>
      </c>
      <c r="AR416" s="546" t="inlineStr">
        <is>
          <t>FACTOR DE PERDIDA DEL MES</t>
        </is>
      </c>
      <c r="AS416" s="420" t="inlineStr">
        <is>
          <t>% DE PERDIDA DEL MSPS</t>
        </is>
      </c>
      <c r="AT416" s="420" t="inlineStr">
        <is>
          <t>DOSIS POR VIAL</t>
        </is>
      </c>
      <c r="AU416" s="332" t="n"/>
      <c r="AV416" s="975" t="n"/>
      <c r="AW416" s="975" t="n"/>
    </row>
    <row r="417" ht="17.25" customHeight="1">
      <c r="A417" s="585" t="n">
        <v>1</v>
      </c>
      <c r="B417" s="640" t="inlineStr">
        <is>
          <t>Vacuna de BCG (Bacilo de Calmette y Guérin) Liofilizada</t>
        </is>
      </c>
      <c r="C417" s="965" t="n"/>
      <c r="D417" s="413">
        <f>NOVIEMBRE!K417</f>
        <v/>
      </c>
      <c r="E417" s="339">
        <f>H13</f>
        <v/>
      </c>
      <c r="F417" s="338" t="n"/>
      <c r="G417" s="338" t="n"/>
      <c r="H417" s="1235">
        <f>+F417+G417</f>
        <v/>
      </c>
      <c r="I417" s="340">
        <f>+AM417</f>
        <v/>
      </c>
      <c r="J417" s="341">
        <f>+H417+I417</f>
        <v/>
      </c>
      <c r="K417" s="583">
        <f>+(D417+E417)-(J417)</f>
        <v/>
      </c>
      <c r="L417" s="253" t="n"/>
      <c r="M417" s="254" t="n"/>
      <c r="N417" s="254" t="n"/>
      <c r="O417" s="1183" t="n"/>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c r="AA417" s="648" t="n"/>
      <c r="AB417" s="649">
        <f>+Z417+AA417</f>
        <v/>
      </c>
      <c r="AC417" s="648" t="n"/>
      <c r="AD417" s="648" t="n"/>
      <c r="AE417" s="648" t="n"/>
      <c r="AF417" s="648" t="n"/>
      <c r="AG417" s="648" t="n"/>
      <c r="AH417" s="648" t="n"/>
      <c r="AI417" s="648" t="n"/>
      <c r="AJ417" s="648" t="n"/>
      <c r="AK417" s="648" t="n"/>
      <c r="AL417" s="648" t="n"/>
      <c r="AM417" s="421">
        <f>SUM(AB417:AL421)</f>
        <v/>
      </c>
      <c r="AN417" s="726" t="n"/>
      <c r="AQ417" s="1238">
        <f>IFERROR(I417/J417*100,"0")</f>
        <v/>
      </c>
      <c r="AR417" s="343">
        <f>IFERROR(1/(1-(AQ417/100)),"0")</f>
        <v/>
      </c>
      <c r="AS417" s="1239" t="n">
        <v>75</v>
      </c>
      <c r="AT417" s="345" t="n">
        <v>20</v>
      </c>
      <c r="AU417" s="1240" t="n"/>
      <c r="AV417" s="1241" t="n"/>
      <c r="AW417" s="1242">
        <f>+H417-AV417</f>
        <v/>
      </c>
    </row>
    <row r="418" ht="17.25" customHeight="1">
      <c r="A418" s="973" t="n"/>
      <c r="B418" s="971" t="n"/>
      <c r="C418" s="972" t="n"/>
      <c r="D418" s="973" t="n"/>
      <c r="E418" s="973" t="n"/>
      <c r="F418" s="994" t="n"/>
      <c r="G418" s="994" t="n"/>
      <c r="H418" s="973" t="n"/>
      <c r="I418" s="973" t="n"/>
      <c r="J418" s="973" t="n"/>
      <c r="K418" s="973" t="n"/>
      <c r="L418" s="253" t="n"/>
      <c r="M418" s="254" t="n"/>
      <c r="N418" s="254" t="n"/>
      <c r="O418" s="1183" t="n"/>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73" t="n"/>
      <c r="E419" s="973" t="n"/>
      <c r="F419" s="994" t="n"/>
      <c r="G419" s="994" t="n"/>
      <c r="H419" s="973" t="n"/>
      <c r="I419" s="973" t="n"/>
      <c r="J419" s="973" t="n"/>
      <c r="K419" s="973" t="n"/>
      <c r="L419" s="253" t="n"/>
      <c r="M419" s="254" t="n"/>
      <c r="N419" s="254" t="n"/>
      <c r="O419" s="1183" t="n"/>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73" t="n"/>
      <c r="E420" s="973" t="n"/>
      <c r="F420" s="994" t="n"/>
      <c r="G420" s="994" t="n"/>
      <c r="H420" s="973" t="n"/>
      <c r="I420" s="973" t="n"/>
      <c r="J420" s="973" t="n"/>
      <c r="K420" s="973" t="n"/>
      <c r="L420" s="253" t="n"/>
      <c r="M420" s="254" t="n"/>
      <c r="N420" s="254" t="n"/>
      <c r="O420" s="1183" t="n"/>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73"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75" t="n"/>
      <c r="E422" s="975" t="n"/>
      <c r="F422" s="998" t="n"/>
      <c r="G422" s="998" t="n"/>
      <c r="H422" s="975" t="n"/>
      <c r="I422" s="975" t="n"/>
      <c r="J422" s="975" t="n"/>
      <c r="K422" s="1189">
        <f>K417=L422</f>
        <v/>
      </c>
      <c r="L422" s="491">
        <f>SUM(L417:L421)</f>
        <v/>
      </c>
      <c r="M422" s="1190" t="inlineStr">
        <is>
          <t xml:space="preserve">“Verdadero” indica que la cantidad por lote, coincide con el saldo que inicia al mes siguiente. "Falso" no coinicide. </t>
        </is>
      </c>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413">
        <f>NOVIEMBRE!K423</f>
        <v/>
      </c>
      <c r="E423" s="339">
        <f>H19</f>
        <v/>
      </c>
      <c r="F423" s="338" t="n"/>
      <c r="G423" s="338" t="n"/>
      <c r="H423" s="1235">
        <f>+F423+G423</f>
        <v/>
      </c>
      <c r="I423" s="340">
        <f>+AM423</f>
        <v/>
      </c>
      <c r="J423" s="341">
        <f>+H423+I423</f>
        <v/>
      </c>
      <c r="K423" s="583">
        <f>+(D423+E423)-(J423)</f>
        <v/>
      </c>
      <c r="L423" s="253" t="n"/>
      <c r="M423" s="254" t="n"/>
      <c r="N423" s="254" t="n"/>
      <c r="O423" s="1183" t="n"/>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c r="AA423" s="648" t="n"/>
      <c r="AB423" s="649">
        <f>+Z423+AA423</f>
        <v/>
      </c>
      <c r="AC423" s="648" t="n"/>
      <c r="AD423" s="648" t="n"/>
      <c r="AE423" s="648" t="n"/>
      <c r="AF423" s="648" t="n"/>
      <c r="AG423" s="648" t="n"/>
      <c r="AH423" s="648" t="n"/>
      <c r="AI423" s="648" t="n"/>
      <c r="AJ423" s="648" t="n"/>
      <c r="AK423" s="648" t="n"/>
      <c r="AL423" s="648" t="n"/>
      <c r="AM423" s="421">
        <f>SUM(AB423:AL427)</f>
        <v/>
      </c>
      <c r="AN423" s="726" t="n"/>
      <c r="AQ423" s="1238">
        <f>IFERROR(I423/J423*100,"0")</f>
        <v/>
      </c>
      <c r="AR423" s="343">
        <f>IFERROR(1/(1-(AQ423/100)),"0")</f>
        <v/>
      </c>
      <c r="AS423" s="1239" t="n">
        <v>0</v>
      </c>
      <c r="AT423" s="345" t="n">
        <v>1</v>
      </c>
      <c r="AU423" s="1240" t="n"/>
      <c r="AV423" s="1241" t="n"/>
      <c r="AW423" s="1242">
        <f>+H423-AV423</f>
        <v/>
      </c>
    </row>
    <row r="424" ht="17.25" customHeight="1">
      <c r="A424" s="973" t="n"/>
      <c r="B424" s="971" t="n"/>
      <c r="C424" s="972" t="n"/>
      <c r="D424" s="973" t="n"/>
      <c r="E424" s="973" t="n"/>
      <c r="F424" s="994" t="n"/>
      <c r="G424" s="994" t="n"/>
      <c r="H424" s="973" t="n"/>
      <c r="I424" s="973" t="n"/>
      <c r="J424" s="973" t="n"/>
      <c r="K424" s="973" t="n"/>
      <c r="L424" s="253" t="n"/>
      <c r="M424" s="254" t="n"/>
      <c r="N424" s="254" t="n"/>
      <c r="O424" s="1183" t="n"/>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73" t="n"/>
      <c r="E425" s="973" t="n"/>
      <c r="F425" s="994" t="n"/>
      <c r="G425" s="994" t="n"/>
      <c r="H425" s="973" t="n"/>
      <c r="I425" s="973" t="n"/>
      <c r="J425" s="973" t="n"/>
      <c r="K425" s="973" t="n"/>
      <c r="L425" s="253" t="n"/>
      <c r="M425" s="254" t="n"/>
      <c r="N425" s="254" t="n"/>
      <c r="O425" s="1183" t="n"/>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73" t="n"/>
      <c r="E426" s="973" t="n"/>
      <c r="F426" s="994" t="n"/>
      <c r="G426" s="994" t="n"/>
      <c r="H426" s="973" t="n"/>
      <c r="I426" s="973" t="n"/>
      <c r="J426" s="973" t="n"/>
      <c r="K426" s="973" t="n"/>
      <c r="L426" s="253" t="n"/>
      <c r="M426" s="254" t="n"/>
      <c r="N426" s="254" t="n"/>
      <c r="O426" s="1183" t="n"/>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73" t="n"/>
      <c r="E427" s="973" t="n"/>
      <c r="F427" s="994" t="n"/>
      <c r="G427" s="994" t="n"/>
      <c r="H427" s="973" t="n"/>
      <c r="I427" s="973" t="n"/>
      <c r="J427" s="973" t="n"/>
      <c r="K427" s="975" t="n"/>
      <c r="L427" s="253" t="n"/>
      <c r="M427" s="254" t="n"/>
      <c r="N427" s="254" t="n"/>
      <c r="O427" s="1183" t="n"/>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75" t="n"/>
      <c r="E428" s="975" t="n"/>
      <c r="F428" s="998" t="n"/>
      <c r="G428" s="998" t="n"/>
      <c r="H428" s="975" t="n"/>
      <c r="I428" s="975" t="n"/>
      <c r="J428" s="975" t="n"/>
      <c r="K428" s="1189">
        <f>K423=L428</f>
        <v/>
      </c>
      <c r="L428" s="491">
        <f>SUM(L423:L427)</f>
        <v/>
      </c>
      <c r="M428" s="1190" t="inlineStr">
        <is>
          <t xml:space="preserve">“Verdadero” indica que la cantidad por lote, coincide con el saldo que inicia al mes siguiente. "Falso" no coinicide. </t>
        </is>
      </c>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413">
        <f>NOVIEMBRE!K429</f>
        <v/>
      </c>
      <c r="E429" s="339">
        <f>H25</f>
        <v/>
      </c>
      <c r="F429" s="338" t="n"/>
      <c r="G429" s="338" t="n"/>
      <c r="H429" s="1235">
        <f>+F429+G429</f>
        <v/>
      </c>
      <c r="I429" s="340">
        <f>+AM429</f>
        <v/>
      </c>
      <c r="J429" s="341">
        <f>+H429+I429</f>
        <v/>
      </c>
      <c r="K429" s="583">
        <f>+(D429+E429)-(J429)</f>
        <v/>
      </c>
      <c r="L429" s="253" t="n"/>
      <c r="M429" s="254" t="n"/>
      <c r="N429" s="254" t="n"/>
      <c r="O429" s="1183" t="n"/>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c r="AA429" s="648" t="n"/>
      <c r="AB429" s="649">
        <f>+Z429+AA429</f>
        <v/>
      </c>
      <c r="AC429" s="648" t="n"/>
      <c r="AD429" s="648" t="n"/>
      <c r="AE429" s="648" t="n"/>
      <c r="AF429" s="648" t="n"/>
      <c r="AG429" s="648" t="n"/>
      <c r="AH429" s="648" t="n"/>
      <c r="AI429" s="648" t="n"/>
      <c r="AJ429" s="648" t="n"/>
      <c r="AK429" s="648" t="n"/>
      <c r="AL429" s="648" t="n"/>
      <c r="AM429" s="421">
        <f>SUM(AB429:AL433)</f>
        <v/>
      </c>
      <c r="AN429" s="726" t="n"/>
      <c r="AQ429" s="1238">
        <f>IFERROR(I429/J429*100,"0")</f>
        <v/>
      </c>
      <c r="AR429" s="343">
        <f>IFERROR(1/(1-(AQ429/100)),"0")</f>
        <v/>
      </c>
      <c r="AS429" s="1239" t="n">
        <v>0</v>
      </c>
      <c r="AT429" s="345" t="n">
        <v>1</v>
      </c>
      <c r="AU429" s="1240" t="n"/>
      <c r="AV429" s="1241" t="n"/>
      <c r="AW429" s="1242">
        <f>+H429-AV429</f>
        <v/>
      </c>
    </row>
    <row r="430" ht="17.25" customHeight="1">
      <c r="A430" s="973" t="n"/>
      <c r="B430" s="971" t="n"/>
      <c r="C430" s="972" t="n"/>
      <c r="D430" s="973" t="n"/>
      <c r="E430" s="973" t="n"/>
      <c r="F430" s="994" t="n"/>
      <c r="G430" s="994" t="n"/>
      <c r="H430" s="973" t="n"/>
      <c r="I430" s="973" t="n"/>
      <c r="J430" s="973" t="n"/>
      <c r="K430" s="973" t="n"/>
      <c r="L430" s="253" t="n"/>
      <c r="M430" s="254" t="n"/>
      <c r="N430" s="254" t="n"/>
      <c r="O430" s="1183" t="n"/>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73" t="n"/>
      <c r="E431" s="973" t="n"/>
      <c r="F431" s="994" t="n"/>
      <c r="G431" s="994" t="n"/>
      <c r="H431" s="973" t="n"/>
      <c r="I431" s="973" t="n"/>
      <c r="J431" s="973" t="n"/>
      <c r="K431" s="973" t="n"/>
      <c r="L431" s="253" t="n"/>
      <c r="M431" s="254" t="n"/>
      <c r="N431" s="254" t="n"/>
      <c r="O431" s="1183" t="n"/>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73" t="n"/>
      <c r="E432" s="973" t="n"/>
      <c r="F432" s="994" t="n"/>
      <c r="G432" s="994" t="n"/>
      <c r="H432" s="973" t="n"/>
      <c r="I432" s="973" t="n"/>
      <c r="J432" s="973" t="n"/>
      <c r="K432" s="973" t="n"/>
      <c r="L432" s="253" t="n"/>
      <c r="M432" s="254" t="n"/>
      <c r="N432" s="254" t="n"/>
      <c r="O432" s="1183" t="n"/>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73"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75" t="n"/>
      <c r="E434" s="975" t="n"/>
      <c r="F434" s="998" t="n"/>
      <c r="G434" s="998" t="n"/>
      <c r="H434" s="975" t="n"/>
      <c r="I434" s="975" t="n"/>
      <c r="J434" s="975" t="n"/>
      <c r="K434" s="1189">
        <f>K429=L434</f>
        <v/>
      </c>
      <c r="L434" s="491">
        <f>SUM(L429:L433)</f>
        <v/>
      </c>
      <c r="M434" s="1190" t="inlineStr">
        <is>
          <t xml:space="preserve">“Verdadero” indica que la cantidad por lote, coincide con el saldo que inicia al mes siguiente. "Falso" no coinicide. </t>
        </is>
      </c>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413">
        <f>NOVIEMBRE!K435</f>
        <v/>
      </c>
      <c r="E435" s="339">
        <f>H31</f>
        <v/>
      </c>
      <c r="F435" s="338" t="n"/>
      <c r="G435" s="338" t="n"/>
      <c r="H435" s="1235">
        <f>+F435+G435</f>
        <v/>
      </c>
      <c r="I435" s="340">
        <f>+AM435</f>
        <v/>
      </c>
      <c r="J435" s="341">
        <f>+H435+I435</f>
        <v/>
      </c>
      <c r="K435" s="583">
        <f>+(D435+E435)-(J435)</f>
        <v/>
      </c>
      <c r="L435" s="253" t="n"/>
      <c r="M435" s="254" t="n"/>
      <c r="N435" s="254" t="n"/>
      <c r="O435" s="1183" t="n"/>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c r="AA435" s="648" t="n"/>
      <c r="AB435" s="649">
        <f>+Z435+AA435</f>
        <v/>
      </c>
      <c r="AC435" s="648" t="n"/>
      <c r="AD435" s="648" t="n"/>
      <c r="AE435" s="648" t="n"/>
      <c r="AF435" s="648" t="n"/>
      <c r="AG435" s="648" t="n"/>
      <c r="AH435" s="648" t="n"/>
      <c r="AI435" s="648" t="n"/>
      <c r="AJ435" s="648" t="n"/>
      <c r="AK435" s="648" t="n"/>
      <c r="AL435" s="648" t="n"/>
      <c r="AM435" s="421">
        <f>SUM(AB435:AL439)</f>
        <v/>
      </c>
      <c r="AN435" s="726" t="n"/>
      <c r="AQ435" s="1238">
        <f>IFERROR(I435/J435*100,"0")</f>
        <v/>
      </c>
      <c r="AR435" s="343">
        <f>IFERROR(1/(1-(AQ435/100)),"0")</f>
        <v/>
      </c>
      <c r="AS435" s="1239" t="n">
        <v>15</v>
      </c>
      <c r="AT435" s="345" t="n">
        <v>5</v>
      </c>
      <c r="AU435" s="1240" t="n"/>
      <c r="AV435" s="1241" t="n"/>
      <c r="AW435" s="1242">
        <f>+H435-AV435</f>
        <v/>
      </c>
    </row>
    <row r="436" ht="17.25" customHeight="1">
      <c r="A436" s="973" t="n"/>
      <c r="B436" s="971" t="n"/>
      <c r="C436" s="972" t="n"/>
      <c r="D436" s="973" t="n"/>
      <c r="E436" s="973" t="n"/>
      <c r="F436" s="994" t="n"/>
      <c r="G436" s="994" t="n"/>
      <c r="H436" s="973" t="n"/>
      <c r="I436" s="973" t="n"/>
      <c r="J436" s="973" t="n"/>
      <c r="K436" s="973" t="n"/>
      <c r="L436" s="253" t="n"/>
      <c r="M436" s="254" t="n"/>
      <c r="N436" s="254" t="n"/>
      <c r="O436" s="1183" t="n"/>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73" t="n"/>
      <c r="E437" s="973" t="n"/>
      <c r="F437" s="994" t="n"/>
      <c r="G437" s="994" t="n"/>
      <c r="H437" s="973" t="n"/>
      <c r="I437" s="973" t="n"/>
      <c r="J437" s="973" t="n"/>
      <c r="K437" s="973" t="n"/>
      <c r="L437" s="253" t="n"/>
      <c r="M437" s="254" t="n"/>
      <c r="N437" s="254" t="n"/>
      <c r="O437" s="1183" t="n"/>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73" t="n"/>
      <c r="E438" s="973" t="n"/>
      <c r="F438" s="994" t="n"/>
      <c r="G438" s="994" t="n"/>
      <c r="H438" s="973" t="n"/>
      <c r="I438" s="973" t="n"/>
      <c r="J438" s="973" t="n"/>
      <c r="K438" s="973" t="n"/>
      <c r="L438" s="253" t="n"/>
      <c r="M438" s="254" t="n"/>
      <c r="N438" s="254" t="n"/>
      <c r="O438" s="1183" t="n"/>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73" t="n"/>
      <c r="E439" s="973" t="n"/>
      <c r="F439" s="994" t="n"/>
      <c r="G439" s="994" t="n"/>
      <c r="H439" s="973" t="n"/>
      <c r="I439" s="973" t="n"/>
      <c r="J439" s="973" t="n"/>
      <c r="K439" s="975" t="n"/>
      <c r="L439" s="253" t="n"/>
      <c r="M439" s="254" t="n"/>
      <c r="N439" s="254" t="n"/>
      <c r="O439" s="1183" t="n"/>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75" t="n"/>
      <c r="E440" s="975" t="n"/>
      <c r="F440" s="998" t="n"/>
      <c r="G440" s="998" t="n"/>
      <c r="H440" s="975" t="n"/>
      <c r="I440" s="975" t="n"/>
      <c r="J440" s="975" t="n"/>
      <c r="K440" s="1189">
        <f>K435=L440</f>
        <v/>
      </c>
      <c r="L440" s="491">
        <f>SUM(L435:L439)</f>
        <v/>
      </c>
      <c r="M440" s="1190" t="inlineStr">
        <is>
          <t xml:space="preserve">“Verdadero” indica que la cantidad por lote, coincide con el saldo que inicia al mes siguiente. "Falso" no coinicide. </t>
        </is>
      </c>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413">
        <f>NOVIEMBRE!K441</f>
        <v/>
      </c>
      <c r="E441" s="339">
        <f>H37</f>
        <v/>
      </c>
      <c r="F441" s="338" t="n"/>
      <c r="G441" s="338" t="n"/>
      <c r="H441" s="1235">
        <f>+F441+G441</f>
        <v/>
      </c>
      <c r="I441" s="340">
        <f>+AM441</f>
        <v/>
      </c>
      <c r="J441" s="341">
        <f>+H441+I441</f>
        <v/>
      </c>
      <c r="K441" s="583">
        <f>+(D441+E441)-(J441)</f>
        <v/>
      </c>
      <c r="L441" s="253" t="n"/>
      <c r="M441" s="254" t="n"/>
      <c r="N441" s="254" t="n"/>
      <c r="O441" s="1183" t="n"/>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c r="AA441" s="648" t="n"/>
      <c r="AB441" s="649">
        <f>+Z441+AA441</f>
        <v/>
      </c>
      <c r="AC441" s="648" t="n"/>
      <c r="AD441" s="648" t="n"/>
      <c r="AE441" s="648" t="n"/>
      <c r="AF441" s="648" t="n"/>
      <c r="AG441" s="648" t="n"/>
      <c r="AH441" s="648" t="n"/>
      <c r="AI441" s="648" t="n"/>
      <c r="AJ441" s="648" t="n"/>
      <c r="AK441" s="648" t="n"/>
      <c r="AL441" s="648" t="n"/>
      <c r="AM441" s="421">
        <f>SUM(AB441:AL445)</f>
        <v/>
      </c>
      <c r="AN441" s="726" t="n"/>
      <c r="AQ441" s="1238">
        <f>IFERROR(I441/J441*100,"0")</f>
        <v/>
      </c>
      <c r="AR441" s="343">
        <f>IFERROR(1/(1-(AQ441/100)),"0")</f>
        <v/>
      </c>
      <c r="AS441" s="1239" t="n">
        <v>0</v>
      </c>
      <c r="AT441" s="345" t="n">
        <v>1</v>
      </c>
      <c r="AU441" s="1240" t="n"/>
      <c r="AV441" s="1241" t="n"/>
      <c r="AW441" s="1242">
        <f>+H441-AV441</f>
        <v/>
      </c>
    </row>
    <row r="442" ht="17.25" customHeight="1">
      <c r="A442" s="973" t="n"/>
      <c r="B442" s="971" t="n"/>
      <c r="C442" s="972" t="n"/>
      <c r="D442" s="973" t="n"/>
      <c r="E442" s="973" t="n"/>
      <c r="F442" s="994" t="n"/>
      <c r="G442" s="994" t="n"/>
      <c r="H442" s="973" t="n"/>
      <c r="I442" s="973" t="n"/>
      <c r="J442" s="973" t="n"/>
      <c r="K442" s="973" t="n"/>
      <c r="L442" s="253" t="n"/>
      <c r="M442" s="254" t="n"/>
      <c r="N442" s="254" t="n"/>
      <c r="O442" s="1183" t="n"/>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73" t="n"/>
      <c r="E443" s="973" t="n"/>
      <c r="F443" s="994" t="n"/>
      <c r="G443" s="994" t="n"/>
      <c r="H443" s="973" t="n"/>
      <c r="I443" s="973" t="n"/>
      <c r="J443" s="973" t="n"/>
      <c r="K443" s="973" t="n"/>
      <c r="L443" s="253" t="n"/>
      <c r="M443" s="254" t="n"/>
      <c r="N443" s="254" t="n"/>
      <c r="O443" s="1183" t="n"/>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73" t="n"/>
      <c r="E444" s="973" t="n"/>
      <c r="F444" s="994" t="n"/>
      <c r="G444" s="994" t="n"/>
      <c r="H444" s="973" t="n"/>
      <c r="I444" s="973" t="n"/>
      <c r="J444" s="973" t="n"/>
      <c r="K444" s="973" t="n"/>
      <c r="L444" s="253" t="n"/>
      <c r="M444" s="254" t="n"/>
      <c r="N444" s="254" t="n"/>
      <c r="O444" s="1183" t="n"/>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73"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75" t="n"/>
      <c r="E446" s="975" t="n"/>
      <c r="F446" s="998" t="n"/>
      <c r="G446" s="998" t="n"/>
      <c r="H446" s="975" t="n"/>
      <c r="I446" s="975" t="n"/>
      <c r="J446" s="975" t="n"/>
      <c r="K446" s="1189">
        <f>K441=L446</f>
        <v/>
      </c>
      <c r="L446" s="491">
        <f>SUM(L441:L445)</f>
        <v/>
      </c>
      <c r="M446" s="1190" t="inlineStr">
        <is>
          <t xml:space="preserve">“Verdadero” indica que la cantidad por lote, coincide con el saldo que inicia al mes siguiente. "Falso" no coinicide. </t>
        </is>
      </c>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413">
        <f>NOVIEMBRE!K447</f>
        <v/>
      </c>
      <c r="E447" s="339">
        <f>H43</f>
        <v/>
      </c>
      <c r="F447" s="338" t="n"/>
      <c r="G447" s="338" t="n"/>
      <c r="H447" s="1235">
        <f>+F447+G447</f>
        <v/>
      </c>
      <c r="I447" s="340">
        <f>+AM447</f>
        <v/>
      </c>
      <c r="J447" s="341">
        <f>+H447+I447</f>
        <v/>
      </c>
      <c r="K447" s="583">
        <f>+(D447+E447)-(J447)</f>
        <v/>
      </c>
      <c r="L447" s="253" t="n"/>
      <c r="M447" s="254" t="n"/>
      <c r="N447" s="254" t="n"/>
      <c r="O447" s="1183" t="n"/>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c r="AA447" s="648" t="n"/>
      <c r="AB447" s="649">
        <f>+Z447+AA447</f>
        <v/>
      </c>
      <c r="AC447" s="648" t="n"/>
      <c r="AD447" s="648" t="n"/>
      <c r="AE447" s="648" t="n"/>
      <c r="AF447" s="648" t="n"/>
      <c r="AG447" s="648" t="n"/>
      <c r="AH447" s="648" t="n"/>
      <c r="AI447" s="648" t="n"/>
      <c r="AJ447" s="648" t="n"/>
      <c r="AK447" s="648" t="n"/>
      <c r="AL447" s="648" t="n"/>
      <c r="AM447" s="421">
        <f>SUM(AB447:AL451)</f>
        <v/>
      </c>
      <c r="AN447" s="726" t="n"/>
      <c r="AQ447" s="1238">
        <f>IFERROR(I447/J447*100,"0")</f>
        <v/>
      </c>
      <c r="AR447" s="343">
        <f>IFERROR(1/(1-(AQ447/100)),"0")</f>
        <v/>
      </c>
      <c r="AS447" s="1239" t="n">
        <v>0</v>
      </c>
      <c r="AT447" s="345" t="n">
        <v>1</v>
      </c>
      <c r="AU447" s="1240" t="n"/>
      <c r="AV447" s="1241" t="n"/>
      <c r="AW447" s="1242">
        <f>+H447-AV447</f>
        <v/>
      </c>
    </row>
    <row r="448" ht="17.25" customHeight="1">
      <c r="A448" s="973" t="n"/>
      <c r="B448" s="971" t="n"/>
      <c r="C448" s="972" t="n"/>
      <c r="D448" s="973" t="n"/>
      <c r="E448" s="973" t="n"/>
      <c r="F448" s="994" t="n"/>
      <c r="G448" s="994" t="n"/>
      <c r="H448" s="973" t="n"/>
      <c r="I448" s="973" t="n"/>
      <c r="J448" s="973" t="n"/>
      <c r="K448" s="973" t="n"/>
      <c r="L448" s="253" t="n"/>
      <c r="M448" s="254" t="n"/>
      <c r="N448" s="254" t="n"/>
      <c r="O448" s="1183" t="n"/>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73" t="n"/>
      <c r="E449" s="973" t="n"/>
      <c r="F449" s="994" t="n"/>
      <c r="G449" s="994" t="n"/>
      <c r="H449" s="973" t="n"/>
      <c r="I449" s="973" t="n"/>
      <c r="J449" s="973" t="n"/>
      <c r="K449" s="973" t="n"/>
      <c r="L449" s="253" t="n"/>
      <c r="M449" s="254" t="n"/>
      <c r="N449" s="254" t="n"/>
      <c r="O449" s="1183" t="n"/>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73" t="n"/>
      <c r="E450" s="973" t="n"/>
      <c r="F450" s="994" t="n"/>
      <c r="G450" s="994" t="n"/>
      <c r="H450" s="973" t="n"/>
      <c r="I450" s="973" t="n"/>
      <c r="J450" s="973" t="n"/>
      <c r="K450" s="973" t="n"/>
      <c r="L450" s="253" t="n"/>
      <c r="M450" s="254" t="n"/>
      <c r="N450" s="254" t="n"/>
      <c r="O450" s="1183" t="n"/>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73" t="n"/>
      <c r="E451" s="973" t="n"/>
      <c r="F451" s="994" t="n"/>
      <c r="G451" s="994" t="n"/>
      <c r="H451" s="973" t="n"/>
      <c r="I451" s="973" t="n"/>
      <c r="J451" s="973" t="n"/>
      <c r="K451" s="975" t="n"/>
      <c r="L451" s="253" t="n"/>
      <c r="M451" s="254" t="n"/>
      <c r="N451" s="254" t="n"/>
      <c r="O451" s="1183" t="n"/>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75" t="n"/>
      <c r="E452" s="975" t="n"/>
      <c r="F452" s="998" t="n"/>
      <c r="G452" s="998" t="n"/>
      <c r="H452" s="975" t="n"/>
      <c r="I452" s="975" t="n"/>
      <c r="J452" s="975" t="n"/>
      <c r="K452" s="1189">
        <f>K447=L452</f>
        <v/>
      </c>
      <c r="L452" s="491">
        <f>SUM(L447:L451)</f>
        <v/>
      </c>
      <c r="M452" s="1190" t="inlineStr">
        <is>
          <t xml:space="preserve">“Verdadero” indica que la cantidad por lote, coincide con el saldo que inicia al mes siguiente. "Falso" no coinicide. </t>
        </is>
      </c>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413">
        <f>NOVIEMBRE!K453</f>
        <v/>
      </c>
      <c r="E453" s="339">
        <f>H49</f>
        <v/>
      </c>
      <c r="F453" s="338" t="n"/>
      <c r="G453" s="338" t="n"/>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c r="AA453" s="648" t="n"/>
      <c r="AB453" s="649">
        <f>+Z453+AA453</f>
        <v/>
      </c>
      <c r="AC453" s="648" t="n"/>
      <c r="AD453" s="648" t="n"/>
      <c r="AE453" s="648" t="n"/>
      <c r="AF453" s="648" t="n"/>
      <c r="AG453" s="648" t="n"/>
      <c r="AH453" s="648" t="n"/>
      <c r="AI453" s="648" t="n"/>
      <c r="AJ453" s="648" t="n"/>
      <c r="AK453" s="648" t="n"/>
      <c r="AL453" s="648" t="n"/>
      <c r="AM453" s="421">
        <f>SUM(AB453:AL457)</f>
        <v/>
      </c>
      <c r="AN453" s="726" t="n"/>
      <c r="AQ453" s="1238">
        <f>IFERROR(I453/J453*100,"0")</f>
        <v/>
      </c>
      <c r="AR453" s="343">
        <f>IFERROR(1/(1-(AQ453/100)),"0")</f>
        <v/>
      </c>
      <c r="AS453" s="1239" t="n">
        <v>0</v>
      </c>
      <c r="AT453" s="345" t="n">
        <v>1</v>
      </c>
      <c r="AU453" s="1240" t="n"/>
      <c r="AV453" s="1241" t="n"/>
      <c r="AW453" s="1242">
        <f>+H453-AV453</f>
        <v/>
      </c>
    </row>
    <row r="454" ht="17.25" customHeight="1">
      <c r="A454" s="973" t="n"/>
      <c r="B454" s="971" t="n"/>
      <c r="C454" s="972" t="n"/>
      <c r="D454" s="973"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73"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73"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73"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75" t="n"/>
      <c r="E458" s="975" t="n"/>
      <c r="F458" s="998" t="n"/>
      <c r="G458" s="998" t="n"/>
      <c r="H458" s="975" t="n"/>
      <c r="I458" s="975" t="n"/>
      <c r="J458" s="975" t="n"/>
      <c r="K458" s="1189">
        <f>K453=L458</f>
        <v/>
      </c>
      <c r="L458" s="491">
        <f>SUM(L453:L457)</f>
        <v/>
      </c>
      <c r="M458" s="1190" t="inlineStr">
        <is>
          <t xml:space="preserve">“Verdadero” indica que la cantidad por lote, coincide con el saldo que inicia al mes siguiente. "Falso" no coinicide. </t>
        </is>
      </c>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413">
        <f>NOVIEMBRE!K459</f>
        <v/>
      </c>
      <c r="E459" s="339">
        <f>H55</f>
        <v/>
      </c>
      <c r="F459" s="338" t="n"/>
      <c r="G459" s="338" t="n"/>
      <c r="H459" s="1235">
        <f>+F459+G459</f>
        <v/>
      </c>
      <c r="I459" s="340">
        <f>+AM459</f>
        <v/>
      </c>
      <c r="J459" s="341">
        <f>+H459+I459</f>
        <v/>
      </c>
      <c r="K459" s="583">
        <f>+(D459+E459)-(J459)</f>
        <v/>
      </c>
      <c r="L459" s="253" t="n"/>
      <c r="M459" s="254" t="n"/>
      <c r="N459" s="254" t="n"/>
      <c r="O459" s="1183" t="n"/>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c r="AA459" s="648" t="n"/>
      <c r="AB459" s="649">
        <f>+Z459+AA459</f>
        <v/>
      </c>
      <c r="AC459" s="648" t="n"/>
      <c r="AD459" s="648" t="n"/>
      <c r="AE459" s="648" t="n"/>
      <c r="AF459" s="648" t="n"/>
      <c r="AG459" s="648" t="n"/>
      <c r="AH459" s="648" t="n"/>
      <c r="AI459" s="648" t="n"/>
      <c r="AJ459" s="648" t="n"/>
      <c r="AK459" s="648" t="n"/>
      <c r="AL459" s="648" t="n"/>
      <c r="AM459" s="421">
        <f>SUM(AB459:AL463)</f>
        <v/>
      </c>
      <c r="AN459" s="726" t="n"/>
      <c r="AQ459" s="1238">
        <f>IFERROR(I459/J459*100,"0")</f>
        <v/>
      </c>
      <c r="AR459" s="343">
        <f>IFERROR(1/(1-(AQ459/100)),"0")</f>
        <v/>
      </c>
      <c r="AS459" s="1239" t="n">
        <v>30</v>
      </c>
      <c r="AT459" s="345" t="n">
        <v>10</v>
      </c>
      <c r="AU459" s="1240" t="n"/>
      <c r="AV459" s="1241" t="n"/>
      <c r="AW459" s="1242">
        <f>+H459-AV459</f>
        <v/>
      </c>
    </row>
    <row r="460" ht="17.25" customHeight="1">
      <c r="A460" s="973" t="n"/>
      <c r="B460" s="971" t="n"/>
      <c r="C460" s="972" t="n"/>
      <c r="D460" s="973" t="n"/>
      <c r="E460" s="973" t="n"/>
      <c r="F460" s="994" t="n"/>
      <c r="G460" s="994" t="n"/>
      <c r="H460" s="973" t="n"/>
      <c r="I460" s="973" t="n"/>
      <c r="J460" s="973" t="n"/>
      <c r="K460" s="973" t="n"/>
      <c r="L460" s="253" t="n"/>
      <c r="M460" s="254" t="n"/>
      <c r="N460" s="254" t="n"/>
      <c r="O460" s="1183" t="n"/>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73"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73"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73"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75" t="n"/>
      <c r="E464" s="975" t="n"/>
      <c r="F464" s="998" t="n"/>
      <c r="G464" s="998" t="n"/>
      <c r="H464" s="975" t="n"/>
      <c r="I464" s="975" t="n"/>
      <c r="J464" s="975" t="n"/>
      <c r="K464" s="1189">
        <f>K459=L464</f>
        <v/>
      </c>
      <c r="L464" s="491">
        <f>SUM(L459:L463)</f>
        <v/>
      </c>
      <c r="M464" s="1190" t="inlineStr">
        <is>
          <t xml:space="preserve">“Verdadero” indica que la cantidad por lote, coincide con el saldo que inicia al mes siguiente. "Falso" no coinicide. </t>
        </is>
      </c>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413">
        <f>NOVIEMBRE!K465</f>
        <v/>
      </c>
      <c r="E465" s="339">
        <f>H61</f>
        <v/>
      </c>
      <c r="F465" s="338" t="n"/>
      <c r="G465" s="338" t="n"/>
      <c r="H465" s="1235">
        <f>+F465+G465</f>
        <v/>
      </c>
      <c r="I465" s="340">
        <f>+AM465</f>
        <v/>
      </c>
      <c r="J465" s="341">
        <f>+H465+I465</f>
        <v/>
      </c>
      <c r="K465" s="583">
        <f>+(D465+E465)-(J465)</f>
        <v/>
      </c>
      <c r="L465" s="253" t="n"/>
      <c r="M465" s="254" t="n"/>
      <c r="N465" s="254" t="n"/>
      <c r="O465" s="1183" t="n"/>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c r="AA465" s="648" t="n"/>
      <c r="AB465" s="649">
        <f>+Z465+AA465</f>
        <v/>
      </c>
      <c r="AC465" s="648" t="n"/>
      <c r="AD465" s="648" t="n"/>
      <c r="AE465" s="648" t="n"/>
      <c r="AF465" s="648" t="n"/>
      <c r="AG465" s="648" t="n"/>
      <c r="AH465" s="648" t="n"/>
      <c r="AI465" s="648" t="n"/>
      <c r="AJ465" s="648" t="n"/>
      <c r="AK465" s="648" t="n"/>
      <c r="AL465" s="648" t="n"/>
      <c r="AM465" s="421">
        <f>SUM(AB465:AL469)</f>
        <v/>
      </c>
      <c r="AN465" s="726" t="n"/>
      <c r="AQ465" s="1238">
        <f>IFERROR(I465/J465*100,"0")</f>
        <v/>
      </c>
      <c r="AR465" s="343">
        <f>IFERROR(1/(1-(AQ465/100)),"0")</f>
        <v/>
      </c>
      <c r="AS465" s="1239" t="n">
        <v>0</v>
      </c>
      <c r="AT465" s="345" t="n">
        <v>1</v>
      </c>
      <c r="AU465" s="1240" t="n"/>
      <c r="AV465" s="1241" t="n"/>
      <c r="AW465" s="1242">
        <f>+H465-AV465</f>
        <v/>
      </c>
    </row>
    <row r="466" ht="17.25" customHeight="1">
      <c r="A466" s="973" t="n"/>
      <c r="B466" s="971" t="n"/>
      <c r="C466" s="972" t="n"/>
      <c r="D466" s="973" t="n"/>
      <c r="E466" s="973" t="n"/>
      <c r="F466" s="994" t="n"/>
      <c r="G466" s="994" t="n"/>
      <c r="H466" s="973" t="n"/>
      <c r="I466" s="973" t="n"/>
      <c r="J466" s="973" t="n"/>
      <c r="K466" s="973" t="n"/>
      <c r="L466" s="253" t="n"/>
      <c r="M466" s="254" t="n"/>
      <c r="N466" s="254" t="n"/>
      <c r="O466" s="1183" t="n"/>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73" t="n"/>
      <c r="E467" s="973" t="n"/>
      <c r="F467" s="994" t="n"/>
      <c r="G467" s="994" t="n"/>
      <c r="H467" s="973" t="n"/>
      <c r="I467" s="973" t="n"/>
      <c r="J467" s="973" t="n"/>
      <c r="K467" s="973" t="n"/>
      <c r="L467" s="253" t="n"/>
      <c r="M467" s="254" t="n"/>
      <c r="N467" s="254" t="n"/>
      <c r="O467" s="1183" t="n"/>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73" t="n"/>
      <c r="E468" s="973" t="n"/>
      <c r="F468" s="994" t="n"/>
      <c r="G468" s="994" t="n"/>
      <c r="H468" s="973" t="n"/>
      <c r="I468" s="973" t="n"/>
      <c r="J468" s="973" t="n"/>
      <c r="K468" s="973" t="n"/>
      <c r="L468" s="253" t="n"/>
      <c r="M468" s="254" t="n"/>
      <c r="N468" s="254" t="n"/>
      <c r="O468" s="1183" t="n"/>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73"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75" t="n"/>
      <c r="E470" s="975" t="n"/>
      <c r="F470" s="998" t="n"/>
      <c r="G470" s="998" t="n"/>
      <c r="H470" s="975" t="n"/>
      <c r="I470" s="975" t="n"/>
      <c r="J470" s="975" t="n"/>
      <c r="K470" s="1189">
        <f>K465=L470</f>
        <v/>
      </c>
      <c r="L470" s="491">
        <f>SUM(L465:L469)</f>
        <v/>
      </c>
      <c r="M470" s="1190" t="inlineStr">
        <is>
          <t xml:space="preserve">“Verdadero” indica que la cantidad por lote, coincide con el saldo que inicia al mes siguiente. "Falso" no coinicide. </t>
        </is>
      </c>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413">
        <f>NOVIEMBRE!K471</f>
        <v/>
      </c>
      <c r="E471" s="339">
        <f>H67</f>
        <v/>
      </c>
      <c r="F471" s="338" t="n"/>
      <c r="G471" s="338" t="n"/>
      <c r="H471" s="1235">
        <f>+F471+G471</f>
        <v/>
      </c>
      <c r="I471" s="340">
        <f>+AM471</f>
        <v/>
      </c>
      <c r="J471" s="341">
        <f>+H471+I471</f>
        <v/>
      </c>
      <c r="K471" s="583">
        <f>+(D471+E471)-(J471)</f>
        <v/>
      </c>
      <c r="L471" s="253" t="n"/>
      <c r="M471" s="254" t="n"/>
      <c r="N471" s="254" t="n"/>
      <c r="O471" s="1183" t="n"/>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c r="AA471" s="648" t="n"/>
      <c r="AB471" s="649">
        <f>+Z471+AA471</f>
        <v/>
      </c>
      <c r="AC471" s="648" t="n"/>
      <c r="AD471" s="648" t="n"/>
      <c r="AE471" s="648" t="n"/>
      <c r="AF471" s="648" t="n"/>
      <c r="AG471" s="648" t="n"/>
      <c r="AH471" s="648" t="n"/>
      <c r="AI471" s="648" t="n"/>
      <c r="AJ471" s="648" t="n"/>
      <c r="AK471" s="648" t="n"/>
      <c r="AL471" s="648" t="n"/>
      <c r="AM471" s="421">
        <f>SUM(AB471:AL475)</f>
        <v/>
      </c>
      <c r="AN471" s="726" t="n"/>
      <c r="AQ471" s="1238">
        <f>IFERROR(I471/J471*100,"0")</f>
        <v/>
      </c>
      <c r="AR471" s="343">
        <f>IFERROR(1/(1-(AQ471/100)),"0")</f>
        <v/>
      </c>
      <c r="AS471" s="1239" t="n">
        <v>0</v>
      </c>
      <c r="AT471" s="345" t="n">
        <v>1</v>
      </c>
      <c r="AU471" s="1240" t="n"/>
      <c r="AV471" s="1241" t="n"/>
      <c r="AW471" s="1242">
        <f>+H471-AV471</f>
        <v/>
      </c>
    </row>
    <row r="472" ht="17.25" customHeight="1">
      <c r="A472" s="973" t="n"/>
      <c r="B472" s="971" t="n"/>
      <c r="C472" s="972" t="n"/>
      <c r="D472" s="973" t="n"/>
      <c r="E472" s="973" t="n"/>
      <c r="F472" s="994" t="n"/>
      <c r="G472" s="994" t="n"/>
      <c r="H472" s="973" t="n"/>
      <c r="I472" s="973" t="n"/>
      <c r="J472" s="973" t="n"/>
      <c r="K472" s="973" t="n"/>
      <c r="L472" s="253" t="n"/>
      <c r="M472" s="254" t="n"/>
      <c r="N472" s="254" t="n"/>
      <c r="O472" s="1183" t="n"/>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73" t="n"/>
      <c r="E473" s="973" t="n"/>
      <c r="F473" s="994" t="n"/>
      <c r="G473" s="994" t="n"/>
      <c r="H473" s="973" t="n"/>
      <c r="I473" s="973" t="n"/>
      <c r="J473" s="973" t="n"/>
      <c r="K473" s="973" t="n"/>
      <c r="L473" s="253" t="n"/>
      <c r="M473" s="254" t="n"/>
      <c r="N473" s="254" t="n"/>
      <c r="O473" s="1183" t="n"/>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73" t="n"/>
      <c r="E474" s="973" t="n"/>
      <c r="F474" s="994" t="n"/>
      <c r="G474" s="994" t="n"/>
      <c r="H474" s="973" t="n"/>
      <c r="I474" s="973" t="n"/>
      <c r="J474" s="973" t="n"/>
      <c r="K474" s="973" t="n"/>
      <c r="L474" s="253" t="n"/>
      <c r="M474" s="254" t="n"/>
      <c r="N474" s="254" t="n"/>
      <c r="O474" s="1183" t="n"/>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73" t="n"/>
      <c r="E475" s="973" t="n"/>
      <c r="F475" s="994" t="n"/>
      <c r="G475" s="994" t="n"/>
      <c r="H475" s="973" t="n"/>
      <c r="I475" s="973" t="n"/>
      <c r="J475" s="973" t="n"/>
      <c r="K475" s="975" t="n"/>
      <c r="L475" s="253" t="n"/>
      <c r="M475" s="254" t="n"/>
      <c r="N475" s="254" t="n"/>
      <c r="O475" s="1183" t="n"/>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75" t="n"/>
      <c r="E476" s="975" t="n"/>
      <c r="F476" s="998" t="n"/>
      <c r="G476" s="998" t="n"/>
      <c r="H476" s="975" t="n"/>
      <c r="I476" s="975" t="n"/>
      <c r="J476" s="975" t="n"/>
      <c r="K476" s="1189">
        <f>K471=L476</f>
        <v/>
      </c>
      <c r="L476" s="491">
        <f>SUM(L471:L475)</f>
        <v/>
      </c>
      <c r="M476" s="1190" t="inlineStr">
        <is>
          <t xml:space="preserve">“Verdadero” indica que la cantidad por lote, coincide con el saldo que inicia al mes siguiente. "Falso" no coinicide. </t>
        </is>
      </c>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413">
        <f>NOVIEMBRE!K477</f>
        <v/>
      </c>
      <c r="E477" s="339">
        <f>H73</f>
        <v/>
      </c>
      <c r="F477" s="338" t="n"/>
      <c r="G477" s="338" t="n"/>
      <c r="H477" s="1235">
        <f>+F477+G477</f>
        <v/>
      </c>
      <c r="I477" s="340">
        <f>+AM477</f>
        <v/>
      </c>
      <c r="J477" s="341">
        <f>+H477+I477</f>
        <v/>
      </c>
      <c r="K477" s="583">
        <f>+(D477+E477)-(J477)</f>
        <v/>
      </c>
      <c r="L477" s="253" t="n"/>
      <c r="M477" s="254" t="n"/>
      <c r="N477" s="254" t="n"/>
      <c r="O477" s="1183" t="n"/>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c r="AA477" s="648" t="n"/>
      <c r="AB477" s="649">
        <f>+Z477+AA477</f>
        <v/>
      </c>
      <c r="AC477" s="648" t="n"/>
      <c r="AD477" s="648" t="n"/>
      <c r="AE477" s="648" t="n"/>
      <c r="AF477" s="648" t="n"/>
      <c r="AG477" s="648" t="n"/>
      <c r="AH477" s="648" t="n"/>
      <c r="AI477" s="648" t="n"/>
      <c r="AJ477" s="648" t="n"/>
      <c r="AK477" s="648" t="n"/>
      <c r="AL477" s="648" t="n"/>
      <c r="AM477" s="421">
        <f>SUM(AB477:AL481)</f>
        <v/>
      </c>
      <c r="AN477" s="726" t="n"/>
      <c r="AQ477" s="1238">
        <f>IFERROR(I477/J477*100,"0")</f>
        <v/>
      </c>
      <c r="AR477" s="343">
        <f>IFERROR(1/(1-(AQ477/100)),"0")</f>
        <v/>
      </c>
      <c r="AS477" s="1239" t="n">
        <v>0</v>
      </c>
      <c r="AT477" s="345" t="n">
        <v>1</v>
      </c>
      <c r="AU477" s="1240" t="n"/>
      <c r="AV477" s="1241" t="n"/>
      <c r="AW477" s="1242">
        <f>+H477-AV477</f>
        <v/>
      </c>
    </row>
    <row r="478" ht="17.25" customHeight="1">
      <c r="A478" s="973" t="n"/>
      <c r="B478" s="971" t="n"/>
      <c r="C478" s="972" t="n"/>
      <c r="D478" s="973" t="n"/>
      <c r="E478" s="973" t="n"/>
      <c r="F478" s="994" t="n"/>
      <c r="G478" s="994" t="n"/>
      <c r="H478" s="973" t="n"/>
      <c r="I478" s="973" t="n"/>
      <c r="J478" s="973" t="n"/>
      <c r="K478" s="973" t="n"/>
      <c r="L478" s="253" t="n"/>
      <c r="M478" s="254" t="n"/>
      <c r="N478" s="254" t="n"/>
      <c r="O478" s="1183" t="n"/>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73" t="n"/>
      <c r="E479" s="973" t="n"/>
      <c r="F479" s="994" t="n"/>
      <c r="G479" s="994" t="n"/>
      <c r="H479" s="973" t="n"/>
      <c r="I479" s="973" t="n"/>
      <c r="J479" s="973" t="n"/>
      <c r="K479" s="973" t="n"/>
      <c r="L479" s="253" t="n"/>
      <c r="M479" s="254" t="n"/>
      <c r="N479" s="254" t="n"/>
      <c r="O479" s="1183" t="n"/>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73" t="n"/>
      <c r="E480" s="973" t="n"/>
      <c r="F480" s="994" t="n"/>
      <c r="G480" s="994" t="n"/>
      <c r="H480" s="973" t="n"/>
      <c r="I480" s="973" t="n"/>
      <c r="J480" s="973" t="n"/>
      <c r="K480" s="973" t="n"/>
      <c r="L480" s="253" t="n"/>
      <c r="M480" s="254" t="n"/>
      <c r="N480" s="254" t="n"/>
      <c r="O480" s="1183" t="n"/>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73"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75" t="n"/>
      <c r="E482" s="975" t="n"/>
      <c r="F482" s="998" t="n"/>
      <c r="G482" s="998" t="n"/>
      <c r="H482" s="975" t="n"/>
      <c r="I482" s="975" t="n"/>
      <c r="J482" s="975" t="n"/>
      <c r="K482" s="1189">
        <f>K477=L482</f>
        <v/>
      </c>
      <c r="L482" s="491">
        <f>SUM(L477:L481)</f>
        <v/>
      </c>
      <c r="M482" s="1190" t="inlineStr">
        <is>
          <t xml:space="preserve">“Verdadero” indica que la cantidad por lote, coincide con el saldo que inicia al mes siguiente. "Falso" no coinicide. </t>
        </is>
      </c>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413">
        <f>NOVIEMBRE!K483</f>
        <v/>
      </c>
      <c r="E483" s="339">
        <f>H79</f>
        <v/>
      </c>
      <c r="F483" s="338" t="n"/>
      <c r="G483" s="338" t="n"/>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c r="AA483" s="648" t="n"/>
      <c r="AB483" s="649">
        <f>+Z483+AA483</f>
        <v/>
      </c>
      <c r="AC483" s="648" t="n"/>
      <c r="AD483" s="648" t="n"/>
      <c r="AE483" s="648" t="n"/>
      <c r="AF483" s="648" t="n"/>
      <c r="AG483" s="648" t="n"/>
      <c r="AH483" s="648" t="n"/>
      <c r="AI483" s="648" t="n"/>
      <c r="AJ483" s="648" t="n"/>
      <c r="AK483" s="648" t="n"/>
      <c r="AL483" s="648" t="n"/>
      <c r="AM483" s="421">
        <f>SUM(AB483:AL487)</f>
        <v/>
      </c>
      <c r="AN483" s="726" t="n"/>
      <c r="AQ483" s="1238">
        <f>IFERROR(I483/J483*100,"0")</f>
        <v/>
      </c>
      <c r="AR483" s="343">
        <f>IFERROR(1/(1-(AQ483/100)),"0")</f>
        <v/>
      </c>
      <c r="AS483" s="1239" t="n">
        <v>0</v>
      </c>
      <c r="AT483" s="345" t="n">
        <v>1</v>
      </c>
      <c r="AU483" s="1240" t="n"/>
      <c r="AV483" s="1241" t="n"/>
      <c r="AW483" s="1242">
        <f>+H483-AV483</f>
        <v/>
      </c>
    </row>
    <row r="484" ht="17.25" customHeight="1">
      <c r="A484" s="973" t="n"/>
      <c r="B484" s="971" t="n"/>
      <c r="C484" s="972" t="n"/>
      <c r="D484" s="973"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73"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73"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73"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75" t="n"/>
      <c r="E488" s="975" t="n"/>
      <c r="F488" s="998" t="n"/>
      <c r="G488" s="998" t="n"/>
      <c r="H488" s="975" t="n"/>
      <c r="I488" s="975" t="n"/>
      <c r="J488" s="975" t="n"/>
      <c r="K488" s="1189">
        <f>K483=L488</f>
        <v/>
      </c>
      <c r="L488" s="491">
        <f>SUM(L483:L487)</f>
        <v/>
      </c>
      <c r="M488" s="1190" t="inlineStr">
        <is>
          <t xml:space="preserve">“Verdadero” indica que la cantidad por lote, coincide con el saldo que inicia al mes siguiente. "Falso" no coinicide. </t>
        </is>
      </c>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413">
        <f>NOVIEMBRE!K489</f>
        <v/>
      </c>
      <c r="E489" s="339">
        <f>H85</f>
        <v/>
      </c>
      <c r="F489" s="338" t="n"/>
      <c r="G489" s="338" t="n"/>
      <c r="H489" s="1235">
        <f>+F489+G489</f>
        <v/>
      </c>
      <c r="I489" s="340">
        <f>+AM489</f>
        <v/>
      </c>
      <c r="J489" s="341">
        <f>+H489+I489</f>
        <v/>
      </c>
      <c r="K489" s="583">
        <f>+(D489+E489)-(J489)</f>
        <v/>
      </c>
      <c r="L489" s="253" t="n"/>
      <c r="M489" s="254" t="n"/>
      <c r="N489" s="254" t="n"/>
      <c r="O489" s="1183" t="n"/>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c r="AA489" s="648" t="n"/>
      <c r="AB489" s="649">
        <f>+Z489+AA489</f>
        <v/>
      </c>
      <c r="AC489" s="648" t="n"/>
      <c r="AD489" s="648" t="n"/>
      <c r="AE489" s="648" t="n"/>
      <c r="AF489" s="648" t="n"/>
      <c r="AG489" s="648" t="n"/>
      <c r="AH489" s="648" t="n"/>
      <c r="AI489" s="648" t="n"/>
      <c r="AJ489" s="648" t="n"/>
      <c r="AK489" s="648" t="n"/>
      <c r="AL489" s="648" t="n"/>
      <c r="AM489" s="421">
        <f>SUM(AB489:AL493)</f>
        <v/>
      </c>
      <c r="AN489" s="726" t="n"/>
      <c r="AQ489" s="1238">
        <f>IFERROR(I489/J489*100,"0")</f>
        <v/>
      </c>
      <c r="AR489" s="343">
        <f>IFERROR(1/(1-(AQ489/100)),"0")</f>
        <v/>
      </c>
      <c r="AS489" s="1239" t="n">
        <v>0</v>
      </c>
      <c r="AT489" s="345" t="n">
        <v>1</v>
      </c>
      <c r="AU489" s="1240" t="n"/>
      <c r="AV489" s="1241" t="n"/>
      <c r="AW489" s="1242">
        <f>+H489-AV489</f>
        <v/>
      </c>
    </row>
    <row r="490" ht="17.25" customHeight="1">
      <c r="A490" s="973" t="n"/>
      <c r="B490" s="971" t="n"/>
      <c r="C490" s="972" t="n"/>
      <c r="D490" s="973" t="n"/>
      <c r="E490" s="973" t="n"/>
      <c r="F490" s="994" t="n"/>
      <c r="G490" s="994" t="n"/>
      <c r="H490" s="973" t="n"/>
      <c r="I490" s="973" t="n"/>
      <c r="J490" s="973" t="n"/>
      <c r="K490" s="973" t="n"/>
      <c r="L490" s="253" t="n"/>
      <c r="M490" s="254" t="n"/>
      <c r="N490" s="254" t="n"/>
      <c r="O490" s="1183" t="n"/>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73" t="n"/>
      <c r="E491" s="973" t="n"/>
      <c r="F491" s="994" t="n"/>
      <c r="G491" s="994" t="n"/>
      <c r="H491" s="973" t="n"/>
      <c r="I491" s="973" t="n"/>
      <c r="J491" s="973" t="n"/>
      <c r="K491" s="973" t="n"/>
      <c r="L491" s="253" t="n"/>
      <c r="M491" s="254" t="n"/>
      <c r="N491" s="254" t="n"/>
      <c r="O491" s="1183" t="n"/>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73" t="n"/>
      <c r="E492" s="973" t="n"/>
      <c r="F492" s="994" t="n"/>
      <c r="G492" s="994" t="n"/>
      <c r="H492" s="973" t="n"/>
      <c r="I492" s="973" t="n"/>
      <c r="J492" s="973" t="n"/>
      <c r="K492" s="973" t="n"/>
      <c r="L492" s="253" t="n"/>
      <c r="M492" s="254" t="n"/>
      <c r="N492" s="254" t="n"/>
      <c r="O492" s="1183" t="n"/>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73"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75" t="n"/>
      <c r="E494" s="975" t="n"/>
      <c r="F494" s="998" t="n"/>
      <c r="G494" s="998" t="n"/>
      <c r="H494" s="975" t="n"/>
      <c r="I494" s="975" t="n"/>
      <c r="J494" s="975" t="n"/>
      <c r="K494" s="1189">
        <f>K489=L494</f>
        <v/>
      </c>
      <c r="L494" s="491">
        <f>SUM(L489:L493)</f>
        <v/>
      </c>
      <c r="M494" s="1190" t="inlineStr">
        <is>
          <t xml:space="preserve">“Verdadero” indica que la cantidad por lote, coincide con el saldo que inicia al mes siguiente. "Falso" no coinicide. </t>
        </is>
      </c>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413">
        <f>NOVIEMBRE!K495</f>
        <v/>
      </c>
      <c r="E495" s="339">
        <f>H91</f>
        <v/>
      </c>
      <c r="F495" s="338" t="n"/>
      <c r="G495" s="338" t="n"/>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c r="AA495" s="648" t="n"/>
      <c r="AB495" s="649">
        <f>+Z495+AA495</f>
        <v/>
      </c>
      <c r="AC495" s="648" t="n"/>
      <c r="AD495" s="648" t="n"/>
      <c r="AE495" s="648" t="n"/>
      <c r="AF495" s="648" t="n"/>
      <c r="AG495" s="648" t="n"/>
      <c r="AH495" s="648" t="n"/>
      <c r="AI495" s="648" t="n"/>
      <c r="AJ495" s="648" t="n"/>
      <c r="AK495" s="648" t="n"/>
      <c r="AL495" s="648" t="n"/>
      <c r="AM495" s="421">
        <f>SUM(AB495:AL499)</f>
        <v/>
      </c>
      <c r="AN495" s="726" t="n"/>
      <c r="AQ495" s="1238">
        <f>IFERROR(I495/J495*100,"0")</f>
        <v/>
      </c>
      <c r="AR495" s="343">
        <f>IFERROR(1/(1-(AQ495/100)),"0")</f>
        <v/>
      </c>
      <c r="AS495" s="1239" t="n">
        <v>25</v>
      </c>
      <c r="AT495" s="345" t="n">
        <v>5</v>
      </c>
      <c r="AU495" s="1240" t="n"/>
      <c r="AV495" s="1241" t="n"/>
      <c r="AW495" s="1242">
        <f>+H495-AV495</f>
        <v/>
      </c>
    </row>
    <row r="496" ht="17.25" customHeight="1">
      <c r="A496" s="973" t="n"/>
      <c r="B496" s="971" t="n"/>
      <c r="C496" s="972" t="n"/>
      <c r="D496" s="973"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73"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73"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73"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75" t="n"/>
      <c r="E500" s="975" t="n"/>
      <c r="F500" s="998" t="n"/>
      <c r="G500" s="998" t="n"/>
      <c r="H500" s="975" t="n"/>
      <c r="I500" s="975" t="n"/>
      <c r="J500" s="975" t="n"/>
      <c r="K500" s="1189">
        <f>K495=L500</f>
        <v/>
      </c>
      <c r="L500" s="491">
        <f>SUM(L495:L499)</f>
        <v/>
      </c>
      <c r="M500" s="1190" t="inlineStr">
        <is>
          <t xml:space="preserve">“Verdadero” indica que la cantidad por lote, coincide con el saldo que inicia al mes siguiente. "Falso" no coinicide. </t>
        </is>
      </c>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413">
        <f>NOVIEMBRE!K501</f>
        <v/>
      </c>
      <c r="E501" s="339">
        <f>H97</f>
        <v/>
      </c>
      <c r="F501" s="338" t="n"/>
      <c r="G501" s="338" t="n"/>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c r="AA501" s="648" t="n"/>
      <c r="AB501" s="649">
        <f>+Z501+AA501</f>
        <v/>
      </c>
      <c r="AC501" s="648" t="n"/>
      <c r="AD501" s="648" t="n"/>
      <c r="AE501" s="648" t="n"/>
      <c r="AF501" s="648" t="n"/>
      <c r="AG501" s="648" t="n"/>
      <c r="AH501" s="648" t="n"/>
      <c r="AI501" s="648" t="n"/>
      <c r="AJ501" s="648" t="n"/>
      <c r="AK501" s="648" t="n"/>
      <c r="AL501" s="648" t="n"/>
      <c r="AM501" s="421">
        <f>SUM(AB501:AL505)</f>
        <v/>
      </c>
      <c r="AN501" s="726" t="n"/>
      <c r="AQ501" s="1238">
        <f>IFERROR(I501/J501*100,"0")</f>
        <v/>
      </c>
      <c r="AR501" s="343">
        <f>IFERROR(1/(1-(AQ501/100)),"0")</f>
        <v/>
      </c>
      <c r="AS501" s="1239" t="n">
        <v>30</v>
      </c>
      <c r="AT501" s="345" t="n">
        <v>10</v>
      </c>
      <c r="AU501" s="1240" t="n"/>
      <c r="AV501" s="1241" t="n"/>
      <c r="AW501" s="1242">
        <f>+H501-AV501</f>
        <v/>
      </c>
    </row>
    <row r="502" ht="17.25" customHeight="1">
      <c r="A502" s="973" t="n"/>
      <c r="B502" s="971" t="n"/>
      <c r="C502" s="972" t="n"/>
      <c r="D502" s="973"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73"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73"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73"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75" t="n"/>
      <c r="E506" s="975" t="n"/>
      <c r="F506" s="998" t="n"/>
      <c r="G506" s="998" t="n"/>
      <c r="H506" s="975" t="n"/>
      <c r="I506" s="975" t="n"/>
      <c r="J506" s="975" t="n"/>
      <c r="K506" s="1189">
        <f>K501=L506</f>
        <v/>
      </c>
      <c r="L506" s="491">
        <f>SUM(L501:L505)</f>
        <v/>
      </c>
      <c r="M506" s="1190" t="inlineStr">
        <is>
          <t xml:space="preserve">“Verdadero” indica que la cantidad por lote, coincide con el saldo que inicia al mes siguiente. "Falso" no coinicide. </t>
        </is>
      </c>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413">
        <f>NOVIEMBRE!K507</f>
        <v/>
      </c>
      <c r="E507" s="339">
        <f>H103</f>
        <v/>
      </c>
      <c r="F507" s="338" t="n"/>
      <c r="G507" s="338" t="n"/>
      <c r="H507" s="1235">
        <f>+F507+G507</f>
        <v/>
      </c>
      <c r="I507" s="340">
        <f>+AM507</f>
        <v/>
      </c>
      <c r="J507" s="341">
        <f>+H507+I507</f>
        <v/>
      </c>
      <c r="K507" s="583">
        <f>+(D507+E507)-(J507)</f>
        <v/>
      </c>
      <c r="L507" s="253" t="n"/>
      <c r="M507" s="254" t="n"/>
      <c r="N507" s="254" t="n"/>
      <c r="O507" s="1183" t="n"/>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c r="AA507" s="648" t="n"/>
      <c r="AB507" s="649">
        <f>+Z507+AA507</f>
        <v/>
      </c>
      <c r="AC507" s="648" t="n"/>
      <c r="AD507" s="648" t="n"/>
      <c r="AE507" s="648" t="n"/>
      <c r="AF507" s="648" t="n"/>
      <c r="AG507" s="648" t="n"/>
      <c r="AH507" s="648" t="n"/>
      <c r="AI507" s="648" t="n"/>
      <c r="AJ507" s="648" t="n"/>
      <c r="AK507" s="648" t="n"/>
      <c r="AL507" s="648" t="n"/>
      <c r="AM507" s="421">
        <f>SUM(AB507:AL511)</f>
        <v/>
      </c>
      <c r="AN507" s="726" t="n"/>
      <c r="AQ507" s="1238">
        <f>IFERROR(I507/J507*100,"0")</f>
        <v/>
      </c>
      <c r="AR507" s="343">
        <f>IFERROR(1/(1-(AQ507/100)),"0")</f>
        <v/>
      </c>
      <c r="AS507" s="1239" t="n">
        <v>0</v>
      </c>
      <c r="AT507" s="345" t="n">
        <v>1</v>
      </c>
      <c r="AU507" s="1240" t="n"/>
      <c r="AV507" s="1241" t="n"/>
      <c r="AW507" s="1242">
        <f>+H507-AV507</f>
        <v/>
      </c>
    </row>
    <row r="508" ht="17.25" customHeight="1">
      <c r="A508" s="973" t="n"/>
      <c r="B508" s="971" t="n"/>
      <c r="C508" s="972" t="n"/>
      <c r="D508" s="973" t="n"/>
      <c r="E508" s="973" t="n"/>
      <c r="F508" s="994" t="n"/>
      <c r="G508" s="994" t="n"/>
      <c r="H508" s="973" t="n"/>
      <c r="I508" s="973" t="n"/>
      <c r="J508" s="973" t="n"/>
      <c r="K508" s="973" t="n"/>
      <c r="L508" s="253" t="n"/>
      <c r="M508" s="254" t="n"/>
      <c r="N508" s="254" t="n"/>
      <c r="O508" s="1183" t="n"/>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73" t="n"/>
      <c r="E509" s="973" t="n"/>
      <c r="F509" s="994" t="n"/>
      <c r="G509" s="994" t="n"/>
      <c r="H509" s="973" t="n"/>
      <c r="I509" s="973" t="n"/>
      <c r="J509" s="973" t="n"/>
      <c r="K509" s="973" t="n"/>
      <c r="L509" s="253" t="n"/>
      <c r="M509" s="254" t="n"/>
      <c r="N509" s="254" t="n"/>
      <c r="O509" s="1183" t="n"/>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73" t="n"/>
      <c r="E510" s="973" t="n"/>
      <c r="F510" s="994" t="n"/>
      <c r="G510" s="994" t="n"/>
      <c r="H510" s="973" t="n"/>
      <c r="I510" s="973" t="n"/>
      <c r="J510" s="973" t="n"/>
      <c r="K510" s="973" t="n"/>
      <c r="L510" s="253" t="n"/>
      <c r="M510" s="254" t="n"/>
      <c r="N510" s="254" t="n"/>
      <c r="O510" s="1183" t="n"/>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73" t="n"/>
      <c r="E511" s="973" t="n"/>
      <c r="F511" s="994" t="n"/>
      <c r="G511" s="994" t="n"/>
      <c r="H511" s="973" t="n"/>
      <c r="I511" s="973" t="n"/>
      <c r="J511" s="973" t="n"/>
      <c r="K511" s="975" t="n"/>
      <c r="L511" s="253" t="n"/>
      <c r="M511" s="254" t="n"/>
      <c r="N511" s="254" t="n"/>
      <c r="O511" s="1183" t="n"/>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75" t="n"/>
      <c r="E512" s="975" t="n"/>
      <c r="F512" s="998" t="n"/>
      <c r="G512" s="998" t="n"/>
      <c r="H512" s="975" t="n"/>
      <c r="I512" s="975" t="n"/>
      <c r="J512" s="975" t="n"/>
      <c r="K512" s="1189">
        <f>K507=L512</f>
        <v/>
      </c>
      <c r="L512" s="491">
        <f>SUM(L507:L511)</f>
        <v/>
      </c>
      <c r="M512" s="1190" t="inlineStr">
        <is>
          <t xml:space="preserve">“Verdadero” indica que la cantidad por lote, coincide con el saldo que inicia al mes siguiente. "Falso" no coinicide. </t>
        </is>
      </c>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413">
        <f>NOVIEMBRE!K513</f>
        <v/>
      </c>
      <c r="E513" s="339">
        <f>H109</f>
        <v/>
      </c>
      <c r="F513" s="338" t="n"/>
      <c r="G513" s="338" t="n"/>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c r="AA513" s="648" t="n"/>
      <c r="AB513" s="649">
        <f>+Z513+AA513</f>
        <v/>
      </c>
      <c r="AC513" s="648" t="n"/>
      <c r="AD513" s="648" t="n"/>
      <c r="AE513" s="648" t="n"/>
      <c r="AF513" s="648" t="n"/>
      <c r="AG513" s="648" t="n"/>
      <c r="AH513" s="648" t="n"/>
      <c r="AI513" s="648" t="n"/>
      <c r="AJ513" s="648" t="n"/>
      <c r="AK513" s="648" t="n"/>
      <c r="AL513" s="648" t="n"/>
      <c r="AM513" s="421">
        <f>SUM(AB513:AL517)</f>
        <v/>
      </c>
      <c r="AN513" s="726" t="n"/>
      <c r="AQ513" s="1238">
        <f>IFERROR(I513/J513*100,"0")</f>
        <v/>
      </c>
      <c r="AR513" s="343">
        <f>IFERROR(1/(1-(AQ513/100)),"0")</f>
        <v/>
      </c>
      <c r="AS513" s="1239" t="n">
        <v>30</v>
      </c>
      <c r="AT513" s="345" t="n">
        <v>10</v>
      </c>
      <c r="AU513" s="1240" t="n"/>
      <c r="AV513" s="1241" t="n"/>
      <c r="AW513" s="1242">
        <f>+H513-AV513</f>
        <v/>
      </c>
    </row>
    <row r="514" ht="17.25" customHeight="1">
      <c r="A514" s="973" t="n"/>
      <c r="B514" s="971" t="n"/>
      <c r="C514" s="972" t="n"/>
      <c r="D514" s="973"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73"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73"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73"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75" t="n"/>
      <c r="E518" s="975" t="n"/>
      <c r="F518" s="998" t="n"/>
      <c r="G518" s="998" t="n"/>
      <c r="H518" s="975" t="n"/>
      <c r="I518" s="975" t="n"/>
      <c r="J518" s="975" t="n"/>
      <c r="K518" s="1189">
        <f>K513=L518</f>
        <v/>
      </c>
      <c r="L518" s="491">
        <f>SUM(L513:L517)</f>
        <v/>
      </c>
      <c r="M518" s="1190" t="inlineStr">
        <is>
          <t xml:space="preserve">“Verdadero” indica que la cantidad por lote, coincide con el saldo que inicia al mes siguiente. "Falso" no coinicide. </t>
        </is>
      </c>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413">
        <f>NOVIEMBRE!K519</f>
        <v/>
      </c>
      <c r="E519" s="339">
        <f>H115</f>
        <v/>
      </c>
      <c r="F519" s="338" t="n"/>
      <c r="G519" s="338" t="n"/>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c r="AA519" s="648" t="n"/>
      <c r="AB519" s="649">
        <f>+Z519+AA519</f>
        <v/>
      </c>
      <c r="AC519" s="648" t="n"/>
      <c r="AD519" s="648" t="n"/>
      <c r="AE519" s="648" t="n"/>
      <c r="AF519" s="648" t="n"/>
      <c r="AG519" s="648" t="n"/>
      <c r="AH519" s="648" t="n"/>
      <c r="AI519" s="648" t="n"/>
      <c r="AJ519" s="648" t="n"/>
      <c r="AK519" s="648" t="n"/>
      <c r="AL519" s="648" t="n"/>
      <c r="AM519" s="421">
        <f>SUM(AB519:AL523)</f>
        <v/>
      </c>
      <c r="AN519" s="726" t="n"/>
      <c r="AQ519" s="1238">
        <f>IFERROR(I519/J519*100,"0")</f>
        <v/>
      </c>
      <c r="AR519" s="343">
        <f>IFERROR(1/(1-(AQ519/100)),"0")</f>
        <v/>
      </c>
      <c r="AS519" s="1239" t="n">
        <v>0</v>
      </c>
      <c r="AT519" s="345" t="n">
        <v>1</v>
      </c>
      <c r="AU519" s="1240" t="n"/>
      <c r="AV519" s="1241" t="n"/>
      <c r="AW519" s="1242">
        <f>+H519-AV519</f>
        <v/>
      </c>
    </row>
    <row r="520" ht="17.25" customHeight="1">
      <c r="A520" s="973" t="n"/>
      <c r="B520" s="971" t="n"/>
      <c r="C520" s="972" t="n"/>
      <c r="D520" s="973"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73"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73"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73"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75" t="n"/>
      <c r="E524" s="975" t="n"/>
      <c r="F524" s="998" t="n"/>
      <c r="G524" s="998" t="n"/>
      <c r="H524" s="975" t="n"/>
      <c r="I524" s="975" t="n"/>
      <c r="J524" s="975" t="n"/>
      <c r="K524" s="1189">
        <f>K519=L524</f>
        <v/>
      </c>
      <c r="L524" s="491">
        <f>SUM(L519:L523)</f>
        <v/>
      </c>
      <c r="M524" s="1190" t="inlineStr">
        <is>
          <t xml:space="preserve">“Verdadero” indica que la cantidad por lote, coincide con el saldo que inicia al mes siguiente. "Falso" no coinicide. </t>
        </is>
      </c>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413">
        <f>NOVIEMBRE!K525</f>
        <v/>
      </c>
      <c r="E525" s="339">
        <f>H121</f>
        <v/>
      </c>
      <c r="F525" s="338" t="n"/>
      <c r="G525" s="338" t="n"/>
      <c r="H525" s="1235">
        <f>+F525+G525</f>
        <v/>
      </c>
      <c r="I525" s="340">
        <f>+AM525</f>
        <v/>
      </c>
      <c r="J525" s="341">
        <f>+H525+I525</f>
        <v/>
      </c>
      <c r="K525" s="583">
        <f>+(D525+E525)-(J525)</f>
        <v/>
      </c>
      <c r="L525" s="253" t="n"/>
      <c r="M525" s="254" t="n"/>
      <c r="N525" s="254" t="n"/>
      <c r="O525" s="1183" t="n"/>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c r="AA525" s="648" t="n"/>
      <c r="AB525" s="649">
        <f>+Z525+AA525</f>
        <v/>
      </c>
      <c r="AC525" s="648" t="n"/>
      <c r="AD525" s="648" t="n"/>
      <c r="AE525" s="648" t="n"/>
      <c r="AF525" s="648" t="n"/>
      <c r="AG525" s="648" t="n"/>
      <c r="AH525" s="648" t="n"/>
      <c r="AI525" s="648" t="n"/>
      <c r="AJ525" s="648" t="n"/>
      <c r="AK525" s="648" t="n"/>
      <c r="AL525" s="648" t="n"/>
      <c r="AM525" s="421">
        <f>SUM(AB525:AL529)</f>
        <v/>
      </c>
      <c r="AN525" s="726" t="n"/>
      <c r="AQ525" s="1238">
        <f>IFERROR(I525/J525*100,"0")</f>
        <v/>
      </c>
      <c r="AR525" s="343">
        <f>IFERROR(1/(1-(AQ525/100)),"0")</f>
        <v/>
      </c>
      <c r="AS525" s="1239" t="n">
        <v>70</v>
      </c>
      <c r="AT525" s="345" t="n">
        <v>10</v>
      </c>
      <c r="AU525" s="1240" t="n"/>
      <c r="AV525" s="1241" t="n"/>
      <c r="AW525" s="1242">
        <f>+H525-AV525</f>
        <v/>
      </c>
    </row>
    <row r="526" ht="17.25" customHeight="1">
      <c r="A526" s="973" t="n"/>
      <c r="B526" s="971" t="n"/>
      <c r="C526" s="972" t="n"/>
      <c r="D526" s="973" t="n"/>
      <c r="E526" s="973" t="n"/>
      <c r="F526" s="994" t="n"/>
      <c r="G526" s="994" t="n"/>
      <c r="H526" s="973" t="n"/>
      <c r="I526" s="973" t="n"/>
      <c r="J526" s="973" t="n"/>
      <c r="K526" s="973" t="n"/>
      <c r="L526" s="253" t="n"/>
      <c r="M526" s="254" t="n"/>
      <c r="N526" s="254" t="n"/>
      <c r="O526" s="1183" t="n"/>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73" t="n"/>
      <c r="E527" s="973" t="n"/>
      <c r="F527" s="994" t="n"/>
      <c r="G527" s="994" t="n"/>
      <c r="H527" s="973" t="n"/>
      <c r="I527" s="973" t="n"/>
      <c r="J527" s="973" t="n"/>
      <c r="K527" s="973" t="n"/>
      <c r="L527" s="253" t="n"/>
      <c r="M527" s="254" t="n"/>
      <c r="N527" s="254" t="n"/>
      <c r="O527" s="1183" t="n"/>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73" t="n"/>
      <c r="E528" s="973" t="n"/>
      <c r="F528" s="994" t="n"/>
      <c r="G528" s="994" t="n"/>
      <c r="H528" s="973" t="n"/>
      <c r="I528" s="973" t="n"/>
      <c r="J528" s="973" t="n"/>
      <c r="K528" s="973" t="n"/>
      <c r="L528" s="253" t="n"/>
      <c r="M528" s="254" t="n"/>
      <c r="N528" s="254" t="n"/>
      <c r="O528" s="1183" t="n"/>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73" t="n"/>
      <c r="E529" s="973" t="n"/>
      <c r="F529" s="994" t="n"/>
      <c r="G529" s="994" t="n"/>
      <c r="H529" s="973" t="n"/>
      <c r="I529" s="973" t="n"/>
      <c r="J529" s="973" t="n"/>
      <c r="K529" s="975" t="n"/>
      <c r="L529" s="253" t="n"/>
      <c r="M529" s="254" t="n"/>
      <c r="N529" s="254" t="n"/>
      <c r="O529" s="1183" t="n"/>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75" t="n"/>
      <c r="E530" s="975" t="n"/>
      <c r="F530" s="998" t="n"/>
      <c r="G530" s="998" t="n"/>
      <c r="H530" s="975" t="n"/>
      <c r="I530" s="975" t="n"/>
      <c r="J530" s="975" t="n"/>
      <c r="K530" s="1189">
        <f>K525=L530</f>
        <v/>
      </c>
      <c r="L530" s="491">
        <f>SUM(L525:L529)</f>
        <v/>
      </c>
      <c r="M530" s="1190" t="inlineStr">
        <is>
          <t xml:space="preserve">“Verdadero” indica que la cantidad por lote, coincide con el saldo que inicia al mes siguiente. "Falso" no coinicide. </t>
        </is>
      </c>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413">
        <f>NOVIEMBRE!K531</f>
        <v/>
      </c>
      <c r="E531" s="339">
        <f>H127</f>
        <v/>
      </c>
      <c r="F531" s="338" t="n"/>
      <c r="G531" s="338" t="n"/>
      <c r="H531" s="1235">
        <f>+F531+G531</f>
        <v/>
      </c>
      <c r="I531" s="340">
        <f>+AM531</f>
        <v/>
      </c>
      <c r="J531" s="341">
        <f>+H531+I531</f>
        <v/>
      </c>
      <c r="K531" s="583">
        <f>+(D531+E531)-(J531)</f>
        <v/>
      </c>
      <c r="L531" s="253" t="n"/>
      <c r="M531" s="254" t="n"/>
      <c r="N531" s="254" t="n"/>
      <c r="O531" s="1183" t="n"/>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c r="AA531" s="648" t="n"/>
      <c r="AB531" s="649">
        <f>+Z531+AA531</f>
        <v/>
      </c>
      <c r="AC531" s="648" t="n"/>
      <c r="AD531" s="648" t="n"/>
      <c r="AE531" s="648" t="n"/>
      <c r="AF531" s="648" t="n"/>
      <c r="AG531" s="648" t="n"/>
      <c r="AH531" s="648" t="n"/>
      <c r="AI531" s="648" t="n"/>
      <c r="AJ531" s="648" t="n"/>
      <c r="AK531" s="648" t="n"/>
      <c r="AL531" s="648" t="n"/>
      <c r="AM531" s="421">
        <f>SUM(AB531:AL535)</f>
        <v/>
      </c>
      <c r="AN531" s="726" t="n"/>
      <c r="AQ531" s="1238">
        <f>IFERROR(I531/J531*100,"0")</f>
        <v/>
      </c>
      <c r="AR531" s="343">
        <f>IFERROR(1/(1-(AQ531/100)),"0")</f>
        <v/>
      </c>
      <c r="AS531" s="1239" t="n">
        <v>0</v>
      </c>
      <c r="AT531" s="345" t="n">
        <v>1</v>
      </c>
      <c r="AU531" s="1240" t="n"/>
      <c r="AV531" s="1241" t="n"/>
      <c r="AW531" s="1242">
        <f>+H531-AV531</f>
        <v/>
      </c>
    </row>
    <row r="532" ht="17.25" customHeight="1">
      <c r="A532" s="973" t="n"/>
      <c r="B532" s="971" t="n"/>
      <c r="C532" s="972" t="n"/>
      <c r="D532" s="973" t="n"/>
      <c r="E532" s="973" t="n"/>
      <c r="F532" s="994" t="n"/>
      <c r="G532" s="994" t="n"/>
      <c r="H532" s="973" t="n"/>
      <c r="I532" s="973" t="n"/>
      <c r="J532" s="973" t="n"/>
      <c r="K532" s="973" t="n"/>
      <c r="L532" s="253" t="n"/>
      <c r="M532" s="254" t="n"/>
      <c r="N532" s="254" t="n"/>
      <c r="O532" s="1183" t="n"/>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73" t="n"/>
      <c r="E533" s="973" t="n"/>
      <c r="F533" s="994" t="n"/>
      <c r="G533" s="994" t="n"/>
      <c r="H533" s="973" t="n"/>
      <c r="I533" s="973" t="n"/>
      <c r="J533" s="973" t="n"/>
      <c r="K533" s="973" t="n"/>
      <c r="L533" s="253" t="n"/>
      <c r="M533" s="254" t="n"/>
      <c r="N533" s="254" t="n"/>
      <c r="O533" s="1183" t="n"/>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73" t="n"/>
      <c r="E534" s="973" t="n"/>
      <c r="F534" s="994" t="n"/>
      <c r="G534" s="994" t="n"/>
      <c r="H534" s="973" t="n"/>
      <c r="I534" s="973" t="n"/>
      <c r="J534" s="973" t="n"/>
      <c r="K534" s="973" t="n"/>
      <c r="L534" s="253" t="n"/>
      <c r="M534" s="254" t="n"/>
      <c r="N534" s="254" t="n"/>
      <c r="O534" s="1183" t="n"/>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73" t="n"/>
      <c r="E535" s="973" t="n"/>
      <c r="F535" s="994" t="n"/>
      <c r="G535" s="994" t="n"/>
      <c r="H535" s="973" t="n"/>
      <c r="I535" s="973" t="n"/>
      <c r="J535" s="973" t="n"/>
      <c r="K535" s="975" t="n"/>
      <c r="L535" s="253" t="n"/>
      <c r="M535" s="254" t="n"/>
      <c r="N535" s="254" t="n"/>
      <c r="O535" s="1183" t="n"/>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75" t="n"/>
      <c r="E536" s="975" t="n"/>
      <c r="F536" s="998" t="n"/>
      <c r="G536" s="998" t="n"/>
      <c r="H536" s="975" t="n"/>
      <c r="I536" s="975" t="n"/>
      <c r="J536" s="975" t="n"/>
      <c r="K536" s="1189">
        <f>K531=L536</f>
        <v/>
      </c>
      <c r="L536" s="491">
        <f>SUM(L531:L535)</f>
        <v/>
      </c>
      <c r="M536" s="1190" t="inlineStr">
        <is>
          <t xml:space="preserve">“Verdadero” indica que la cantidad por lote, coincide con el saldo que inicia al mes siguiente. "Falso" no coinicide. </t>
        </is>
      </c>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413">
        <f>NOVIEMBRE!K537</f>
        <v/>
      </c>
      <c r="E537" s="339">
        <f>H133</f>
        <v/>
      </c>
      <c r="F537" s="338" t="n"/>
      <c r="G537" s="338" t="n"/>
      <c r="H537" s="1235">
        <f>+F537+G537</f>
        <v/>
      </c>
      <c r="I537" s="340">
        <f>+AM537</f>
        <v/>
      </c>
      <c r="J537" s="341">
        <f>+H537+I537</f>
        <v/>
      </c>
      <c r="K537" s="583">
        <f>+(D537+E537)-(J537)</f>
        <v/>
      </c>
      <c r="L537" s="253" t="n"/>
      <c r="M537" s="254" t="n"/>
      <c r="N537" s="254" t="n"/>
      <c r="O537" s="1183" t="n"/>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c r="AA537" s="648" t="n"/>
      <c r="AB537" s="649">
        <f>+Z537+AA537</f>
        <v/>
      </c>
      <c r="AC537" s="648" t="n"/>
      <c r="AD537" s="648" t="n"/>
      <c r="AE537" s="648" t="n"/>
      <c r="AF537" s="648" t="n"/>
      <c r="AG537" s="648" t="n"/>
      <c r="AH537" s="648" t="n"/>
      <c r="AI537" s="648" t="n"/>
      <c r="AJ537" s="648" t="n"/>
      <c r="AK537" s="648" t="n"/>
      <c r="AL537" s="648" t="n"/>
      <c r="AM537" s="421">
        <f>SUM(AB537:AL541)</f>
        <v/>
      </c>
      <c r="AN537" s="726" t="n"/>
      <c r="AQ537" s="1238">
        <f>IFERROR(I537/J537*100,"0")</f>
        <v/>
      </c>
      <c r="AR537" s="343">
        <f>IFERROR(1/(1-(AQ537/100)),"0")</f>
        <v/>
      </c>
      <c r="AS537" s="1239" t="n">
        <v>0</v>
      </c>
      <c r="AT537" s="345" t="n">
        <v>1</v>
      </c>
      <c r="AU537" s="1240" t="n"/>
      <c r="AV537" s="1241" t="n"/>
      <c r="AW537" s="1242">
        <f>+H537-AV537</f>
        <v/>
      </c>
    </row>
    <row r="538" ht="17.25" customHeight="1">
      <c r="A538" s="973" t="n"/>
      <c r="B538" s="971" t="n"/>
      <c r="C538" s="972" t="n"/>
      <c r="D538" s="973" t="n"/>
      <c r="E538" s="973" t="n"/>
      <c r="F538" s="994" t="n"/>
      <c r="G538" s="994" t="n"/>
      <c r="H538" s="973" t="n"/>
      <c r="I538" s="973" t="n"/>
      <c r="J538" s="973" t="n"/>
      <c r="K538" s="973" t="n"/>
      <c r="L538" s="253" t="n"/>
      <c r="M538" s="254" t="n"/>
      <c r="N538" s="254" t="n"/>
      <c r="O538" s="1183" t="n"/>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73" t="n"/>
      <c r="E539" s="973" t="n"/>
      <c r="F539" s="994" t="n"/>
      <c r="G539" s="994" t="n"/>
      <c r="H539" s="973" t="n"/>
      <c r="I539" s="973" t="n"/>
      <c r="J539" s="973" t="n"/>
      <c r="K539" s="973" t="n"/>
      <c r="L539" s="253" t="n"/>
      <c r="M539" s="254" t="n"/>
      <c r="N539" s="254" t="n"/>
      <c r="O539" s="1183" t="n"/>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73" t="n"/>
      <c r="E540" s="973" t="n"/>
      <c r="F540" s="994" t="n"/>
      <c r="G540" s="994" t="n"/>
      <c r="H540" s="973" t="n"/>
      <c r="I540" s="973" t="n"/>
      <c r="J540" s="973" t="n"/>
      <c r="K540" s="973" t="n"/>
      <c r="L540" s="253" t="n"/>
      <c r="M540" s="254" t="n"/>
      <c r="N540" s="254" t="n"/>
      <c r="O540" s="1183" t="n"/>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73" t="n"/>
      <c r="E541" s="973" t="n"/>
      <c r="F541" s="994" t="n"/>
      <c r="G541" s="994" t="n"/>
      <c r="H541" s="973" t="n"/>
      <c r="I541" s="973" t="n"/>
      <c r="J541" s="973" t="n"/>
      <c r="K541" s="975" t="n"/>
      <c r="L541" s="253" t="n"/>
      <c r="M541" s="254" t="n"/>
      <c r="N541" s="254" t="n"/>
      <c r="O541" s="1183" t="n"/>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75" t="n"/>
      <c r="E542" s="975" t="n"/>
      <c r="F542" s="998" t="n"/>
      <c r="G542" s="998" t="n"/>
      <c r="H542" s="975" t="n"/>
      <c r="I542" s="975" t="n"/>
      <c r="J542" s="975" t="n"/>
      <c r="K542" s="1189">
        <f>K537=L542</f>
        <v/>
      </c>
      <c r="L542" s="491">
        <f>SUM(L537:L541)</f>
        <v/>
      </c>
      <c r="M542" s="1190" t="inlineStr">
        <is>
          <t xml:space="preserve">“Verdadero” indica que la cantidad por lote, coincide con el saldo que inicia al mes siguiente. "Falso" no coinicide. </t>
        </is>
      </c>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413">
        <f>NOVIEMBRE!K543</f>
        <v/>
      </c>
      <c r="E543" s="339">
        <f>H139</f>
        <v/>
      </c>
      <c r="F543" s="338" t="n"/>
      <c r="G543" s="338" t="n"/>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c r="AA543" s="648" t="n"/>
      <c r="AB543" s="649">
        <f>+Z543+AA543</f>
        <v/>
      </c>
      <c r="AC543" s="648" t="n"/>
      <c r="AD543" s="648" t="n"/>
      <c r="AE543" s="648" t="n"/>
      <c r="AF543" s="648" t="n"/>
      <c r="AG543" s="648" t="n"/>
      <c r="AH543" s="648" t="n"/>
      <c r="AI543" s="648" t="n"/>
      <c r="AJ543" s="648" t="n"/>
      <c r="AK543" s="648" t="n"/>
      <c r="AL543" s="648" t="n"/>
      <c r="AM543" s="421">
        <f>SUM(AB543:AL547)</f>
        <v/>
      </c>
      <c r="AN543" s="726" t="n"/>
      <c r="AQ543" s="1238">
        <f>IFERROR(I543/J543*100,"0")</f>
        <v/>
      </c>
      <c r="AR543" s="343">
        <f>IFERROR(1/(1-(AQ543/100)),"0")</f>
        <v/>
      </c>
      <c r="AS543" s="1239" t="n">
        <v>0</v>
      </c>
      <c r="AT543" s="345" t="n">
        <v>1</v>
      </c>
      <c r="AU543" s="1240" t="n"/>
      <c r="AV543" s="1241" t="n"/>
      <c r="AW543" s="1242">
        <f>+H543-AV543</f>
        <v/>
      </c>
    </row>
    <row r="544" ht="17.25" customHeight="1">
      <c r="A544" s="973" t="n"/>
      <c r="B544" s="971" t="n"/>
      <c r="C544" s="972" t="n"/>
      <c r="D544" s="973"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73"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73"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73"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75" t="n"/>
      <c r="E548" s="975" t="n"/>
      <c r="F548" s="998" t="n"/>
      <c r="G548" s="998" t="n"/>
      <c r="H548" s="975" t="n"/>
      <c r="I548" s="975" t="n"/>
      <c r="J548" s="975" t="n"/>
      <c r="K548" s="1189">
        <f>K543=L548</f>
        <v/>
      </c>
      <c r="L548" s="491">
        <f>SUM(L543:L547)</f>
        <v/>
      </c>
      <c r="M548" s="1190" t="inlineStr">
        <is>
          <t xml:space="preserve">“Verdadero” indica que la cantidad por lote, coincide con el saldo que inicia al mes siguiente. "Falso" no coinicide. </t>
        </is>
      </c>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413">
        <f>NOVIEMBRE!K549</f>
        <v/>
      </c>
      <c r="E549" s="339">
        <f>H145</f>
        <v/>
      </c>
      <c r="F549" s="338" t="n"/>
      <c r="G549" s="338" t="n"/>
      <c r="H549" s="1235">
        <f>+F549+G549</f>
        <v/>
      </c>
      <c r="I549" s="340">
        <f>+AM549</f>
        <v/>
      </c>
      <c r="J549" s="341">
        <f>+H549+I549</f>
        <v/>
      </c>
      <c r="K549" s="583">
        <f>+(D549+E549)-(J549)</f>
        <v/>
      </c>
      <c r="L549" s="253" t="n"/>
      <c r="M549" s="254" t="n"/>
      <c r="N549" s="254" t="n"/>
      <c r="O549" s="1183" t="n"/>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c r="AA549" s="648" t="n"/>
      <c r="AB549" s="649">
        <f>+Z549+AA549</f>
        <v/>
      </c>
      <c r="AC549" s="648" t="n"/>
      <c r="AD549" s="648" t="n"/>
      <c r="AE549" s="648" t="n"/>
      <c r="AF549" s="648" t="n"/>
      <c r="AG549" s="648" t="n"/>
      <c r="AH549" s="648" t="n"/>
      <c r="AI549" s="648" t="n"/>
      <c r="AJ549" s="648" t="n"/>
      <c r="AK549" s="648" t="n"/>
      <c r="AL549" s="648" t="n"/>
      <c r="AM549" s="421">
        <f>SUM(AB549:AL553)</f>
        <v/>
      </c>
      <c r="AN549" s="726" t="n"/>
      <c r="AQ549" s="1238">
        <f>IFERROR(I549/J549*100,"0")</f>
        <v/>
      </c>
      <c r="AR549" s="343">
        <f>IFERROR(1/(1-(AQ549/100)),"0")</f>
        <v/>
      </c>
      <c r="AS549" s="1239" t="n">
        <v>15</v>
      </c>
      <c r="AT549" s="345" t="n">
        <v>10</v>
      </c>
      <c r="AU549" s="1240" t="n"/>
      <c r="AV549" s="1241" t="n"/>
      <c r="AW549" s="1242">
        <f>+H549-AV549</f>
        <v/>
      </c>
    </row>
    <row r="550" ht="17.25" customHeight="1">
      <c r="A550" s="973" t="n"/>
      <c r="B550" s="971" t="n"/>
      <c r="C550" s="972" t="n"/>
      <c r="D550" s="973" t="n"/>
      <c r="E550" s="973" t="n"/>
      <c r="F550" s="994" t="n"/>
      <c r="G550" s="994" t="n"/>
      <c r="H550" s="973" t="n"/>
      <c r="I550" s="973" t="n"/>
      <c r="J550" s="973" t="n"/>
      <c r="K550" s="973" t="n"/>
      <c r="L550" s="253" t="n"/>
      <c r="M550" s="254" t="n"/>
      <c r="N550" s="254" t="n"/>
      <c r="O550" s="1183" t="n"/>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73" t="n"/>
      <c r="E551" s="973" t="n"/>
      <c r="F551" s="994" t="n"/>
      <c r="G551" s="994" t="n"/>
      <c r="H551" s="973" t="n"/>
      <c r="I551" s="973" t="n"/>
      <c r="J551" s="973" t="n"/>
      <c r="K551" s="973" t="n"/>
      <c r="L551" s="253" t="n"/>
      <c r="M551" s="254" t="n"/>
      <c r="N551" s="254" t="n"/>
      <c r="O551" s="1183" t="n"/>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73" t="n"/>
      <c r="E552" s="973" t="n"/>
      <c r="F552" s="994" t="n"/>
      <c r="G552" s="994" t="n"/>
      <c r="H552" s="973" t="n"/>
      <c r="I552" s="973" t="n"/>
      <c r="J552" s="973" t="n"/>
      <c r="K552" s="973" t="n"/>
      <c r="L552" s="253" t="n"/>
      <c r="M552" s="254" t="n"/>
      <c r="N552" s="254" t="n"/>
      <c r="O552" s="1183" t="n"/>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73" t="n"/>
      <c r="E553" s="973" t="n"/>
      <c r="F553" s="994" t="n"/>
      <c r="G553" s="994" t="n"/>
      <c r="H553" s="973" t="n"/>
      <c r="I553" s="973" t="n"/>
      <c r="J553" s="973" t="n"/>
      <c r="K553" s="975" t="n"/>
      <c r="L553" s="253" t="n"/>
      <c r="M553" s="254" t="n"/>
      <c r="N553" s="254" t="n"/>
      <c r="O553" s="1183" t="n"/>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75" t="n"/>
      <c r="E554" s="975" t="n"/>
      <c r="F554" s="998" t="n"/>
      <c r="G554" s="998" t="n"/>
      <c r="H554" s="975" t="n"/>
      <c r="I554" s="975" t="n"/>
      <c r="J554" s="975" t="n"/>
      <c r="K554" s="1189">
        <f>K549=L554</f>
        <v/>
      </c>
      <c r="L554" s="491">
        <f>SUM(L549:L553)</f>
        <v/>
      </c>
      <c r="M554" s="1190" t="inlineStr">
        <is>
          <t xml:space="preserve">“Verdadero” indica que la cantidad por lote, coincide con el saldo que inicia al mes siguiente. "Falso" no coinicide. </t>
        </is>
      </c>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413">
        <f>NOVIEMBRE!K555</f>
        <v/>
      </c>
      <c r="E555" s="339">
        <f>H151</f>
        <v/>
      </c>
      <c r="F555" s="338" t="n"/>
      <c r="G555" s="338" t="n"/>
      <c r="H555" s="1235">
        <f>+F555+G555</f>
        <v/>
      </c>
      <c r="I555" s="340">
        <f>+AM555</f>
        <v/>
      </c>
      <c r="J555" s="341">
        <f>+H555+I555</f>
        <v/>
      </c>
      <c r="K555" s="583">
        <f>+(D555+E555)-(J555)</f>
        <v/>
      </c>
      <c r="L555" s="253" t="n"/>
      <c r="M555" s="254" t="n"/>
      <c r="N555" s="254" t="n"/>
      <c r="O555" s="1183" t="n"/>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c r="AA555" s="648" t="n"/>
      <c r="AB555" s="649">
        <f>+Z555+AA555</f>
        <v/>
      </c>
      <c r="AC555" s="648" t="n"/>
      <c r="AD555" s="648" t="n"/>
      <c r="AE555" s="648" t="n"/>
      <c r="AF555" s="648" t="n"/>
      <c r="AG555" s="648" t="n"/>
      <c r="AH555" s="648" t="n"/>
      <c r="AI555" s="648" t="n"/>
      <c r="AJ555" s="648" t="n"/>
      <c r="AK555" s="648" t="n"/>
      <c r="AL555" s="648" t="n"/>
      <c r="AM555" s="421">
        <f>SUM(AB555:AL559)</f>
        <v/>
      </c>
      <c r="AN555" s="726" t="n"/>
      <c r="AQ555" s="1238">
        <f>IFERROR(I555/J555*100,"0")</f>
        <v/>
      </c>
      <c r="AR555" s="343">
        <f>IFERROR(1/(1-(AQ555/100)),"0")</f>
        <v/>
      </c>
      <c r="AS555" s="1239" t="n">
        <v>0</v>
      </c>
      <c r="AT555" s="345" t="n">
        <v>1</v>
      </c>
      <c r="AU555" s="1240" t="n"/>
      <c r="AV555" s="1241" t="n"/>
      <c r="AW555" s="1242">
        <f>+H555-AV555</f>
        <v/>
      </c>
    </row>
    <row r="556" ht="17.25" customHeight="1">
      <c r="A556" s="973" t="n"/>
      <c r="B556" s="971" t="n"/>
      <c r="C556" s="972" t="n"/>
      <c r="D556" s="973" t="n"/>
      <c r="E556" s="973" t="n"/>
      <c r="F556" s="994" t="n"/>
      <c r="G556" s="994" t="n"/>
      <c r="H556" s="973" t="n"/>
      <c r="I556" s="973" t="n"/>
      <c r="J556" s="973" t="n"/>
      <c r="K556" s="973" t="n"/>
      <c r="L556" s="253" t="n"/>
      <c r="M556" s="254" t="n"/>
      <c r="N556" s="254" t="n"/>
      <c r="O556" s="1183" t="n"/>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73" t="n"/>
      <c r="E557" s="973" t="n"/>
      <c r="F557" s="994" t="n"/>
      <c r="G557" s="994" t="n"/>
      <c r="H557" s="973" t="n"/>
      <c r="I557" s="973" t="n"/>
      <c r="J557" s="973" t="n"/>
      <c r="K557" s="973" t="n"/>
      <c r="L557" s="253" t="n"/>
      <c r="M557" s="254" t="n"/>
      <c r="N557" s="254" t="n"/>
      <c r="O557" s="1183" t="n"/>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73" t="n"/>
      <c r="E558" s="973" t="n"/>
      <c r="F558" s="994" t="n"/>
      <c r="G558" s="994" t="n"/>
      <c r="H558" s="973" t="n"/>
      <c r="I558" s="973" t="n"/>
      <c r="J558" s="973" t="n"/>
      <c r="K558" s="973" t="n"/>
      <c r="L558" s="253" t="n"/>
      <c r="M558" s="254" t="n"/>
      <c r="N558" s="254" t="n"/>
      <c r="O558" s="1183" t="n"/>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73"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75" t="n"/>
      <c r="E560" s="975" t="n"/>
      <c r="F560" s="998" t="n"/>
      <c r="G560" s="998" t="n"/>
      <c r="H560" s="975" t="n"/>
      <c r="I560" s="975" t="n"/>
      <c r="J560" s="975" t="n"/>
      <c r="K560" s="1189">
        <f>K555=L560</f>
        <v/>
      </c>
      <c r="L560" s="491">
        <f>SUM(L555:L559)</f>
        <v/>
      </c>
      <c r="M560" s="1190" t="inlineStr">
        <is>
          <t xml:space="preserve">“Verdadero” indica que la cantidad por lote, coincide con el saldo que inicia al mes siguiente. "Falso" no coinicide. </t>
        </is>
      </c>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66">
        <f>NOVIEMBRE!K561</f>
        <v/>
      </c>
      <c r="E561" s="339">
        <f>H157</f>
        <v/>
      </c>
      <c r="F561" s="338" t="n"/>
      <c r="G561" s="338" t="n"/>
      <c r="H561" s="1235">
        <f>+F561+G561</f>
        <v/>
      </c>
      <c r="I561" s="340">
        <f>+AM561</f>
        <v/>
      </c>
      <c r="J561" s="341">
        <f>+H561+I561</f>
        <v/>
      </c>
      <c r="K561" s="583">
        <f>+(D561-D564+D565)+E561-J561</f>
        <v/>
      </c>
      <c r="L561" s="253" t="n"/>
      <c r="M561" s="254" t="n"/>
      <c r="N561" s="254" t="n"/>
      <c r="O561" s="1183" t="n"/>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c r="AA561" s="648" t="n"/>
      <c r="AB561" s="649">
        <f>+Z561+AA561</f>
        <v/>
      </c>
      <c r="AC561" s="648" t="n"/>
      <c r="AD561" s="648" t="n"/>
      <c r="AE561" s="648" t="n"/>
      <c r="AF561" s="648" t="n"/>
      <c r="AG561" s="648" t="n"/>
      <c r="AH561" s="648" t="n"/>
      <c r="AI561" s="648" t="n"/>
      <c r="AJ561" s="648" t="n"/>
      <c r="AK561" s="648" t="n"/>
      <c r="AL561" s="648" t="n"/>
      <c r="AM561" s="421">
        <f>SUM(AB561:AL565)</f>
        <v/>
      </c>
      <c r="AN561" s="726" t="n"/>
      <c r="AQ561" s="1238">
        <f>IFERROR(I561/J561*100,"0")</f>
        <v/>
      </c>
      <c r="AR561" s="343">
        <f>IFERROR(1/(1-(AQ561/100)),"0")</f>
        <v/>
      </c>
      <c r="AS561" s="1239" t="n">
        <v>15</v>
      </c>
      <c r="AT561" s="345" t="n">
        <v>20</v>
      </c>
      <c r="AU561" s="1240" t="n"/>
      <c r="AV561" s="1241" t="n"/>
      <c r="AW561" s="1242">
        <f>+H561-AV561</f>
        <v/>
      </c>
    </row>
    <row r="562" ht="19.5" customHeight="1">
      <c r="A562" s="973" t="n"/>
      <c r="B562" s="971" t="n"/>
      <c r="C562" s="972" t="n"/>
      <c r="D562" s="973" t="n"/>
      <c r="E562" s="973" t="n"/>
      <c r="F562" s="994" t="n"/>
      <c r="G562" s="994" t="n"/>
      <c r="H562" s="973" t="n"/>
      <c r="I562" s="973" t="n"/>
      <c r="J562" s="973" t="n"/>
      <c r="K562" s="973" t="n"/>
      <c r="L562" s="253" t="n"/>
      <c r="M562" s="254" t="n"/>
      <c r="N562" s="254" t="n"/>
      <c r="O562" s="1183" t="n"/>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75" t="n"/>
      <c r="E563" s="973" t="n"/>
      <c r="F563" s="994" t="n"/>
      <c r="G563" s="994" t="n"/>
      <c r="H563" s="973" t="n"/>
      <c r="I563" s="973" t="n"/>
      <c r="J563" s="973" t="n"/>
      <c r="K563" s="973" t="n"/>
      <c r="L563" s="253" t="n"/>
      <c r="M563" s="254" t="n"/>
      <c r="N563" s="254" t="n"/>
      <c r="O563" s="1183" t="n"/>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c r="M564" s="254" t="n"/>
      <c r="N564" s="254" t="n"/>
      <c r="O564" s="1183" t="n"/>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inlineStr">
        <is>
          <t xml:space="preserve">“Verdadero” indica que la cantidad por lote, coincide con el saldo que inicia al mes siguiente. "Falso" no coinicide. </t>
        </is>
      </c>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66">
        <f>NOVIEMBRE!K567</f>
        <v/>
      </c>
      <c r="E567" s="1244">
        <f>H163</f>
        <v/>
      </c>
      <c r="F567" s="338" t="n"/>
      <c r="G567" s="338" t="n"/>
      <c r="H567" s="1235">
        <f>+F567+G567</f>
        <v/>
      </c>
      <c r="I567" s="340">
        <f>+AM567</f>
        <v/>
      </c>
      <c r="J567" s="341">
        <f>+H567+I567</f>
        <v/>
      </c>
      <c r="K567" s="583">
        <f>(D567-D570+D571+E567)-(J567)</f>
        <v/>
      </c>
      <c r="L567" s="253" t="n"/>
      <c r="M567" s="254" t="n"/>
      <c r="N567" s="254" t="n"/>
      <c r="O567" s="1183" t="n"/>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c r="AA567" s="648" t="n"/>
      <c r="AB567" s="649">
        <f>+Z567+AA567</f>
        <v/>
      </c>
      <c r="AC567" s="648" t="n"/>
      <c r="AD567" s="648" t="n"/>
      <c r="AE567" s="648" t="n"/>
      <c r="AF567" s="648" t="n"/>
      <c r="AG567" s="648" t="n"/>
      <c r="AH567" s="648" t="n"/>
      <c r="AI567" s="648" t="n"/>
      <c r="AJ567" s="648" t="n"/>
      <c r="AK567" s="648" t="n"/>
      <c r="AL567" s="648" t="n"/>
      <c r="AM567" s="421">
        <f>SUM(AB567:AL571)</f>
        <v/>
      </c>
      <c r="AN567" s="726" t="n"/>
      <c r="AQ567" s="1238">
        <f>IFERROR(I567/J567*100,"0")</f>
        <v/>
      </c>
      <c r="AR567" s="343">
        <f>IFERROR(1/(1-(AQ567/100)),"0")</f>
        <v/>
      </c>
      <c r="AS567" s="1239" t="n">
        <v>10</v>
      </c>
      <c r="AT567" s="345" t="n">
        <v>10</v>
      </c>
      <c r="AU567" s="1240" t="n"/>
      <c r="AV567" s="1241" t="n"/>
      <c r="AW567" s="1242">
        <f>+H567-AV567</f>
        <v/>
      </c>
    </row>
    <row r="568" ht="19.5" customHeight="1">
      <c r="A568" s="973" t="n"/>
      <c r="B568" s="971" t="n"/>
      <c r="C568" s="972" t="n"/>
      <c r="D568" s="973" t="n"/>
      <c r="E568" s="973" t="n"/>
      <c r="F568" s="994" t="n"/>
      <c r="G568" s="994" t="n"/>
      <c r="H568" s="973" t="n"/>
      <c r="I568" s="973" t="n"/>
      <c r="J568" s="973" t="n"/>
      <c r="K568" s="973" t="n"/>
      <c r="L568" s="253" t="n"/>
      <c r="M568" s="254" t="n"/>
      <c r="N568" s="254" t="n"/>
      <c r="O568" s="1183" t="n"/>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75" t="n"/>
      <c r="E569" s="973" t="n"/>
      <c r="F569" s="994" t="n"/>
      <c r="G569" s="994" t="n"/>
      <c r="H569" s="973" t="n"/>
      <c r="I569" s="973" t="n"/>
      <c r="J569" s="973" t="n"/>
      <c r="K569" s="973" t="n"/>
      <c r="L569" s="253" t="n"/>
      <c r="M569" s="254" t="n"/>
      <c r="N569" s="254" t="n"/>
      <c r="O569" s="1183" t="n"/>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c r="M570" s="254" t="n"/>
      <c r="N570" s="254" t="n"/>
      <c r="O570" s="1183" t="n"/>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inlineStr">
        <is>
          <t xml:space="preserve">“Verdadero” indica que la cantidad por lote, coincide con el saldo que inicia al mes siguiente. "Falso" no coinicide. </t>
        </is>
      </c>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413">
        <f>NOVIEMBRE!K573</f>
        <v/>
      </c>
      <c r="E573" s="339">
        <f>H169</f>
        <v/>
      </c>
      <c r="F573" s="338" t="n"/>
      <c r="G573" s="338" t="n"/>
      <c r="H573" s="1235">
        <f>+F573+G573</f>
        <v/>
      </c>
      <c r="I573" s="340">
        <f>+AM573</f>
        <v/>
      </c>
      <c r="J573" s="341">
        <f>+H573+I573</f>
        <v/>
      </c>
      <c r="K573" s="583">
        <f>+(D573+E573)-(J573)</f>
        <v/>
      </c>
      <c r="L573" s="253" t="n"/>
      <c r="M573" s="254" t="n"/>
      <c r="N573" s="254" t="n"/>
      <c r="O573" s="1183" t="n"/>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c r="AA573" s="648" t="n"/>
      <c r="AB573" s="649">
        <f>+Z573+AA573</f>
        <v/>
      </c>
      <c r="AC573" s="648" t="n"/>
      <c r="AD573" s="648" t="n"/>
      <c r="AE573" s="648" t="n"/>
      <c r="AF573" s="648" t="n"/>
      <c r="AG573" s="648" t="n"/>
      <c r="AH573" s="648" t="n"/>
      <c r="AI573" s="648" t="n"/>
      <c r="AJ573" s="648" t="n"/>
      <c r="AK573" s="648" t="n"/>
      <c r="AL573" s="648" t="n"/>
      <c r="AM573" s="421">
        <f>SUM(AB573:AL577)</f>
        <v/>
      </c>
      <c r="AN573" s="726" t="n"/>
      <c r="AQ573" s="1238">
        <f>IFERROR(I573/J573*100,"0")</f>
        <v/>
      </c>
      <c r="AR573" s="343">
        <f>IFERROR(1/(1-(AQ573/100)),"0")</f>
        <v/>
      </c>
      <c r="AS573" s="1239" t="n">
        <v>0</v>
      </c>
      <c r="AT573" s="345" t="n">
        <v>1</v>
      </c>
      <c r="AU573" s="1240" t="n"/>
      <c r="AV573" s="1241" t="n"/>
      <c r="AW573" s="1242">
        <f>+H573-AV573</f>
        <v/>
      </c>
    </row>
    <row r="574" ht="17.25" customHeight="1">
      <c r="A574" s="973" t="n"/>
      <c r="B574" s="971" t="n"/>
      <c r="C574" s="972" t="n"/>
      <c r="D574" s="973" t="n"/>
      <c r="E574" s="973" t="n"/>
      <c r="F574" s="994" t="n"/>
      <c r="G574" s="994" t="n"/>
      <c r="H574" s="973" t="n"/>
      <c r="I574" s="973" t="n"/>
      <c r="J574" s="973" t="n"/>
      <c r="K574" s="973" t="n"/>
      <c r="L574" s="253" t="n"/>
      <c r="M574" s="254" t="n"/>
      <c r="N574" s="254" t="n"/>
      <c r="O574" s="1183" t="n"/>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73" t="n"/>
      <c r="E575" s="973" t="n"/>
      <c r="F575" s="994" t="n"/>
      <c r="G575" s="994" t="n"/>
      <c r="H575" s="973" t="n"/>
      <c r="I575" s="973" t="n"/>
      <c r="J575" s="973" t="n"/>
      <c r="K575" s="973" t="n"/>
      <c r="L575" s="253" t="n"/>
      <c r="M575" s="254" t="n"/>
      <c r="N575" s="254" t="n"/>
      <c r="O575" s="1183" t="n"/>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73" t="n"/>
      <c r="E576" s="973" t="n"/>
      <c r="F576" s="994" t="n"/>
      <c r="G576" s="994" t="n"/>
      <c r="H576" s="973" t="n"/>
      <c r="I576" s="973" t="n"/>
      <c r="J576" s="973" t="n"/>
      <c r="K576" s="973" t="n"/>
      <c r="L576" s="253" t="n"/>
      <c r="M576" s="254" t="n"/>
      <c r="N576" s="254" t="n"/>
      <c r="O576" s="1183" t="n"/>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73" t="n"/>
      <c r="E577" s="973" t="n"/>
      <c r="F577" s="994" t="n"/>
      <c r="G577" s="994" t="n"/>
      <c r="H577" s="973" t="n"/>
      <c r="I577" s="973" t="n"/>
      <c r="J577" s="973" t="n"/>
      <c r="K577" s="975" t="n"/>
      <c r="L577" s="253" t="n"/>
      <c r="M577" s="254" t="n"/>
      <c r="N577" s="254" t="n"/>
      <c r="O577" s="1183" t="n"/>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75" t="n"/>
      <c r="E578" s="975" t="n"/>
      <c r="F578" s="998" t="n"/>
      <c r="G578" s="998" t="n"/>
      <c r="H578" s="975" t="n"/>
      <c r="I578" s="975" t="n"/>
      <c r="J578" s="975" t="n"/>
      <c r="K578" s="1189">
        <f>K573=L578</f>
        <v/>
      </c>
      <c r="L578" s="491">
        <f>SUM(L573:L577)</f>
        <v/>
      </c>
      <c r="M578" s="1190" t="inlineStr">
        <is>
          <t xml:space="preserve">“Verdadero” indica que la cantidad por lote, coincide con el saldo que inicia al mes siguiente. "Falso" no coinicide. </t>
        </is>
      </c>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413">
        <f>NOVIEMBRE!K579</f>
        <v/>
      </c>
      <c r="E579" s="339">
        <f>H175</f>
        <v/>
      </c>
      <c r="F579" s="338" t="n"/>
      <c r="G579" s="338" t="n"/>
      <c r="H579" s="1235">
        <f>+F579+G579</f>
        <v/>
      </c>
      <c r="I579" s="340">
        <f>+AM579</f>
        <v/>
      </c>
      <c r="J579" s="341">
        <f>+H579+I579</f>
        <v/>
      </c>
      <c r="K579" s="583">
        <f>+(D579+E579)-(J579)</f>
        <v/>
      </c>
      <c r="L579" s="253" t="n"/>
      <c r="M579" s="254" t="n"/>
      <c r="N579" s="254" t="n"/>
      <c r="O579" s="1183" t="n"/>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c r="AA579" s="648" t="n"/>
      <c r="AB579" s="649">
        <f>+Z579+AA579</f>
        <v/>
      </c>
      <c r="AC579" s="648" t="n"/>
      <c r="AD579" s="648" t="n"/>
      <c r="AE579" s="648" t="n"/>
      <c r="AF579" s="648" t="n"/>
      <c r="AG579" s="648" t="n"/>
      <c r="AH579" s="648" t="n"/>
      <c r="AI579" s="648" t="n"/>
      <c r="AJ579" s="648" t="n"/>
      <c r="AK579" s="648" t="n"/>
      <c r="AL579" s="648" t="n"/>
      <c r="AM579" s="421">
        <f>SUM(AB579:AL583)</f>
        <v/>
      </c>
      <c r="AN579" s="726" t="n"/>
      <c r="AQ579" s="1238">
        <f>IFERROR(I579/J579*100,"0")</f>
        <v/>
      </c>
      <c r="AR579" s="343">
        <f>IFERROR(1/(1-(AQ579/100)),"0")</f>
        <v/>
      </c>
      <c r="AS579" s="1239" t="n">
        <v>0</v>
      </c>
      <c r="AT579" s="345" t="n">
        <v>1</v>
      </c>
      <c r="AU579" s="1240" t="n"/>
      <c r="AV579" s="1241" t="n"/>
      <c r="AW579" s="1242">
        <f>+H579-AV579</f>
        <v/>
      </c>
    </row>
    <row r="580" ht="17.25" customHeight="1">
      <c r="A580" s="973" t="n"/>
      <c r="B580" s="971" t="n"/>
      <c r="C580" s="972" t="n"/>
      <c r="D580" s="973" t="n"/>
      <c r="E580" s="973" t="n"/>
      <c r="F580" s="994" t="n"/>
      <c r="G580" s="994" t="n"/>
      <c r="H580" s="973" t="n"/>
      <c r="I580" s="973" t="n"/>
      <c r="J580" s="973" t="n"/>
      <c r="K580" s="973" t="n"/>
      <c r="L580" s="253" t="n"/>
      <c r="M580" s="254" t="n"/>
      <c r="N580" s="254" t="n"/>
      <c r="O580" s="1183" t="n"/>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73" t="n"/>
      <c r="E581" s="973" t="n"/>
      <c r="F581" s="994" t="n"/>
      <c r="G581" s="994" t="n"/>
      <c r="H581" s="973" t="n"/>
      <c r="I581" s="973" t="n"/>
      <c r="J581" s="973" t="n"/>
      <c r="K581" s="973" t="n"/>
      <c r="L581" s="253" t="n"/>
      <c r="M581" s="254" t="n"/>
      <c r="N581" s="254" t="n"/>
      <c r="O581" s="1183" t="n"/>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73" t="n"/>
      <c r="E582" s="973" t="n"/>
      <c r="F582" s="994" t="n"/>
      <c r="G582" s="994" t="n"/>
      <c r="H582" s="973" t="n"/>
      <c r="I582" s="973" t="n"/>
      <c r="J582" s="973" t="n"/>
      <c r="K582" s="973" t="n"/>
      <c r="L582" s="253" t="n"/>
      <c r="M582" s="254" t="n"/>
      <c r="N582" s="254" t="n"/>
      <c r="O582" s="1183" t="n"/>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73"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75" t="n"/>
      <c r="E584" s="975" t="n"/>
      <c r="F584" s="998" t="n"/>
      <c r="G584" s="998" t="n"/>
      <c r="H584" s="975" t="n"/>
      <c r="I584" s="975" t="n"/>
      <c r="J584" s="975" t="n"/>
      <c r="K584" s="1189">
        <f>K579=L584</f>
        <v/>
      </c>
      <c r="L584" s="491">
        <f>SUM(L579:L583)</f>
        <v/>
      </c>
      <c r="M584" s="1190" t="inlineStr">
        <is>
          <t xml:space="preserve">“Verdadero” indica que la cantidad por lote, coincide con el saldo que inicia al mes siguiente. "Falso" no coinicide. </t>
        </is>
      </c>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413">
        <f>NOVIEMBRE!K585</f>
        <v/>
      </c>
      <c r="E585" s="339">
        <f>H181</f>
        <v/>
      </c>
      <c r="F585" s="338" t="n"/>
      <c r="G585" s="338" t="n"/>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c r="AA585" s="648" t="n"/>
      <c r="AB585" s="649">
        <f>+Z585+AA585</f>
        <v/>
      </c>
      <c r="AC585" s="648" t="n"/>
      <c r="AD585" s="648" t="n"/>
      <c r="AE585" s="648" t="n"/>
      <c r="AF585" s="648" t="n"/>
      <c r="AG585" s="648" t="n"/>
      <c r="AH585" s="648" t="n"/>
      <c r="AI585" s="648" t="n"/>
      <c r="AJ585" s="648" t="n"/>
      <c r="AK585" s="648" t="n"/>
      <c r="AL585" s="648" t="n"/>
      <c r="AM585" s="421">
        <f>SUM(AB585:AL589)</f>
        <v/>
      </c>
      <c r="AN585" s="726" t="n"/>
      <c r="AQ585" s="1238">
        <f>IFERROR(I585/J585*100,"0")</f>
        <v/>
      </c>
      <c r="AR585" s="343">
        <f>IFERROR(1/(1-(AQ585/100)),"0")</f>
        <v/>
      </c>
      <c r="AS585" s="1239" t="n">
        <v>0</v>
      </c>
      <c r="AT585" s="345" t="n">
        <v>1</v>
      </c>
      <c r="AU585" s="1240" t="n"/>
      <c r="AV585" s="1241" t="n"/>
      <c r="AW585" s="1242">
        <f>+H585-AV585</f>
        <v/>
      </c>
    </row>
    <row r="586" ht="17.25" customHeight="1">
      <c r="A586" s="973" t="n"/>
      <c r="B586" s="971" t="n"/>
      <c r="C586" s="972" t="n"/>
      <c r="D586" s="973"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73"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73"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73"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75" t="n"/>
      <c r="E590" s="975" t="n"/>
      <c r="F590" s="998" t="n"/>
      <c r="G590" s="998" t="n"/>
      <c r="H590" s="975" t="n"/>
      <c r="I590" s="975" t="n"/>
      <c r="J590" s="975" t="n"/>
      <c r="K590" s="1189">
        <f>K585=L590</f>
        <v/>
      </c>
      <c r="L590" s="491">
        <f>SUM(L585:L589)</f>
        <v/>
      </c>
      <c r="M590" s="1190" t="inlineStr">
        <is>
          <t xml:space="preserve">“Verdadero” indica que la cantidad por lote, coincide con el saldo que inicia al mes siguiente. "Falso" no coinicide. </t>
        </is>
      </c>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413">
        <f>NOVIEMBRE!K591</f>
        <v/>
      </c>
      <c r="E591" s="339">
        <f>H187</f>
        <v/>
      </c>
      <c r="F591" s="338" t="n"/>
      <c r="G591" s="338" t="n"/>
      <c r="H591" s="1235">
        <f>+F591+G591</f>
        <v/>
      </c>
      <c r="I591" s="340">
        <f>+AM591</f>
        <v/>
      </c>
      <c r="J591" s="341">
        <f>+H591+I591</f>
        <v/>
      </c>
      <c r="K591" s="583">
        <f>+(D591+E591)-(J591)</f>
        <v/>
      </c>
      <c r="L591" s="253" t="n"/>
      <c r="M591" s="254" t="n"/>
      <c r="N591" s="254" t="n"/>
      <c r="O591" s="1183" t="n"/>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c r="AA591" s="648" t="n"/>
      <c r="AB591" s="649">
        <f>+Z591+AA591</f>
        <v/>
      </c>
      <c r="AC591" s="648" t="n"/>
      <c r="AD591" s="648" t="n"/>
      <c r="AE591" s="648" t="n"/>
      <c r="AF591" s="648" t="n"/>
      <c r="AG591" s="648" t="n"/>
      <c r="AH591" s="648" t="n"/>
      <c r="AI591" s="648" t="n"/>
      <c r="AJ591" s="648" t="n"/>
      <c r="AK591" s="648" t="n"/>
      <c r="AL591" s="648" t="n"/>
      <c r="AM591" s="421">
        <f>SUM(AB591:AL595)</f>
        <v/>
      </c>
      <c r="AN591" s="726" t="n"/>
      <c r="AQ591" s="1238">
        <f>IFERROR(I591/J591*100,"0")</f>
        <v/>
      </c>
      <c r="AR591" s="343">
        <f>IFERROR(1/(1-(AQ591/100)),"0")</f>
        <v/>
      </c>
      <c r="AS591" s="1239" t="n">
        <v>0</v>
      </c>
      <c r="AT591" s="345" t="n">
        <v>1</v>
      </c>
      <c r="AU591" s="1240" t="n"/>
      <c r="AV591" s="1241" t="n"/>
      <c r="AW591" s="1242">
        <f>+H591-AV591</f>
        <v/>
      </c>
    </row>
    <row r="592" ht="17.25" customHeight="1">
      <c r="A592" s="973" t="n"/>
      <c r="B592" s="971" t="n"/>
      <c r="C592" s="972" t="n"/>
      <c r="D592" s="973" t="n"/>
      <c r="E592" s="973" t="n"/>
      <c r="F592" s="994" t="n"/>
      <c r="G592" s="994" t="n"/>
      <c r="H592" s="973" t="n"/>
      <c r="I592" s="973" t="n"/>
      <c r="J592" s="973" t="n"/>
      <c r="K592" s="973" t="n"/>
      <c r="L592" s="253" t="n"/>
      <c r="M592" s="254" t="n"/>
      <c r="N592" s="254" t="n"/>
      <c r="O592" s="1183" t="n"/>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73" t="n"/>
      <c r="E593" s="973" t="n"/>
      <c r="F593" s="994" t="n"/>
      <c r="G593" s="994" t="n"/>
      <c r="H593" s="973" t="n"/>
      <c r="I593" s="973" t="n"/>
      <c r="J593" s="973" t="n"/>
      <c r="K593" s="973" t="n"/>
      <c r="L593" s="253" t="n"/>
      <c r="M593" s="254" t="n"/>
      <c r="N593" s="254" t="n"/>
      <c r="O593" s="1183" t="n"/>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73" t="n"/>
      <c r="E594" s="973" t="n"/>
      <c r="F594" s="994" t="n"/>
      <c r="G594" s="994" t="n"/>
      <c r="H594" s="973" t="n"/>
      <c r="I594" s="973" t="n"/>
      <c r="J594" s="973" t="n"/>
      <c r="K594" s="973" t="n"/>
      <c r="L594" s="253" t="n"/>
      <c r="M594" s="254" t="n"/>
      <c r="N594" s="254" t="n"/>
      <c r="O594" s="1183" t="n"/>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73" t="n"/>
      <c r="E595" s="973" t="n"/>
      <c r="F595" s="994" t="n"/>
      <c r="G595" s="994" t="n"/>
      <c r="H595" s="973" t="n"/>
      <c r="I595" s="973" t="n"/>
      <c r="J595" s="973" t="n"/>
      <c r="K595" s="975" t="n"/>
      <c r="L595" s="253" t="n"/>
      <c r="M595" s="254" t="n"/>
      <c r="N595" s="254" t="n"/>
      <c r="O595" s="1183" t="n"/>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75" t="n"/>
      <c r="E596" s="975" t="n"/>
      <c r="F596" s="998" t="n"/>
      <c r="G596" s="998" t="n"/>
      <c r="H596" s="975" t="n"/>
      <c r="I596" s="975" t="n"/>
      <c r="J596" s="975" t="n"/>
      <c r="K596" s="1189">
        <f>K591=L596</f>
        <v/>
      </c>
      <c r="L596" s="491">
        <f>SUM(L591:L595)</f>
        <v/>
      </c>
      <c r="M596" s="1190" t="inlineStr">
        <is>
          <t xml:space="preserve">“Verdadero” indica que la cantidad por lote, coincide con el saldo que inicia al mes siguiente. "Falso" no coinicide. </t>
        </is>
      </c>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413">
        <f>NOVIEMBRE!K597</f>
        <v/>
      </c>
      <c r="E597" s="339">
        <f>H193</f>
        <v/>
      </c>
      <c r="F597" s="338" t="n"/>
      <c r="G597" s="338" t="n"/>
      <c r="H597" s="1235">
        <f>+F597+G597</f>
        <v/>
      </c>
      <c r="I597" s="340">
        <f>+AM597</f>
        <v/>
      </c>
      <c r="J597" s="341">
        <f>+H597+I597</f>
        <v/>
      </c>
      <c r="K597" s="583">
        <f>+(D597+E597)-(J597)</f>
        <v/>
      </c>
      <c r="L597" s="253" t="n"/>
      <c r="M597" s="254" t="n"/>
      <c r="N597" s="254" t="n"/>
      <c r="O597" s="1183" t="n"/>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c r="AA597" s="648" t="n"/>
      <c r="AB597" s="649">
        <f>+Z597+AA597</f>
        <v/>
      </c>
      <c r="AC597" s="648" t="n"/>
      <c r="AD597" s="648" t="n"/>
      <c r="AE597" s="648" t="n"/>
      <c r="AF597" s="648" t="n"/>
      <c r="AG597" s="648" t="n"/>
      <c r="AH597" s="648" t="n"/>
      <c r="AI597" s="648" t="n"/>
      <c r="AJ597" s="648" t="n"/>
      <c r="AK597" s="648" t="n"/>
      <c r="AL597" s="648" t="n"/>
      <c r="AM597" s="421">
        <f>SUM(AB597:AL601)</f>
        <v/>
      </c>
      <c r="AN597" s="726" t="n"/>
      <c r="AQ597" s="1238">
        <f>IFERROR(I597/J597*100,"0")</f>
        <v/>
      </c>
      <c r="AR597" s="343">
        <f>IFERROR(1/(1-(AQ597/100)),"0")</f>
        <v/>
      </c>
      <c r="AS597" s="1239" t="n">
        <v>0</v>
      </c>
      <c r="AT597" s="345" t="n">
        <v>1</v>
      </c>
      <c r="AU597" s="1240" t="n"/>
      <c r="AV597" s="1241" t="n"/>
      <c r="AW597" s="1242">
        <f>+H597-AV597</f>
        <v/>
      </c>
    </row>
    <row r="598" ht="17.25" customHeight="1">
      <c r="A598" s="973" t="n"/>
      <c r="B598" s="971" t="n"/>
      <c r="C598" s="972" t="n"/>
      <c r="D598" s="973" t="n"/>
      <c r="E598" s="973" t="n"/>
      <c r="F598" s="994" t="n"/>
      <c r="G598" s="994" t="n"/>
      <c r="H598" s="973" t="n"/>
      <c r="I598" s="973" t="n"/>
      <c r="J598" s="973" t="n"/>
      <c r="K598" s="973" t="n"/>
      <c r="L598" s="253" t="n"/>
      <c r="M598" s="254" t="n"/>
      <c r="N598" s="254" t="n"/>
      <c r="O598" s="1183" t="n"/>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73" t="n"/>
      <c r="E599" s="973" t="n"/>
      <c r="F599" s="994" t="n"/>
      <c r="G599" s="994" t="n"/>
      <c r="H599" s="973" t="n"/>
      <c r="I599" s="973" t="n"/>
      <c r="J599" s="973" t="n"/>
      <c r="K599" s="973" t="n"/>
      <c r="L599" s="253" t="n"/>
      <c r="M599" s="254" t="n"/>
      <c r="N599" s="254" t="n"/>
      <c r="O599" s="1183" t="n"/>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73"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73"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75" t="n"/>
      <c r="E602" s="975" t="n"/>
      <c r="F602" s="998" t="n"/>
      <c r="G602" s="998" t="n"/>
      <c r="H602" s="975" t="n"/>
      <c r="I602" s="975" t="n"/>
      <c r="J602" s="975" t="n"/>
      <c r="K602" s="1189">
        <f>K597=L602</f>
        <v/>
      </c>
      <c r="L602" s="491">
        <f>SUM(L597:L601)</f>
        <v/>
      </c>
      <c r="M602" s="1190" t="inlineStr">
        <is>
          <t xml:space="preserve">“Verdadero” indica que la cantidad por lote, coincide con el saldo que inicia al mes siguiente. "Falso" no coinicide. </t>
        </is>
      </c>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413">
        <f>NOVIEMBRE!K603</f>
        <v/>
      </c>
      <c r="E603" s="339">
        <f>H199</f>
        <v/>
      </c>
      <c r="F603" s="338" t="n"/>
      <c r="G603" s="338" t="n"/>
      <c r="H603" s="1235">
        <f>+F603+G603</f>
        <v/>
      </c>
      <c r="I603" s="340">
        <f>+AM603</f>
        <v/>
      </c>
      <c r="J603" s="341">
        <f>+H603+I603</f>
        <v/>
      </c>
      <c r="K603" s="583">
        <f>+(D603+E603)-(J603)</f>
        <v/>
      </c>
      <c r="L603" s="253" t="n"/>
      <c r="M603" s="254" t="n"/>
      <c r="N603" s="254" t="n"/>
      <c r="O603" s="1183" t="n"/>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c r="AA603" s="648" t="n"/>
      <c r="AB603" s="649">
        <f>+Z603+AA603</f>
        <v/>
      </c>
      <c r="AC603" s="648" t="n"/>
      <c r="AD603" s="648" t="n"/>
      <c r="AE603" s="648" t="n"/>
      <c r="AF603" s="648" t="n"/>
      <c r="AG603" s="648" t="n"/>
      <c r="AH603" s="648" t="n"/>
      <c r="AI603" s="648" t="n"/>
      <c r="AJ603" s="648" t="n"/>
      <c r="AK603" s="648" t="n"/>
      <c r="AL603" s="648" t="n"/>
      <c r="AM603" s="421">
        <f>SUM(AB603:AL607)</f>
        <v/>
      </c>
      <c r="AN603" s="726" t="n"/>
      <c r="AQ603" s="1238">
        <f>IFERROR(I603/J603*100,"0")</f>
        <v/>
      </c>
      <c r="AR603" s="343">
        <f>IFERROR(1/(1-(AQ603/100)),"0")</f>
        <v/>
      </c>
      <c r="AS603" s="1239" t="n">
        <v>0</v>
      </c>
      <c r="AT603" s="345" t="n">
        <v>1</v>
      </c>
      <c r="AU603" s="1240" t="n"/>
      <c r="AV603" s="1241" t="n"/>
      <c r="AW603" s="1242">
        <f>+H603-AV603</f>
        <v/>
      </c>
    </row>
    <row r="604" ht="17.25" customHeight="1">
      <c r="A604" s="973" t="n"/>
      <c r="B604" s="971" t="n"/>
      <c r="C604" s="972" t="n"/>
      <c r="D604" s="973" t="n"/>
      <c r="E604" s="973" t="n"/>
      <c r="F604" s="994" t="n"/>
      <c r="G604" s="994" t="n"/>
      <c r="H604" s="973" t="n"/>
      <c r="I604" s="973" t="n"/>
      <c r="J604" s="973" t="n"/>
      <c r="K604" s="973" t="n"/>
      <c r="L604" s="253" t="n"/>
      <c r="M604" s="254" t="n"/>
      <c r="N604" s="254" t="n"/>
      <c r="O604" s="1183" t="n"/>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73" t="n"/>
      <c r="E605" s="973" t="n"/>
      <c r="F605" s="994" t="n"/>
      <c r="G605" s="994" t="n"/>
      <c r="H605" s="973" t="n"/>
      <c r="I605" s="973" t="n"/>
      <c r="J605" s="973" t="n"/>
      <c r="K605" s="973" t="n"/>
      <c r="L605" s="253" t="n"/>
      <c r="M605" s="254" t="n"/>
      <c r="N605" s="254" t="n"/>
      <c r="O605" s="1183" t="n"/>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73" t="n"/>
      <c r="E606" s="973" t="n"/>
      <c r="F606" s="994" t="n"/>
      <c r="G606" s="994" t="n"/>
      <c r="H606" s="973" t="n"/>
      <c r="I606" s="973" t="n"/>
      <c r="J606" s="973" t="n"/>
      <c r="K606" s="973" t="n"/>
      <c r="L606" s="253" t="n"/>
      <c r="M606" s="254" t="n"/>
      <c r="N606" s="254" t="n"/>
      <c r="O606" s="1183" t="n"/>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73"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75" t="n"/>
      <c r="E608" s="975" t="n"/>
      <c r="F608" s="998" t="n"/>
      <c r="G608" s="998" t="n"/>
      <c r="H608" s="975" t="n"/>
      <c r="I608" s="975" t="n"/>
      <c r="J608" s="975" t="n"/>
      <c r="K608" s="1189">
        <f>K603=L608</f>
        <v/>
      </c>
      <c r="L608" s="491">
        <f>SUM(L603:L607)</f>
        <v/>
      </c>
      <c r="M608" s="1190" t="inlineStr">
        <is>
          <t xml:space="preserve">“Verdadero” indica que la cantidad por lote, coincide con el saldo que inicia al mes siguiente. "Falso" no coinicide. </t>
        </is>
      </c>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413">
        <f>NOVIEMBRE!K609</f>
        <v/>
      </c>
      <c r="E609" s="339">
        <f>H205</f>
        <v/>
      </c>
      <c r="F609" s="338" t="n"/>
      <c r="G609" s="338" t="n"/>
      <c r="H609" s="1235">
        <f>+F609+G609</f>
        <v/>
      </c>
      <c r="I609" s="340">
        <f>+AM609</f>
        <v/>
      </c>
      <c r="J609" s="341">
        <f>+H609+I609</f>
        <v/>
      </c>
      <c r="K609" s="583">
        <f>+(D609+E609)-(J609)</f>
        <v/>
      </c>
      <c r="L609" s="253" t="n"/>
      <c r="M609" s="254" t="n"/>
      <c r="N609" s="254" t="n"/>
      <c r="O609" s="1183" t="n"/>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c r="AA609" s="648" t="n"/>
      <c r="AB609" s="649">
        <f>+Z609+AA609</f>
        <v/>
      </c>
      <c r="AC609" s="648" t="n"/>
      <c r="AD609" s="648" t="n"/>
      <c r="AE609" s="648" t="n"/>
      <c r="AF609" s="648" t="n"/>
      <c r="AG609" s="648" t="n"/>
      <c r="AH609" s="648" t="n"/>
      <c r="AI609" s="648" t="n"/>
      <c r="AJ609" s="648" t="n"/>
      <c r="AK609" s="648" t="n"/>
      <c r="AL609" s="648" t="n"/>
      <c r="AM609" s="421">
        <f>SUM(AB609:AL613)</f>
        <v/>
      </c>
      <c r="AN609" s="726" t="n"/>
      <c r="AQ609" s="1238">
        <f>IFERROR(I609/J609*100,"0")</f>
        <v/>
      </c>
      <c r="AR609" s="343">
        <f>IFERROR(1/(1-(AQ609/100)),"0")</f>
        <v/>
      </c>
      <c r="AS609" s="1239" t="n">
        <v>0</v>
      </c>
      <c r="AT609" s="345" t="n">
        <v>1</v>
      </c>
      <c r="AU609" s="1240" t="n"/>
      <c r="AV609" s="1241" t="n"/>
      <c r="AW609" s="1242">
        <f>+H609-AV609</f>
        <v/>
      </c>
    </row>
    <row r="610" ht="17.25" customHeight="1">
      <c r="A610" s="973" t="n"/>
      <c r="B610" s="971" t="n"/>
      <c r="C610" s="972" t="n"/>
      <c r="D610" s="973" t="n"/>
      <c r="E610" s="973" t="n"/>
      <c r="F610" s="994" t="n"/>
      <c r="G610" s="994" t="n"/>
      <c r="H610" s="973" t="n"/>
      <c r="I610" s="973" t="n"/>
      <c r="J610" s="973" t="n"/>
      <c r="K610" s="973" t="n"/>
      <c r="L610" s="253" t="n"/>
      <c r="M610" s="254" t="n"/>
      <c r="N610" s="254" t="n"/>
      <c r="O610" s="1183" t="n"/>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73" t="n"/>
      <c r="E611" s="973" t="n"/>
      <c r="F611" s="994" t="n"/>
      <c r="G611" s="994" t="n"/>
      <c r="H611" s="973" t="n"/>
      <c r="I611" s="973" t="n"/>
      <c r="J611" s="973" t="n"/>
      <c r="K611" s="973" t="n"/>
      <c r="L611" s="253" t="n"/>
      <c r="M611" s="254" t="n"/>
      <c r="N611" s="254" t="n"/>
      <c r="O611" s="1183" t="n"/>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73" t="n"/>
      <c r="E612" s="973" t="n"/>
      <c r="F612" s="994" t="n"/>
      <c r="G612" s="994" t="n"/>
      <c r="H612" s="973" t="n"/>
      <c r="I612" s="973" t="n"/>
      <c r="J612" s="973" t="n"/>
      <c r="K612" s="973" t="n"/>
      <c r="L612" s="253" t="n"/>
      <c r="M612" s="254" t="n"/>
      <c r="N612" s="254" t="n"/>
      <c r="O612" s="1183" t="n"/>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73" t="n"/>
      <c r="E613" s="973" t="n"/>
      <c r="F613" s="994" t="n"/>
      <c r="G613" s="994" t="n"/>
      <c r="H613" s="973" t="n"/>
      <c r="I613" s="973" t="n"/>
      <c r="J613" s="973" t="n"/>
      <c r="K613" s="975" t="n"/>
      <c r="L613" s="253" t="n"/>
      <c r="M613" s="254" t="n"/>
      <c r="N613" s="254" t="n"/>
      <c r="O613" s="1183" t="n"/>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75" t="n"/>
      <c r="E614" s="975" t="n"/>
      <c r="F614" s="998" t="n"/>
      <c r="G614" s="998" t="n"/>
      <c r="H614" s="975" t="n"/>
      <c r="I614" s="975" t="n"/>
      <c r="J614" s="975" t="n"/>
      <c r="K614" s="1189">
        <f>K609=L614</f>
        <v/>
      </c>
      <c r="L614" s="491">
        <f>SUM(L609:L613)</f>
        <v/>
      </c>
      <c r="M614" s="1190" t="inlineStr">
        <is>
          <t xml:space="preserve">“Verdadero” indica que la cantidad por lote, coincide con el saldo que inicia al mes siguiente. "Falso" no coinicide. </t>
        </is>
      </c>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413">
        <f>NOVIEMBRE!K615</f>
        <v/>
      </c>
      <c r="E615" s="339">
        <f>H211</f>
        <v/>
      </c>
      <c r="F615" s="338" t="n"/>
      <c r="G615" s="338" t="n"/>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c r="AA615" s="648" t="n"/>
      <c r="AB615" s="649">
        <f>+Z615+AA615</f>
        <v/>
      </c>
      <c r="AC615" s="648" t="n"/>
      <c r="AD615" s="648" t="n"/>
      <c r="AE615" s="648" t="n"/>
      <c r="AF615" s="648" t="n"/>
      <c r="AG615" s="648" t="n"/>
      <c r="AH615" s="648" t="n"/>
      <c r="AI615" s="648" t="n"/>
      <c r="AJ615" s="648" t="n"/>
      <c r="AK615" s="648" t="n"/>
      <c r="AL615" s="648" t="n"/>
      <c r="AM615" s="421">
        <f>SUM(AB615:AL619)</f>
        <v/>
      </c>
      <c r="AN615" s="726" t="n"/>
      <c r="AQ615" s="1238">
        <f>IFERROR(I615/J615*100,"0")</f>
        <v/>
      </c>
      <c r="AR615" s="343">
        <f>IFERROR(1/(1-(AQ615/100)),"0")</f>
        <v/>
      </c>
      <c r="AS615" s="1239" t="n">
        <v>0</v>
      </c>
      <c r="AT615" s="345" t="n">
        <v>1</v>
      </c>
      <c r="AU615" s="1240" t="n"/>
      <c r="AV615" s="1241" t="n"/>
      <c r="AW615" s="1242">
        <f>+H615-AV615</f>
        <v/>
      </c>
    </row>
    <row r="616" ht="17.25" customHeight="1">
      <c r="A616" s="973" t="n"/>
      <c r="B616" s="971" t="n"/>
      <c r="C616" s="972" t="n"/>
      <c r="D616" s="973"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73"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73"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73"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75" t="n"/>
      <c r="E620" s="975" t="n"/>
      <c r="F620" s="998" t="n"/>
      <c r="G620" s="998" t="n"/>
      <c r="H620" s="975" t="n"/>
      <c r="I620" s="975" t="n"/>
      <c r="J620" s="975" t="n"/>
      <c r="K620" s="1189">
        <f>K615=L620</f>
        <v/>
      </c>
      <c r="L620" s="491">
        <f>SUM(L615:L619)</f>
        <v/>
      </c>
      <c r="M620" s="1190" t="inlineStr">
        <is>
          <t xml:space="preserve">“Verdadero” indica que la cantidad por lote, coincide con el saldo que inicia al mes siguiente. "Falso" no coinicide. </t>
        </is>
      </c>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413">
        <f>NOVIEMBRE!K621</f>
        <v/>
      </c>
      <c r="E621" s="339">
        <f>H217</f>
        <v/>
      </c>
      <c r="F621" s="338" t="n"/>
      <c r="G621" s="338" t="n"/>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c r="AA621" s="648" t="n"/>
      <c r="AB621" s="649">
        <f>+Z621+AA621</f>
        <v/>
      </c>
      <c r="AC621" s="648" t="n"/>
      <c r="AD621" s="648" t="n"/>
      <c r="AE621" s="648" t="n"/>
      <c r="AF621" s="648" t="n"/>
      <c r="AG621" s="648" t="n"/>
      <c r="AH621" s="648" t="n"/>
      <c r="AI621" s="648" t="n"/>
      <c r="AJ621" s="648" t="n"/>
      <c r="AK621" s="648" t="n"/>
      <c r="AL621" s="648" t="n"/>
      <c r="AM621" s="421">
        <f>SUM(AB621:AL625)</f>
        <v/>
      </c>
      <c r="AN621" s="726" t="n"/>
      <c r="AQ621" s="1238">
        <f>IFERROR(I621/J621*100,"0")</f>
        <v/>
      </c>
      <c r="AR621" s="343">
        <f>IFERROR(1/(1-(AQ621/100)),"0")</f>
        <v/>
      </c>
      <c r="AS621" s="1239" t="n">
        <v>0</v>
      </c>
      <c r="AT621" s="345" t="n">
        <v>1</v>
      </c>
      <c r="AU621" s="1240" t="n"/>
      <c r="AV621" s="1241" t="n"/>
      <c r="AW621" s="1242">
        <f>+H621-AV621</f>
        <v/>
      </c>
    </row>
    <row r="622" ht="17.25" customHeight="1">
      <c r="A622" s="973" t="n"/>
      <c r="B622" s="971" t="n"/>
      <c r="C622" s="972" t="n"/>
      <c r="D622" s="973"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73"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73"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73"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75" t="n"/>
      <c r="E626" s="975" t="n"/>
      <c r="F626" s="998" t="n"/>
      <c r="G626" s="998" t="n"/>
      <c r="H626" s="975" t="n"/>
      <c r="I626" s="975" t="n"/>
      <c r="J626" s="975" t="n"/>
      <c r="K626" s="1189">
        <f>K621=L626</f>
        <v/>
      </c>
      <c r="L626" s="491">
        <f>SUM(L621:L625)</f>
        <v/>
      </c>
      <c r="M626" s="1190" t="inlineStr">
        <is>
          <t xml:space="preserve">“Verdadero” indica que la cantidad por lote, coincide con el saldo que inicia al mes siguiente. "Falso" no coinicide. </t>
        </is>
      </c>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413">
        <f>NOVIEMBRE!K627</f>
        <v/>
      </c>
      <c r="E627" s="339">
        <f>H223</f>
        <v/>
      </c>
      <c r="F627" s="338" t="n"/>
      <c r="G627" s="338" t="n"/>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c r="AA627" s="648" t="n"/>
      <c r="AB627" s="649">
        <f>+Z627+AA627</f>
        <v/>
      </c>
      <c r="AC627" s="648" t="n"/>
      <c r="AD627" s="648" t="n"/>
      <c r="AE627" s="648" t="n"/>
      <c r="AF627" s="648" t="n"/>
      <c r="AG627" s="648" t="n"/>
      <c r="AH627" s="648" t="n"/>
      <c r="AI627" s="648" t="n"/>
      <c r="AJ627" s="648" t="n"/>
      <c r="AK627" s="648" t="n"/>
      <c r="AL627" s="648" t="n"/>
      <c r="AM627" s="421">
        <f>SUM(AB627:AL631)</f>
        <v/>
      </c>
      <c r="AN627" s="726" t="n"/>
      <c r="AQ627" s="1238">
        <f>IFERROR(I627/J627*100,"0")</f>
        <v/>
      </c>
      <c r="AR627" s="343">
        <f>IFERROR(1/(1-(AQ627/100)),"0")</f>
        <v/>
      </c>
      <c r="AS627" s="1239" t="n">
        <v>0</v>
      </c>
      <c r="AT627" s="345" t="n">
        <v>1</v>
      </c>
      <c r="AU627" s="1240" t="n"/>
      <c r="AV627" s="1241" t="n"/>
      <c r="AW627" s="1242">
        <f>+H627-AV627</f>
        <v/>
      </c>
    </row>
    <row r="628" ht="17.25" customHeight="1">
      <c r="A628" s="973" t="n"/>
      <c r="B628" s="971" t="n"/>
      <c r="C628" s="972" t="n"/>
      <c r="D628" s="973"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73"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73"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73"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75" t="n"/>
      <c r="E632" s="975" t="n"/>
      <c r="F632" s="998" t="n"/>
      <c r="G632" s="998" t="n"/>
      <c r="H632" s="975" t="n"/>
      <c r="I632" s="975" t="n"/>
      <c r="J632" s="975" t="n"/>
      <c r="K632" s="1189">
        <f>K627=L632</f>
        <v/>
      </c>
      <c r="L632" s="491">
        <f>SUM(L627:L631)</f>
        <v/>
      </c>
      <c r="M632" s="1190" t="inlineStr">
        <is>
          <t xml:space="preserve">“Verdadero” indica que la cantidad por lote, coincide con el saldo que inicia al mes siguiente. "Falso" no coinicide. </t>
        </is>
      </c>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647"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413">
        <f>NOVIEMBRE!K634</f>
        <v/>
      </c>
      <c r="E634" s="339">
        <f>H230</f>
        <v/>
      </c>
      <c r="F634" s="338" t="n"/>
      <c r="G634" s="338" t="n"/>
      <c r="H634" s="1235">
        <f>+F634+G634</f>
        <v/>
      </c>
      <c r="I634" s="340">
        <f>+AM634</f>
        <v/>
      </c>
      <c r="J634" s="341">
        <f>+H634+I634</f>
        <v/>
      </c>
      <c r="K634" s="583">
        <f>+(D634+E634)-(J634)</f>
        <v/>
      </c>
      <c r="L634" s="253" t="n"/>
      <c r="M634" s="254" t="n"/>
      <c r="N634" s="254" t="n"/>
      <c r="O634" s="1183" t="n"/>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c r="AA634" s="648" t="n"/>
      <c r="AB634" s="649">
        <f>+Z634+AA634</f>
        <v/>
      </c>
      <c r="AC634" s="648" t="n"/>
      <c r="AD634" s="648" t="n"/>
      <c r="AE634" s="648" t="n"/>
      <c r="AF634" s="648" t="n"/>
      <c r="AG634" s="648" t="n"/>
      <c r="AH634" s="648" t="n"/>
      <c r="AI634" s="648" t="n"/>
      <c r="AJ634" s="648" t="n"/>
      <c r="AK634" s="648" t="n"/>
      <c r="AL634" s="648" t="n"/>
      <c r="AM634" s="421">
        <f>SUM(AB634:AL638)</f>
        <v/>
      </c>
      <c r="AN634" s="726" t="n"/>
      <c r="AU634" s="1240" t="n"/>
      <c r="AV634" s="1240" t="n"/>
    </row>
    <row r="635" ht="17.1" customHeight="1">
      <c r="A635" s="973" t="n"/>
      <c r="B635" s="971" t="n"/>
      <c r="C635" s="972" t="n"/>
      <c r="D635" s="973" t="n"/>
      <c r="E635" s="973" t="n"/>
      <c r="F635" s="994" t="n"/>
      <c r="G635" s="994" t="n"/>
      <c r="H635" s="973" t="n"/>
      <c r="I635" s="973" t="n"/>
      <c r="J635" s="973" t="n"/>
      <c r="K635" s="973" t="n"/>
      <c r="L635" s="253" t="n"/>
      <c r="M635" s="254" t="n"/>
      <c r="N635" s="254" t="n"/>
      <c r="O635" s="1183" t="n"/>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73" t="n"/>
      <c r="E636" s="973" t="n"/>
      <c r="F636" s="994" t="n"/>
      <c r="G636" s="994" t="n"/>
      <c r="H636" s="973" t="n"/>
      <c r="I636" s="973" t="n"/>
      <c r="J636" s="973" t="n"/>
      <c r="K636" s="973" t="n"/>
      <c r="L636" s="253" t="n"/>
      <c r="M636" s="254" t="n"/>
      <c r="N636" s="254" t="n"/>
      <c r="O636" s="1183" t="n"/>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73" t="n"/>
      <c r="E637" s="973" t="n"/>
      <c r="F637" s="994" t="n"/>
      <c r="G637" s="994" t="n"/>
      <c r="H637" s="973" t="n"/>
      <c r="I637" s="973" t="n"/>
      <c r="J637" s="973" t="n"/>
      <c r="K637" s="973" t="n"/>
      <c r="L637" s="253" t="n"/>
      <c r="M637" s="254" t="n"/>
      <c r="N637" s="254" t="n"/>
      <c r="O637" s="1183" t="n"/>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73" t="n"/>
      <c r="E638" s="973" t="n"/>
      <c r="F638" s="994" t="n"/>
      <c r="G638" s="994" t="n"/>
      <c r="H638" s="973" t="n"/>
      <c r="I638" s="973" t="n"/>
      <c r="J638" s="973" t="n"/>
      <c r="K638" s="975" t="n"/>
      <c r="L638" s="253" t="n"/>
      <c r="M638" s="254" t="n"/>
      <c r="N638" s="254" t="n"/>
      <c r="O638" s="1183" t="n"/>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75" t="n"/>
      <c r="E639" s="975" t="n"/>
      <c r="F639" s="998" t="n"/>
      <c r="G639" s="998" t="n"/>
      <c r="H639" s="975" t="n"/>
      <c r="I639" s="975" t="n"/>
      <c r="J639" s="975" t="n"/>
      <c r="K639" s="1189">
        <f>K634=L639</f>
        <v/>
      </c>
      <c r="L639" s="491">
        <f>SUM(L634:L638)</f>
        <v/>
      </c>
      <c r="M639" s="1190" t="inlineStr">
        <is>
          <t xml:space="preserve">“Verdadero” indica que la cantidad por lote, coincide con el saldo que inicia al mes siguiente. "Falso" no coinicide. </t>
        </is>
      </c>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413">
        <f>NOVIEMBRE!K640</f>
        <v/>
      </c>
      <c r="E640" s="339">
        <f>H236</f>
        <v/>
      </c>
      <c r="F640" s="338" t="n"/>
      <c r="G640" s="338" t="n"/>
      <c r="H640" s="1235">
        <f>+F640+G640</f>
        <v/>
      </c>
      <c r="I640" s="340">
        <f>+AM640</f>
        <v/>
      </c>
      <c r="J640" s="341">
        <f>+H640+I640</f>
        <v/>
      </c>
      <c r="K640" s="583">
        <f>+(D640+E640)-(J640)</f>
        <v/>
      </c>
      <c r="L640" s="253" t="n"/>
      <c r="M640" s="254" t="n"/>
      <c r="N640" s="254" t="n"/>
      <c r="O640" s="1183" t="n"/>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c r="AA640" s="648" t="n"/>
      <c r="AB640" s="649">
        <f>+Z640+AA640</f>
        <v/>
      </c>
      <c r="AC640" s="648" t="n"/>
      <c r="AD640" s="648" t="n"/>
      <c r="AE640" s="648" t="n"/>
      <c r="AF640" s="648" t="n"/>
      <c r="AG640" s="648" t="n"/>
      <c r="AH640" s="648" t="n"/>
      <c r="AI640" s="648" t="n"/>
      <c r="AJ640" s="648" t="n"/>
      <c r="AK640" s="648" t="n"/>
      <c r="AL640" s="648" t="n"/>
      <c r="AM640" s="421">
        <f>SUM(AB640:AL644)</f>
        <v/>
      </c>
      <c r="AN640" s="726" t="n"/>
      <c r="AU640" s="1240" t="n"/>
      <c r="AV640" s="1240" t="n"/>
    </row>
    <row r="641" ht="17.1" customHeight="1">
      <c r="A641" s="973" t="n"/>
      <c r="B641" s="971" t="n"/>
      <c r="C641" s="972" t="n"/>
      <c r="D641" s="973" t="n"/>
      <c r="E641" s="973" t="n"/>
      <c r="F641" s="994" t="n"/>
      <c r="G641" s="994" t="n"/>
      <c r="H641" s="973" t="n"/>
      <c r="I641" s="973" t="n"/>
      <c r="J641" s="973" t="n"/>
      <c r="K641" s="973" t="n"/>
      <c r="L641" s="253" t="n"/>
      <c r="M641" s="254" t="n"/>
      <c r="N641" s="254" t="n"/>
      <c r="O641" s="1183" t="n"/>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73" t="n"/>
      <c r="E642" s="973" t="n"/>
      <c r="F642" s="994" t="n"/>
      <c r="G642" s="994" t="n"/>
      <c r="H642" s="973" t="n"/>
      <c r="I642" s="973" t="n"/>
      <c r="J642" s="973" t="n"/>
      <c r="K642" s="973" t="n"/>
      <c r="L642" s="253" t="n"/>
      <c r="M642" s="254" t="n"/>
      <c r="N642" s="254" t="n"/>
      <c r="O642" s="1183" t="n"/>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73" t="n"/>
      <c r="E643" s="973" t="n"/>
      <c r="F643" s="994" t="n"/>
      <c r="G643" s="994" t="n"/>
      <c r="H643" s="973" t="n"/>
      <c r="I643" s="973" t="n"/>
      <c r="J643" s="973" t="n"/>
      <c r="K643" s="973" t="n"/>
      <c r="L643" s="253" t="n"/>
      <c r="M643" s="254" t="n"/>
      <c r="N643" s="254" t="n"/>
      <c r="O643" s="1183" t="n"/>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73"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75" t="n"/>
      <c r="E645" s="975" t="n"/>
      <c r="F645" s="998" t="n"/>
      <c r="G645" s="998" t="n"/>
      <c r="H645" s="975" t="n"/>
      <c r="I645" s="975" t="n"/>
      <c r="J645" s="975" t="n"/>
      <c r="K645" s="1189">
        <f>K640=L645</f>
        <v/>
      </c>
      <c r="L645" s="491">
        <f>SUM(L640:L644)</f>
        <v/>
      </c>
      <c r="M645" s="1190" t="inlineStr">
        <is>
          <t xml:space="preserve">“Verdadero” indica que la cantidad por lote, coincide con el saldo que inicia al mes siguiente. "Falso" no coinicide. </t>
        </is>
      </c>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413">
        <f>NOVIEMBRE!K646</f>
        <v/>
      </c>
      <c r="E646" s="339">
        <f>H242</f>
        <v/>
      </c>
      <c r="F646" s="338" t="n"/>
      <c r="G646" s="338" t="n"/>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c r="AA646" s="648" t="n"/>
      <c r="AB646" s="649">
        <f>+Z646+AA646</f>
        <v/>
      </c>
      <c r="AC646" s="648" t="n"/>
      <c r="AD646" s="648" t="n"/>
      <c r="AE646" s="648" t="n"/>
      <c r="AF646" s="648" t="n"/>
      <c r="AG646" s="648" t="n"/>
      <c r="AH646" s="648" t="n"/>
      <c r="AI646" s="648" t="n"/>
      <c r="AJ646" s="648" t="n"/>
      <c r="AK646" s="648" t="n"/>
      <c r="AL646" s="648" t="n"/>
      <c r="AM646" s="421">
        <f>SUM(AB646:AL650)</f>
        <v/>
      </c>
      <c r="AN646" s="726" t="n"/>
      <c r="AU646" s="1240" t="n"/>
      <c r="AV646" s="1240" t="n"/>
    </row>
    <row r="647" ht="17.1" customHeight="1">
      <c r="A647" s="973" t="n"/>
      <c r="B647" s="971" t="n"/>
      <c r="C647" s="972" t="n"/>
      <c r="D647" s="973"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73"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73"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73"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75" t="n"/>
      <c r="E651" s="975" t="n"/>
      <c r="F651" s="998" t="n"/>
      <c r="G651" s="998" t="n"/>
      <c r="H651" s="975" t="n"/>
      <c r="I651" s="975" t="n"/>
      <c r="J651" s="975" t="n"/>
      <c r="K651" s="1189">
        <f>K646=L651</f>
        <v/>
      </c>
      <c r="L651" s="491">
        <f>SUM(L646:L650)</f>
        <v/>
      </c>
      <c r="M651" s="1190" t="inlineStr">
        <is>
          <t xml:space="preserve">“Verdadero” indica que la cantidad por lote, coincide con el saldo que inicia al mes siguiente. "Falso" no coinicide. </t>
        </is>
      </c>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413">
        <f>NOVIEMBRE!K652</f>
        <v/>
      </c>
      <c r="E652" s="339">
        <f>H248</f>
        <v/>
      </c>
      <c r="F652" s="338" t="n"/>
      <c r="G652" s="338" t="n"/>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c r="AA652" s="648" t="n"/>
      <c r="AB652" s="649">
        <f>+Z652+AA652</f>
        <v/>
      </c>
      <c r="AC652" s="648" t="n"/>
      <c r="AD652" s="648" t="n"/>
      <c r="AE652" s="648" t="n"/>
      <c r="AF652" s="648" t="n"/>
      <c r="AG652" s="648" t="n"/>
      <c r="AH652" s="648" t="n"/>
      <c r="AI652" s="648" t="n"/>
      <c r="AJ652" s="648" t="n"/>
      <c r="AK652" s="648" t="n"/>
      <c r="AL652" s="648" t="n"/>
      <c r="AM652" s="421">
        <f>SUM(AB652:AL656)</f>
        <v/>
      </c>
      <c r="AN652" s="726" t="n"/>
      <c r="AU652" s="1240" t="n"/>
      <c r="AV652" s="1240" t="n"/>
    </row>
    <row r="653" ht="17.1" customHeight="1">
      <c r="A653" s="973" t="n"/>
      <c r="B653" s="971" t="n"/>
      <c r="C653" s="972" t="n"/>
      <c r="D653" s="973"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73"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73"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73"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75" t="n"/>
      <c r="E657" s="975" t="n"/>
      <c r="F657" s="998" t="n"/>
      <c r="G657" s="998" t="n"/>
      <c r="H657" s="975" t="n"/>
      <c r="I657" s="975" t="n"/>
      <c r="J657" s="975" t="n"/>
      <c r="K657" s="1189">
        <f>K652=L657</f>
        <v/>
      </c>
      <c r="L657" s="491">
        <f>SUM(L652:L656)</f>
        <v/>
      </c>
      <c r="M657" s="1190" t="inlineStr">
        <is>
          <t xml:space="preserve">“Verdadero” indica que la cantidad por lote, coincide con el saldo que inicia al mes siguiente. "Falso" no coinicide. </t>
        </is>
      </c>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413">
        <f>NOVIEMBRE!K658</f>
        <v/>
      </c>
      <c r="E658" s="339">
        <f>H254</f>
        <v/>
      </c>
      <c r="F658" s="338" t="n"/>
      <c r="G658" s="338" t="n"/>
      <c r="H658" s="1235">
        <f>+F658+G658</f>
        <v/>
      </c>
      <c r="I658" s="340">
        <f>+AM658</f>
        <v/>
      </c>
      <c r="J658" s="341">
        <f>+H658+I658</f>
        <v/>
      </c>
      <c r="K658" s="583">
        <f>+(D658+E658)-(J658)</f>
        <v/>
      </c>
      <c r="L658" s="253" t="n"/>
      <c r="M658" s="254" t="n"/>
      <c r="N658" s="254" t="n"/>
      <c r="O658" s="1183" t="n"/>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c r="AA658" s="648" t="n"/>
      <c r="AB658" s="649">
        <f>+Z658+AA658</f>
        <v/>
      </c>
      <c r="AC658" s="648" t="n"/>
      <c r="AD658" s="648" t="n"/>
      <c r="AE658" s="648" t="n"/>
      <c r="AF658" s="648" t="n"/>
      <c r="AG658" s="648" t="n"/>
      <c r="AH658" s="648" t="n"/>
      <c r="AI658" s="648" t="n"/>
      <c r="AJ658" s="648" t="n"/>
      <c r="AK658" s="648" t="n"/>
      <c r="AL658" s="648" t="n"/>
      <c r="AM658" s="421">
        <f>SUM(AB658:AL662)</f>
        <v/>
      </c>
      <c r="AN658" s="726" t="n"/>
      <c r="AU658" s="1240" t="n"/>
      <c r="AV658" s="1240" t="n"/>
    </row>
    <row r="659" ht="17.1" customHeight="1">
      <c r="A659" s="973" t="n"/>
      <c r="B659" s="971" t="n"/>
      <c r="C659" s="972" t="n"/>
      <c r="D659" s="973" t="n"/>
      <c r="E659" s="973" t="n"/>
      <c r="F659" s="994" t="n"/>
      <c r="G659" s="994" t="n"/>
      <c r="H659" s="973" t="n"/>
      <c r="I659" s="973" t="n"/>
      <c r="J659" s="973" t="n"/>
      <c r="K659" s="973" t="n"/>
      <c r="L659" s="253" t="n"/>
      <c r="M659" s="254" t="n"/>
      <c r="N659" s="254" t="n"/>
      <c r="O659" s="1183" t="n"/>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73" t="n"/>
      <c r="E660" s="973" t="n"/>
      <c r="F660" s="994" t="n"/>
      <c r="G660" s="994" t="n"/>
      <c r="H660" s="973" t="n"/>
      <c r="I660" s="973" t="n"/>
      <c r="J660" s="973" t="n"/>
      <c r="K660" s="973" t="n"/>
      <c r="L660" s="253" t="n"/>
      <c r="M660" s="254" t="n"/>
      <c r="N660" s="254" t="n"/>
      <c r="O660" s="1183" t="n"/>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73" t="n"/>
      <c r="E661" s="973" t="n"/>
      <c r="F661" s="994" t="n"/>
      <c r="G661" s="994" t="n"/>
      <c r="H661" s="973" t="n"/>
      <c r="I661" s="973" t="n"/>
      <c r="J661" s="973" t="n"/>
      <c r="K661" s="973" t="n"/>
      <c r="L661" s="253" t="n"/>
      <c r="M661" s="254" t="n"/>
      <c r="N661" s="254" t="n"/>
      <c r="O661" s="1183" t="n"/>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73"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75" t="n"/>
      <c r="E663" s="975" t="n"/>
      <c r="F663" s="998" t="n"/>
      <c r="G663" s="998" t="n"/>
      <c r="H663" s="975" t="n"/>
      <c r="I663" s="975" t="n"/>
      <c r="J663" s="975" t="n"/>
      <c r="K663" s="1189">
        <f>K658=L663</f>
        <v/>
      </c>
      <c r="L663" s="491">
        <f>SUM(L658:L662)</f>
        <v/>
      </c>
      <c r="M663" s="1190" t="inlineStr">
        <is>
          <t xml:space="preserve">“Verdadero” indica que la cantidad por lote, coincide con el saldo que inicia al mes siguiente. "Falso" no coinicide. </t>
        </is>
      </c>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413">
        <f>NOVIEMBRE!K664</f>
        <v/>
      </c>
      <c r="E664" s="339">
        <f>H260</f>
        <v/>
      </c>
      <c r="F664" s="338" t="n"/>
      <c r="G664" s="338" t="n"/>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c r="AA664" s="648" t="n"/>
      <c r="AB664" s="649">
        <f>+Z664+AA664</f>
        <v/>
      </c>
      <c r="AC664" s="648" t="n"/>
      <c r="AD664" s="648" t="n"/>
      <c r="AE664" s="648" t="n"/>
      <c r="AF664" s="648" t="n"/>
      <c r="AG664" s="648" t="n"/>
      <c r="AH664" s="648" t="n"/>
      <c r="AI664" s="648" t="n"/>
      <c r="AJ664" s="648" t="n"/>
      <c r="AK664" s="648" t="n"/>
      <c r="AL664" s="648" t="n"/>
      <c r="AM664" s="421">
        <f>SUM(AB664:AL668)</f>
        <v/>
      </c>
      <c r="AN664" s="726" t="n"/>
      <c r="AU664" s="1240" t="n"/>
      <c r="AV664" s="1240" t="n"/>
    </row>
    <row r="665" ht="17.1" customHeight="1">
      <c r="A665" s="973" t="n"/>
      <c r="B665" s="971" t="n"/>
      <c r="C665" s="972" t="n"/>
      <c r="D665" s="973"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73"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73"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73"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75" t="n"/>
      <c r="E669" s="975" t="n"/>
      <c r="F669" s="998" t="n"/>
      <c r="G669" s="998" t="n"/>
      <c r="H669" s="975" t="n"/>
      <c r="I669" s="975" t="n"/>
      <c r="J669" s="975" t="n"/>
      <c r="K669" s="1189">
        <f>K664=L669</f>
        <v/>
      </c>
      <c r="L669" s="491">
        <f>SUM(L664:L668)</f>
        <v/>
      </c>
      <c r="M669" s="1190" t="inlineStr">
        <is>
          <t xml:space="preserve">“Verdadero” indica que la cantidad por lote, coincide con el saldo que inicia al mes siguiente. "Falso" no coinicide. </t>
        </is>
      </c>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413">
        <f>NOVIEMBRE!K670</f>
        <v/>
      </c>
      <c r="E670" s="339">
        <f>H266</f>
        <v/>
      </c>
      <c r="F670" s="338" t="n"/>
      <c r="G670" s="338" t="n"/>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c r="AA670" s="648" t="n"/>
      <c r="AB670" s="649">
        <f>+Z670+AA670</f>
        <v/>
      </c>
      <c r="AC670" s="648" t="n"/>
      <c r="AD670" s="648" t="n"/>
      <c r="AE670" s="648" t="n"/>
      <c r="AF670" s="648" t="n"/>
      <c r="AG670" s="648" t="n"/>
      <c r="AH670" s="648" t="n"/>
      <c r="AI670" s="648" t="n"/>
      <c r="AJ670" s="648" t="n"/>
      <c r="AK670" s="648" t="n"/>
      <c r="AL670" s="648" t="n"/>
      <c r="AM670" s="421">
        <f>SUM(AB670:AL674)</f>
        <v/>
      </c>
      <c r="AN670" s="726" t="n"/>
      <c r="AU670" s="1240" t="n"/>
      <c r="AV670" s="1240" t="n"/>
    </row>
    <row r="671" ht="17.1" customHeight="1">
      <c r="A671" s="973" t="n"/>
      <c r="B671" s="971" t="n"/>
      <c r="C671" s="972" t="n"/>
      <c r="D671" s="973"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73"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73"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73"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75" t="n"/>
      <c r="E675" s="975" t="n"/>
      <c r="F675" s="998" t="n"/>
      <c r="G675" s="998" t="n"/>
      <c r="H675" s="975" t="n"/>
      <c r="I675" s="975" t="n"/>
      <c r="J675" s="975" t="n"/>
      <c r="K675" s="1189">
        <f>K670=L675</f>
        <v/>
      </c>
      <c r="L675" s="491">
        <f>SUM(L670:L674)</f>
        <v/>
      </c>
      <c r="M675" s="1190" t="inlineStr">
        <is>
          <t xml:space="preserve">“Verdadero” indica que la cantidad por lote, coincide con el saldo que inicia al mes siguiente. "Falso" no coinicide. </t>
        </is>
      </c>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413">
        <f>NOVIEMBRE!K676</f>
        <v/>
      </c>
      <c r="E676" s="339">
        <f>H272</f>
        <v/>
      </c>
      <c r="F676" s="338" t="n"/>
      <c r="G676" s="338" t="n"/>
      <c r="H676" s="1235">
        <f>+F676+G676</f>
        <v/>
      </c>
      <c r="I676" s="340">
        <f>+AM676</f>
        <v/>
      </c>
      <c r="J676" s="341">
        <f>+H676+I676</f>
        <v/>
      </c>
      <c r="K676" s="583">
        <f>+(D676+E676)-(J676)</f>
        <v/>
      </c>
      <c r="L676" s="253" t="n"/>
      <c r="M676" s="254" t="n"/>
      <c r="N676" s="254" t="n"/>
      <c r="O676" s="1183" t="n"/>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c r="AA676" s="648" t="n"/>
      <c r="AB676" s="649">
        <f>+Z676+AA676</f>
        <v/>
      </c>
      <c r="AC676" s="648" t="n"/>
      <c r="AD676" s="648" t="n"/>
      <c r="AE676" s="648" t="n"/>
      <c r="AF676" s="648" t="n"/>
      <c r="AG676" s="648" t="n"/>
      <c r="AH676" s="648" t="n"/>
      <c r="AI676" s="648" t="n"/>
      <c r="AJ676" s="648" t="n"/>
      <c r="AK676" s="648" t="n"/>
      <c r="AL676" s="648" t="n"/>
      <c r="AM676" s="421">
        <f>SUM(AB676:AL680)</f>
        <v/>
      </c>
      <c r="AN676" s="726" t="n"/>
      <c r="AU676" s="1240" t="n"/>
      <c r="AV676" s="1240" t="n"/>
    </row>
    <row r="677" ht="17.1" customHeight="1">
      <c r="A677" s="973" t="n"/>
      <c r="B677" s="971" t="n"/>
      <c r="C677" s="972" t="n"/>
      <c r="D677" s="973" t="n"/>
      <c r="E677" s="973" t="n"/>
      <c r="F677" s="994" t="n"/>
      <c r="G677" s="994" t="n"/>
      <c r="H677" s="973" t="n"/>
      <c r="I677" s="973" t="n"/>
      <c r="J677" s="973" t="n"/>
      <c r="K677" s="973" t="n"/>
      <c r="L677" s="253" t="n"/>
      <c r="M677" s="254" t="n"/>
      <c r="N677" s="254" t="n"/>
      <c r="O677" s="1183" t="n"/>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73" t="n"/>
      <c r="E678" s="973" t="n"/>
      <c r="F678" s="994" t="n"/>
      <c r="G678" s="994" t="n"/>
      <c r="H678" s="973" t="n"/>
      <c r="I678" s="973" t="n"/>
      <c r="J678" s="973" t="n"/>
      <c r="K678" s="973" t="n"/>
      <c r="L678" s="253" t="n"/>
      <c r="M678" s="254" t="n"/>
      <c r="N678" s="254" t="n"/>
      <c r="O678" s="1183" t="n"/>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73" t="n"/>
      <c r="E679" s="973" t="n"/>
      <c r="F679" s="994" t="n"/>
      <c r="G679" s="994" t="n"/>
      <c r="H679" s="973" t="n"/>
      <c r="I679" s="973" t="n"/>
      <c r="J679" s="973" t="n"/>
      <c r="K679" s="973" t="n"/>
      <c r="L679" s="253" t="n"/>
      <c r="M679" s="254" t="n"/>
      <c r="N679" s="254" t="n"/>
      <c r="O679" s="1183" t="n"/>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73" t="n"/>
      <c r="E680" s="973" t="n"/>
      <c r="F680" s="994" t="n"/>
      <c r="G680" s="994" t="n"/>
      <c r="H680" s="973" t="n"/>
      <c r="I680" s="973" t="n"/>
      <c r="J680" s="973" t="n"/>
      <c r="K680" s="975" t="n"/>
      <c r="L680" s="253" t="n"/>
      <c r="M680" s="254" t="n"/>
      <c r="N680" s="254" t="n"/>
      <c r="O680" s="1183" t="n"/>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75" t="n"/>
      <c r="E681" s="975" t="n"/>
      <c r="F681" s="998" t="n"/>
      <c r="G681" s="998" t="n"/>
      <c r="H681" s="975" t="n"/>
      <c r="I681" s="975" t="n"/>
      <c r="J681" s="975" t="n"/>
      <c r="K681" s="1189">
        <f>K676=L681</f>
        <v/>
      </c>
      <c r="L681" s="491">
        <f>SUM(L676:L680)</f>
        <v/>
      </c>
      <c r="M681" s="1190" t="inlineStr">
        <is>
          <t xml:space="preserve">“Verdadero” indica que la cantidad por lote, coincide con el saldo que inicia al mes siguiente. "Falso" no coinicide. </t>
        </is>
      </c>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413">
        <f>NOVIEMBRE!K682</f>
        <v/>
      </c>
      <c r="E682" s="339">
        <f>H278</f>
        <v/>
      </c>
      <c r="F682" s="338" t="n"/>
      <c r="G682" s="338" t="n"/>
      <c r="H682" s="1235">
        <f>+F682+G682</f>
        <v/>
      </c>
      <c r="I682" s="340">
        <f>+AM682</f>
        <v/>
      </c>
      <c r="J682" s="341">
        <f>+H682+I682</f>
        <v/>
      </c>
      <c r="K682" s="583">
        <f>+(D682+E682)-(J682)</f>
        <v/>
      </c>
      <c r="L682" s="253" t="n"/>
      <c r="M682" s="254" t="n"/>
      <c r="N682" s="254" t="n"/>
      <c r="O682" s="1183" t="n"/>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c r="AA682" s="648" t="n"/>
      <c r="AB682" s="649">
        <f>+Z682+AA682</f>
        <v/>
      </c>
      <c r="AC682" s="648" t="n"/>
      <c r="AD682" s="648" t="n"/>
      <c r="AE682" s="648" t="n"/>
      <c r="AF682" s="648" t="n"/>
      <c r="AG682" s="648" t="n"/>
      <c r="AH682" s="648" t="n"/>
      <c r="AI682" s="648" t="n"/>
      <c r="AJ682" s="648" t="n"/>
      <c r="AK682" s="648" t="n"/>
      <c r="AL682" s="648" t="n"/>
      <c r="AM682" s="421">
        <f>SUM(AB682:AL686)</f>
        <v/>
      </c>
      <c r="AN682" s="726" t="n"/>
      <c r="AU682" s="1240" t="n"/>
      <c r="AV682" s="1240" t="n"/>
    </row>
    <row r="683" ht="17.1" customHeight="1">
      <c r="A683" s="973" t="n"/>
      <c r="B683" s="971" t="n"/>
      <c r="C683" s="972" t="n"/>
      <c r="D683" s="973" t="n"/>
      <c r="E683" s="973" t="n"/>
      <c r="F683" s="994" t="n"/>
      <c r="G683" s="994" t="n"/>
      <c r="H683" s="973" t="n"/>
      <c r="I683" s="973" t="n"/>
      <c r="J683" s="973" t="n"/>
      <c r="K683" s="973" t="n"/>
      <c r="L683" s="253" t="n"/>
      <c r="M683" s="254" t="n"/>
      <c r="N683" s="254" t="n"/>
      <c r="O683" s="1183" t="n"/>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73" t="n"/>
      <c r="E684" s="973" t="n"/>
      <c r="F684" s="994" t="n"/>
      <c r="G684" s="994" t="n"/>
      <c r="H684" s="973" t="n"/>
      <c r="I684" s="973" t="n"/>
      <c r="J684" s="973" t="n"/>
      <c r="K684" s="973" t="n"/>
      <c r="L684" s="253" t="n"/>
      <c r="M684" s="254" t="n"/>
      <c r="N684" s="254" t="n"/>
      <c r="O684" s="1183" t="n"/>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73"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73"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75" t="n"/>
      <c r="E687" s="975" t="n"/>
      <c r="F687" s="998" t="n"/>
      <c r="G687" s="998" t="n"/>
      <c r="H687" s="975" t="n"/>
      <c r="I687" s="975" t="n"/>
      <c r="J687" s="975" t="n"/>
      <c r="K687" s="1189">
        <f>K682=L687</f>
        <v/>
      </c>
      <c r="L687" s="491">
        <f>SUM(L682:L686)</f>
        <v/>
      </c>
      <c r="M687" s="1190" t="inlineStr">
        <is>
          <t xml:space="preserve">“Verdadero” indica que la cantidad por lote, coincide con el saldo que inicia al mes siguiente. "Falso" no coinicide. </t>
        </is>
      </c>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413">
        <f>NOVIEMBRE!K688</f>
        <v/>
      </c>
      <c r="E688" s="339">
        <f>H284</f>
        <v/>
      </c>
      <c r="F688" s="338" t="n"/>
      <c r="G688" s="338" t="n"/>
      <c r="H688" s="1235">
        <f>+F688+G688</f>
        <v/>
      </c>
      <c r="I688" s="340">
        <f>+AM688</f>
        <v/>
      </c>
      <c r="J688" s="341">
        <f>+H688+I688</f>
        <v/>
      </c>
      <c r="K688" s="583">
        <f>+(D688+E688)-(J688)</f>
        <v/>
      </c>
      <c r="L688" s="253" t="n"/>
      <c r="M688" s="254" t="n"/>
      <c r="N688" s="254" t="n"/>
      <c r="O688" s="1183" t="n"/>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c r="AA688" s="648" t="n"/>
      <c r="AB688" s="649">
        <f>+Z688+AA688</f>
        <v/>
      </c>
      <c r="AC688" s="648" t="n"/>
      <c r="AD688" s="648" t="n"/>
      <c r="AE688" s="648" t="n"/>
      <c r="AF688" s="648" t="n"/>
      <c r="AG688" s="648" t="n"/>
      <c r="AH688" s="648" t="n"/>
      <c r="AI688" s="648" t="n"/>
      <c r="AJ688" s="648" t="n"/>
      <c r="AK688" s="648" t="n"/>
      <c r="AL688" s="648" t="n"/>
      <c r="AM688" s="421">
        <f>SUM(AB688:AL692)</f>
        <v/>
      </c>
      <c r="AN688" s="726" t="n"/>
      <c r="AU688" s="1240" t="n"/>
      <c r="AV688" s="1240" t="n"/>
    </row>
    <row r="689" ht="17.1" customHeight="1">
      <c r="A689" s="973" t="n"/>
      <c r="B689" s="971" t="n"/>
      <c r="C689" s="972" t="n"/>
      <c r="D689" s="973" t="n"/>
      <c r="E689" s="973" t="n"/>
      <c r="F689" s="994" t="n"/>
      <c r="G689" s="994" t="n"/>
      <c r="H689" s="973" t="n"/>
      <c r="I689" s="973" t="n"/>
      <c r="J689" s="973" t="n"/>
      <c r="K689" s="973" t="n"/>
      <c r="L689" s="253" t="n"/>
      <c r="M689" s="254" t="n"/>
      <c r="N689" s="254" t="n"/>
      <c r="O689" s="1183" t="n"/>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73" t="n"/>
      <c r="E690" s="973" t="n"/>
      <c r="F690" s="994" t="n"/>
      <c r="G690" s="994" t="n"/>
      <c r="H690" s="973" t="n"/>
      <c r="I690" s="973" t="n"/>
      <c r="J690" s="973" t="n"/>
      <c r="K690" s="973" t="n"/>
      <c r="L690" s="253" t="n"/>
      <c r="M690" s="254" t="n"/>
      <c r="N690" s="254" t="n"/>
      <c r="O690" s="1183" t="n"/>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73" t="n"/>
      <c r="E691" s="973" t="n"/>
      <c r="F691" s="994" t="n"/>
      <c r="G691" s="994" t="n"/>
      <c r="H691" s="973" t="n"/>
      <c r="I691" s="973" t="n"/>
      <c r="J691" s="973" t="n"/>
      <c r="K691" s="973" t="n"/>
      <c r="L691" s="253" t="n"/>
      <c r="M691" s="254" t="n"/>
      <c r="N691" s="254" t="n"/>
      <c r="O691" s="1183" t="n"/>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73" t="n"/>
      <c r="E692" s="973" t="n"/>
      <c r="F692" s="994" t="n"/>
      <c r="G692" s="994" t="n"/>
      <c r="H692" s="973" t="n"/>
      <c r="I692" s="973" t="n"/>
      <c r="J692" s="973" t="n"/>
      <c r="K692" s="975" t="n"/>
      <c r="L692" s="253" t="n"/>
      <c r="M692" s="254" t="n"/>
      <c r="N692" s="254" t="n"/>
      <c r="O692" s="1183" t="n"/>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75" t="n"/>
      <c r="E693" s="975" t="n"/>
      <c r="F693" s="998" t="n"/>
      <c r="G693" s="998" t="n"/>
      <c r="H693" s="975" t="n"/>
      <c r="I693" s="975" t="n"/>
      <c r="J693" s="975" t="n"/>
      <c r="K693" s="1189">
        <f>K688=L693</f>
        <v/>
      </c>
      <c r="L693" s="491">
        <f>SUM(L688:L692)</f>
        <v/>
      </c>
      <c r="M693" s="1190" t="inlineStr">
        <is>
          <t xml:space="preserve">“Verdadero” indica que la cantidad por lote, coincide con el saldo que inicia al mes siguiente. "Falso" no coinicide. </t>
        </is>
      </c>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413">
        <f>NOVIEMBRE!K694</f>
        <v/>
      </c>
      <c r="E694" s="339">
        <f>H290</f>
        <v/>
      </c>
      <c r="F694" s="338" t="n"/>
      <c r="G694" s="338" t="n"/>
      <c r="H694" s="1235">
        <f>+F694+G694</f>
        <v/>
      </c>
      <c r="I694" s="340">
        <f>+AM694</f>
        <v/>
      </c>
      <c r="J694" s="341">
        <f>+H694+I694</f>
        <v/>
      </c>
      <c r="K694" s="583">
        <f>+(D694+E694)-(J694)</f>
        <v/>
      </c>
      <c r="L694" s="253" t="n"/>
      <c r="M694" s="254" t="n"/>
      <c r="N694" s="254" t="n"/>
      <c r="O694" s="1183" t="n"/>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c r="AA694" s="648" t="n"/>
      <c r="AB694" s="649">
        <f>+Z694+AA694</f>
        <v/>
      </c>
      <c r="AC694" s="648" t="n"/>
      <c r="AD694" s="648" t="n"/>
      <c r="AE694" s="648" t="n"/>
      <c r="AF694" s="648" t="n"/>
      <c r="AG694" s="648" t="n"/>
      <c r="AH694" s="648" t="n"/>
      <c r="AI694" s="648" t="n"/>
      <c r="AJ694" s="648" t="n"/>
      <c r="AK694" s="648" t="n"/>
      <c r="AL694" s="648" t="n"/>
      <c r="AM694" s="421">
        <f>SUM(AB694:AL698)</f>
        <v/>
      </c>
      <c r="AN694" s="726" t="n"/>
      <c r="AU694" s="1240" t="n"/>
      <c r="AV694" s="1240" t="n"/>
    </row>
    <row r="695" ht="17.1" customHeight="1">
      <c r="A695" s="973" t="n"/>
      <c r="B695" s="971" t="n"/>
      <c r="C695" s="972" t="n"/>
      <c r="D695" s="973" t="n"/>
      <c r="E695" s="973" t="n"/>
      <c r="F695" s="994" t="n"/>
      <c r="G695" s="994" t="n"/>
      <c r="H695" s="973" t="n"/>
      <c r="I695" s="973" t="n"/>
      <c r="J695" s="973" t="n"/>
      <c r="K695" s="973" t="n"/>
      <c r="L695" s="253" t="n"/>
      <c r="M695" s="254" t="n"/>
      <c r="N695" s="254" t="n"/>
      <c r="O695" s="1183" t="n"/>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73" t="n"/>
      <c r="E696" s="973" t="n"/>
      <c r="F696" s="994" t="n"/>
      <c r="G696" s="994" t="n"/>
      <c r="H696" s="973" t="n"/>
      <c r="I696" s="973" t="n"/>
      <c r="J696" s="973" t="n"/>
      <c r="K696" s="973" t="n"/>
      <c r="L696" s="253" t="n"/>
      <c r="M696" s="254" t="n"/>
      <c r="N696" s="254" t="n"/>
      <c r="O696" s="1183" t="n"/>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73" t="n"/>
      <c r="E697" s="973" t="n"/>
      <c r="F697" s="994" t="n"/>
      <c r="G697" s="994" t="n"/>
      <c r="H697" s="973" t="n"/>
      <c r="I697" s="973" t="n"/>
      <c r="J697" s="973" t="n"/>
      <c r="K697" s="973" t="n"/>
      <c r="L697" s="253" t="n"/>
      <c r="M697" s="254" t="n"/>
      <c r="N697" s="254" t="n"/>
      <c r="O697" s="1183" t="n"/>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73" t="n"/>
      <c r="E698" s="973" t="n"/>
      <c r="F698" s="994" t="n"/>
      <c r="G698" s="994" t="n"/>
      <c r="H698" s="973" t="n"/>
      <c r="I698" s="973" t="n"/>
      <c r="J698" s="973" t="n"/>
      <c r="K698" s="975" t="n"/>
      <c r="L698" s="253" t="n"/>
      <c r="M698" s="254" t="n"/>
      <c r="N698" s="254" t="n"/>
      <c r="O698" s="1183" t="n"/>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75" t="n"/>
      <c r="E699" s="975" t="n"/>
      <c r="F699" s="998" t="n"/>
      <c r="G699" s="998" t="n"/>
      <c r="H699" s="975" t="n"/>
      <c r="I699" s="975" t="n"/>
      <c r="J699" s="975" t="n"/>
      <c r="K699" s="1189">
        <f>K694=L699</f>
        <v/>
      </c>
      <c r="L699" s="491">
        <f>SUM(L694:L698)</f>
        <v/>
      </c>
      <c r="M699" s="1190" t="inlineStr">
        <is>
          <t xml:space="preserve">“Verdadero” indica que la cantidad por lote, coincide con el saldo que inicia al mes siguiente. "Falso" no coinicide. </t>
        </is>
      </c>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413">
        <f>NOVIEMBRE!K700</f>
        <v/>
      </c>
      <c r="E700" s="339">
        <f>H296</f>
        <v/>
      </c>
      <c r="F700" s="338" t="n"/>
      <c r="G700" s="338" t="n"/>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c r="AA700" s="648" t="n"/>
      <c r="AB700" s="649">
        <f>+Z700+AA700</f>
        <v/>
      </c>
      <c r="AC700" s="648" t="n"/>
      <c r="AD700" s="648" t="n"/>
      <c r="AE700" s="648" t="n"/>
      <c r="AF700" s="648" t="n"/>
      <c r="AG700" s="648" t="n"/>
      <c r="AH700" s="648" t="n"/>
      <c r="AI700" s="648" t="n"/>
      <c r="AJ700" s="648" t="n"/>
      <c r="AK700" s="648" t="n"/>
      <c r="AL700" s="648" t="n"/>
      <c r="AM700" s="421">
        <f>SUM(AB700:AL704)</f>
        <v/>
      </c>
      <c r="AN700" s="726" t="n"/>
      <c r="AU700" s="1240" t="n"/>
      <c r="AV700" s="1240" t="n"/>
    </row>
    <row r="701" ht="17.1" customHeight="1">
      <c r="A701" s="973" t="n"/>
      <c r="B701" s="971" t="n"/>
      <c r="C701" s="972" t="n"/>
      <c r="D701" s="973"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73"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73"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73"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75" t="n"/>
      <c r="E705" s="975" t="n"/>
      <c r="F705" s="998" t="n"/>
      <c r="G705" s="998" t="n"/>
      <c r="H705" s="975" t="n"/>
      <c r="I705" s="975" t="n"/>
      <c r="J705" s="975" t="n"/>
      <c r="K705" s="1189">
        <f>K700=L705</f>
        <v/>
      </c>
      <c r="L705" s="491">
        <f>SUM(L700:L704)</f>
        <v/>
      </c>
      <c r="M705" s="1190" t="inlineStr">
        <is>
          <t xml:space="preserve">“Verdadero” indica que la cantidad por lote, coincide con el saldo que inicia al mes siguiente. "Falso" no coinicide. </t>
        </is>
      </c>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647"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413">
        <f>NOVIEMBRE!K707</f>
        <v/>
      </c>
      <c r="E707" s="339">
        <f>H303</f>
        <v/>
      </c>
      <c r="F707" s="338" t="n"/>
      <c r="G707" s="338" t="n"/>
      <c r="H707" s="1235">
        <f>+F707+G707</f>
        <v/>
      </c>
      <c r="I707" s="340">
        <f>+AM707</f>
        <v/>
      </c>
      <c r="J707" s="341">
        <f>+H707+I707</f>
        <v/>
      </c>
      <c r="K707" s="583">
        <f>+(D707+E707)-(J707)</f>
        <v/>
      </c>
      <c r="L707" s="253" t="n"/>
      <c r="M707" s="254" t="n"/>
      <c r="N707" s="254" t="n"/>
      <c r="O707" s="1183" t="n"/>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c r="AA707" s="648" t="n"/>
      <c r="AB707" s="649">
        <f>+Z707+AA707</f>
        <v/>
      </c>
      <c r="AC707" s="648" t="n"/>
      <c r="AD707" s="648" t="n"/>
      <c r="AE707" s="648" t="n"/>
      <c r="AF707" s="648" t="n"/>
      <c r="AG707" s="648" t="n"/>
      <c r="AH707" s="648" t="n"/>
      <c r="AI707" s="648" t="n"/>
      <c r="AJ707" s="648" t="n"/>
      <c r="AK707" s="648" t="n"/>
      <c r="AL707" s="648" t="n"/>
      <c r="AM707" s="421">
        <f>SUM(AB707:AL712)</f>
        <v/>
      </c>
      <c r="AN707" s="726" t="n"/>
      <c r="AU707" s="1240" t="n"/>
      <c r="AV707" s="1240" t="n"/>
    </row>
    <row r="708" ht="17.1" customHeight="1">
      <c r="A708" s="973" t="n"/>
      <c r="B708" s="971" t="n"/>
      <c r="C708" s="972" t="n"/>
      <c r="D708" s="973" t="n"/>
      <c r="E708" s="973" t="n"/>
      <c r="F708" s="994" t="n"/>
      <c r="G708" s="994" t="n"/>
      <c r="H708" s="973" t="n"/>
      <c r="I708" s="973" t="n"/>
      <c r="J708" s="973" t="n"/>
      <c r="K708" s="973" t="n"/>
      <c r="L708" s="253" t="n"/>
      <c r="M708" s="254" t="n"/>
      <c r="N708" s="254" t="n"/>
      <c r="O708" s="1183" t="n"/>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73" t="n"/>
      <c r="E709" s="973" t="n"/>
      <c r="F709" s="994" t="n"/>
      <c r="G709" s="994" t="n"/>
      <c r="H709" s="973" t="n"/>
      <c r="I709" s="973" t="n"/>
      <c r="J709" s="973" t="n"/>
      <c r="K709" s="973" t="n"/>
      <c r="L709" s="253" t="n"/>
      <c r="M709" s="254" t="n"/>
      <c r="N709" s="254" t="n"/>
      <c r="O709" s="1183" t="n"/>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73"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73" t="n"/>
      <c r="E711" s="973" t="n"/>
      <c r="F711" s="994" t="n"/>
      <c r="G711" s="994" t="n"/>
      <c r="H711" s="973" t="n"/>
      <c r="I711" s="973" t="n"/>
      <c r="J711" s="973" t="n"/>
      <c r="K711" s="973" t="n"/>
      <c r="L711" s="253" t="n"/>
      <c r="M711" s="254" t="n"/>
      <c r="N711" s="254" t="n"/>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73"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75" t="n"/>
      <c r="E713" s="975" t="n"/>
      <c r="F713" s="998" t="n"/>
      <c r="G713" s="998" t="n"/>
      <c r="H713" s="975" t="n"/>
      <c r="I713" s="975" t="n"/>
      <c r="J713" s="975" t="n"/>
      <c r="K713" s="1189">
        <f>K707=L713</f>
        <v/>
      </c>
      <c r="L713" s="491">
        <f>SUM(L707:L712)</f>
        <v/>
      </c>
      <c r="M713" s="1190" t="inlineStr">
        <is>
          <t xml:space="preserve">“Verdadero” indica que la cantidad por lote, coincide con el saldo que inicia al mes siguiente. "Falso" no coinicide. </t>
        </is>
      </c>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413">
        <f>NOVIEMBRE!K714</f>
        <v/>
      </c>
      <c r="E714" s="339">
        <f>H310</f>
        <v/>
      </c>
      <c r="F714" s="338" t="n"/>
      <c r="G714" s="338" t="n"/>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c r="AA714" s="648" t="n"/>
      <c r="AB714" s="649">
        <f>+Z714+AA714</f>
        <v/>
      </c>
      <c r="AC714" s="648" t="n"/>
      <c r="AD714" s="648" t="n"/>
      <c r="AE714" s="648" t="n"/>
      <c r="AF714" s="648" t="n"/>
      <c r="AG714" s="648" t="n"/>
      <c r="AH714" s="648" t="n"/>
      <c r="AI714" s="648" t="n"/>
      <c r="AJ714" s="648" t="n"/>
      <c r="AK714" s="648" t="n"/>
      <c r="AL714" s="648" t="n"/>
      <c r="AM714" s="421">
        <f>SUM(AB714:AL719)</f>
        <v/>
      </c>
      <c r="AN714" s="726" t="n"/>
      <c r="AU714" s="1240" t="n"/>
      <c r="AV714" s="1240" t="n"/>
    </row>
    <row r="715" ht="17.1" customHeight="1">
      <c r="A715" s="973" t="n"/>
      <c r="B715" s="971" t="n"/>
      <c r="C715" s="972" t="n"/>
      <c r="D715" s="973"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73"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73"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73"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73"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75"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413">
        <f>NOVIEMBRE!K721</f>
        <v/>
      </c>
      <c r="E721" s="339">
        <f>H317</f>
        <v/>
      </c>
      <c r="F721" s="338" t="n"/>
      <c r="G721" s="338" t="n"/>
      <c r="H721" s="1235">
        <f>+F721+G721</f>
        <v/>
      </c>
      <c r="I721" s="340">
        <f>+AM721</f>
        <v/>
      </c>
      <c r="J721" s="341">
        <f>+H721+I721</f>
        <v/>
      </c>
      <c r="K721" s="583">
        <f>+(D721+E721)-(J721)</f>
        <v/>
      </c>
      <c r="L721" s="253" t="n"/>
      <c r="M721" s="254" t="n"/>
      <c r="N721" s="254" t="n"/>
      <c r="O721" s="1183" t="n"/>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c r="AA721" s="648" t="n"/>
      <c r="AB721" s="649">
        <f>+Z721+AA721</f>
        <v/>
      </c>
      <c r="AC721" s="648" t="n"/>
      <c r="AD721" s="648" t="n"/>
      <c r="AE721" s="648" t="n"/>
      <c r="AF721" s="648" t="n"/>
      <c r="AG721" s="648" t="n"/>
      <c r="AH721" s="648" t="n"/>
      <c r="AI721" s="648" t="n"/>
      <c r="AJ721" s="648" t="n"/>
      <c r="AK721" s="648" t="n"/>
      <c r="AL721" s="648" t="n"/>
      <c r="AM721" s="421">
        <f>SUM(AB721:AL726)</f>
        <v/>
      </c>
      <c r="AN721" s="726" t="n"/>
      <c r="AU721" s="1240" t="n"/>
      <c r="AV721" s="1240" t="n"/>
    </row>
    <row r="722" ht="17.1" customHeight="1">
      <c r="A722" s="973" t="n"/>
      <c r="B722" s="971" t="n"/>
      <c r="C722" s="972" t="n"/>
      <c r="D722" s="973" t="n"/>
      <c r="E722" s="973" t="n"/>
      <c r="F722" s="994" t="n"/>
      <c r="G722" s="994" t="n"/>
      <c r="H722" s="973" t="n"/>
      <c r="I722" s="973" t="n"/>
      <c r="J722" s="973" t="n"/>
      <c r="K722" s="973" t="n"/>
      <c r="L722" s="253" t="n"/>
      <c r="M722" s="254" t="n"/>
      <c r="N722" s="254" t="n"/>
      <c r="O722" s="1183" t="n"/>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73" t="n"/>
      <c r="E723" s="973" t="n"/>
      <c r="F723" s="994" t="n"/>
      <c r="G723" s="994" t="n"/>
      <c r="H723" s="973" t="n"/>
      <c r="I723" s="973" t="n"/>
      <c r="J723" s="973" t="n"/>
      <c r="K723" s="973" t="n"/>
      <c r="L723" s="253" t="n"/>
      <c r="M723" s="254" t="n"/>
      <c r="N723" s="254" t="n"/>
      <c r="O723" s="1183" t="n"/>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73" t="n"/>
      <c r="E724" s="973" t="n"/>
      <c r="F724" s="994" t="n"/>
      <c r="G724" s="994" t="n"/>
      <c r="H724" s="973" t="n"/>
      <c r="I724" s="973" t="n"/>
      <c r="J724" s="973" t="n"/>
      <c r="K724" s="973" t="n"/>
      <c r="L724" s="253" t="n"/>
      <c r="M724" s="254" t="n"/>
      <c r="N724" s="254" t="n"/>
      <c r="O724" s="1183" t="n"/>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73" t="n"/>
      <c r="E725" s="973" t="n"/>
      <c r="F725" s="994" t="n"/>
      <c r="G725" s="994" t="n"/>
      <c r="H725" s="973" t="n"/>
      <c r="I725" s="973" t="n"/>
      <c r="J725" s="973" t="n"/>
      <c r="K725" s="973" t="n"/>
      <c r="L725" s="253" t="n"/>
      <c r="M725" s="254" t="n"/>
      <c r="N725" s="254" t="n"/>
      <c r="O725" s="1183" t="n"/>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73" t="n"/>
      <c r="E726" s="973" t="n"/>
      <c r="F726" s="994" t="n"/>
      <c r="G726" s="994" t="n"/>
      <c r="H726" s="973" t="n"/>
      <c r="I726" s="973" t="n"/>
      <c r="J726" s="973" t="n"/>
      <c r="K726" s="975" t="n"/>
      <c r="L726" s="253" t="n"/>
      <c r="M726" s="254" t="n"/>
      <c r="N726" s="254" t="n"/>
      <c r="O726" s="1183" t="n"/>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75" t="n"/>
      <c r="E727" s="975" t="n"/>
      <c r="F727" s="998" t="n"/>
      <c r="G727" s="998" t="n"/>
      <c r="H727" s="975" t="n"/>
      <c r="I727" s="975" t="n"/>
      <c r="J727" s="975" t="n"/>
      <c r="K727" s="1189">
        <f>K721=L727</f>
        <v/>
      </c>
      <c r="L727" s="491">
        <f>SUM(L721:L726)</f>
        <v/>
      </c>
      <c r="M727" s="1190" t="inlineStr">
        <is>
          <t xml:space="preserve">“Verdadero” indica que la cantidad por lote, coincide con el saldo que inicia al mes siguiente. "Falso" no coinicide. </t>
        </is>
      </c>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413">
        <f>NOVIEMBRE!K728</f>
        <v/>
      </c>
      <c r="E728" s="339">
        <f>H324</f>
        <v/>
      </c>
      <c r="F728" s="338" t="n"/>
      <c r="G728" s="338" t="n"/>
      <c r="H728" s="1235">
        <f>+F728+G728</f>
        <v/>
      </c>
      <c r="I728" s="340">
        <f>+AM728</f>
        <v/>
      </c>
      <c r="J728" s="341">
        <f>+H728+I728</f>
        <v/>
      </c>
      <c r="K728" s="583">
        <f>+(D728+E728)-(J728)</f>
        <v/>
      </c>
      <c r="L728" s="253" t="n"/>
      <c r="M728" s="254" t="n"/>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c r="AA728" s="648" t="n"/>
      <c r="AB728" s="649">
        <f>+Z728+AA728</f>
        <v/>
      </c>
      <c r="AC728" s="648" t="n"/>
      <c r="AD728" s="648" t="n"/>
      <c r="AE728" s="648" t="n"/>
      <c r="AF728" s="648" t="n"/>
      <c r="AG728" s="648" t="n"/>
      <c r="AH728" s="648" t="n"/>
      <c r="AI728" s="648" t="n"/>
      <c r="AJ728" s="648" t="n"/>
      <c r="AK728" s="648" t="n"/>
      <c r="AL728" s="648" t="n"/>
      <c r="AM728" s="421">
        <f>SUM(AB728:AL733)</f>
        <v/>
      </c>
      <c r="AN728" s="726" t="n"/>
      <c r="AU728" s="1240" t="n"/>
      <c r="AV728" s="1240" t="n"/>
    </row>
    <row r="729" ht="17.1" customHeight="1">
      <c r="A729" s="973" t="n"/>
      <c r="B729" s="971" t="n"/>
      <c r="C729" s="972" t="n"/>
      <c r="D729" s="973" t="n"/>
      <c r="E729" s="973" t="n"/>
      <c r="F729" s="994" t="n"/>
      <c r="G729" s="994" t="n"/>
      <c r="H729" s="973" t="n"/>
      <c r="I729" s="973" t="n"/>
      <c r="J729" s="973" t="n"/>
      <c r="K729" s="973" t="n"/>
      <c r="L729" s="253" t="n"/>
      <c r="M729" s="254" t="n"/>
      <c r="N729" s="254" t="n"/>
      <c r="O729" s="1183" t="n"/>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73"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73"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73"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73"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75" t="n"/>
      <c r="E734" s="975" t="n"/>
      <c r="F734" s="998" t="n"/>
      <c r="G734" s="998" t="n"/>
      <c r="H734" s="975" t="n"/>
      <c r="I734" s="975" t="n"/>
      <c r="J734" s="975" t="n"/>
      <c r="K734" s="1189">
        <f>K728=L734</f>
        <v/>
      </c>
      <c r="L734" s="491">
        <f>SUM(L728:L733)</f>
        <v/>
      </c>
      <c r="M734" s="1190" t="inlineStr">
        <is>
          <t xml:space="preserve">“Verdadero” indica que la cantidad por lote, coincide con el saldo que inicia al mes siguiente. "Falso" no coinicide. </t>
        </is>
      </c>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413">
        <f>NOVIEMBRE!K735</f>
        <v/>
      </c>
      <c r="E735" s="339">
        <f>H331</f>
        <v/>
      </c>
      <c r="F735" s="338" t="n"/>
      <c r="G735" s="338" t="n"/>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c r="AA735" s="648" t="n"/>
      <c r="AB735" s="649">
        <f>+Z735+AA735</f>
        <v/>
      </c>
      <c r="AC735" s="648" t="n"/>
      <c r="AD735" s="648" t="n"/>
      <c r="AE735" s="648" t="n"/>
      <c r="AF735" s="648" t="n"/>
      <c r="AG735" s="648" t="n"/>
      <c r="AH735" s="648" t="n"/>
      <c r="AI735" s="648" t="n"/>
      <c r="AJ735" s="648" t="n"/>
      <c r="AK735" s="648" t="n"/>
      <c r="AL735" s="648" t="n"/>
      <c r="AM735" s="421">
        <f>SUM(AB735:AL740)</f>
        <v/>
      </c>
      <c r="AN735" s="726" t="n"/>
      <c r="AU735" s="1240" t="n"/>
      <c r="AV735" s="1240" t="n"/>
    </row>
    <row r="736" ht="17.1" customHeight="1">
      <c r="A736" s="973" t="n"/>
      <c r="B736" s="971" t="n"/>
      <c r="C736" s="972" t="n"/>
      <c r="D736" s="973"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73"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73"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73"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73"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75" t="n"/>
      <c r="E741" s="975" t="n"/>
      <c r="F741" s="998" t="n"/>
      <c r="G741" s="998" t="n"/>
      <c r="H741" s="975" t="n"/>
      <c r="I741" s="975" t="n"/>
      <c r="J741" s="975" t="n"/>
      <c r="K741" s="1189">
        <f>K735=L741</f>
        <v/>
      </c>
      <c r="L741" s="491">
        <f>SUM(L735:L740)</f>
        <v/>
      </c>
      <c r="M741" s="1190" t="inlineStr">
        <is>
          <t xml:space="preserve">“Verdadero” indica que la cantidad por lote, coincide con el saldo que inicia al mes siguiente. "Falso" no coinicide. </t>
        </is>
      </c>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413">
        <f>NOVIEMBRE!K742</f>
        <v/>
      </c>
      <c r="E742" s="339">
        <f>H338</f>
        <v/>
      </c>
      <c r="F742" s="338" t="n"/>
      <c r="G742" s="338" t="n"/>
      <c r="H742" s="1235">
        <f>+F742+G742</f>
        <v/>
      </c>
      <c r="I742" s="340">
        <f>+AM742</f>
        <v/>
      </c>
      <c r="J742" s="341">
        <f>+H742+I742</f>
        <v/>
      </c>
      <c r="K742" s="583">
        <f>+(D742+E742)-(J742)</f>
        <v/>
      </c>
      <c r="L742" s="253" t="n"/>
      <c r="M742" s="254" t="n"/>
      <c r="N742" s="254" t="n"/>
      <c r="O742" s="1183" t="n"/>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c r="AA742" s="648" t="n"/>
      <c r="AB742" s="649">
        <f>+Z742+AA742</f>
        <v/>
      </c>
      <c r="AC742" s="648" t="n"/>
      <c r="AD742" s="648" t="n"/>
      <c r="AE742" s="648" t="n"/>
      <c r="AF742" s="648" t="n"/>
      <c r="AG742" s="648" t="n"/>
      <c r="AH742" s="648" t="n"/>
      <c r="AI742" s="648" t="n"/>
      <c r="AJ742" s="648" t="n"/>
      <c r="AK742" s="648" t="n"/>
      <c r="AL742" s="648" t="n"/>
      <c r="AM742" s="421">
        <f>SUM(AB742:AL747)</f>
        <v/>
      </c>
      <c r="AN742" s="726" t="n"/>
      <c r="AU742" s="1240" t="n"/>
      <c r="AV742" s="1240" t="n"/>
    </row>
    <row r="743" ht="17.1" customHeight="1">
      <c r="A743" s="973" t="n"/>
      <c r="B743" s="971" t="n"/>
      <c r="C743" s="972" t="n"/>
      <c r="D743" s="973" t="n"/>
      <c r="E743" s="973" t="n"/>
      <c r="F743" s="994" t="n"/>
      <c r="G743" s="994" t="n"/>
      <c r="H743" s="973" t="n"/>
      <c r="I743" s="973" t="n"/>
      <c r="J743" s="973" t="n"/>
      <c r="K743" s="973" t="n"/>
      <c r="L743" s="253" t="n"/>
      <c r="M743" s="254" t="n"/>
      <c r="N743" s="254" t="n"/>
      <c r="O743" s="1183" t="n"/>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73" t="n"/>
      <c r="E744" s="973" t="n"/>
      <c r="F744" s="994" t="n"/>
      <c r="G744" s="994" t="n"/>
      <c r="H744" s="973" t="n"/>
      <c r="I744" s="973" t="n"/>
      <c r="J744" s="973" t="n"/>
      <c r="K744" s="973" t="n"/>
      <c r="L744" s="253" t="n"/>
      <c r="M744" s="254" t="n"/>
      <c r="N744" s="254" t="n"/>
      <c r="O744" s="1183" t="n"/>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73" t="n"/>
      <c r="E745" s="973" t="n"/>
      <c r="F745" s="994" t="n"/>
      <c r="G745" s="994" t="n"/>
      <c r="H745" s="973" t="n"/>
      <c r="I745" s="973" t="n"/>
      <c r="J745" s="973" t="n"/>
      <c r="K745" s="973" t="n"/>
      <c r="L745" s="253" t="n"/>
      <c r="M745" s="254" t="n"/>
      <c r="N745" s="254" t="n"/>
      <c r="O745" s="1183" t="n"/>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73" t="n"/>
      <c r="E746" s="973" t="n"/>
      <c r="F746" s="994" t="n"/>
      <c r="G746" s="994" t="n"/>
      <c r="H746" s="973" t="n"/>
      <c r="I746" s="973" t="n"/>
      <c r="J746" s="973" t="n"/>
      <c r="K746" s="973" t="n"/>
      <c r="L746" s="253" t="n"/>
      <c r="M746" s="254" t="n"/>
      <c r="N746" s="254" t="n"/>
      <c r="O746" s="1183" t="n"/>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73" t="n"/>
      <c r="E747" s="973" t="n"/>
      <c r="F747" s="994" t="n"/>
      <c r="G747" s="994" t="n"/>
      <c r="H747" s="973" t="n"/>
      <c r="I747" s="973" t="n"/>
      <c r="J747" s="973" t="n"/>
      <c r="K747" s="975" t="n"/>
      <c r="L747" s="253" t="n"/>
      <c r="M747" s="254" t="n"/>
      <c r="N747" s="254" t="n"/>
      <c r="O747" s="1183" t="n"/>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75" t="n"/>
      <c r="E748" s="975" t="n"/>
      <c r="F748" s="998" t="n"/>
      <c r="G748" s="998" t="n"/>
      <c r="H748" s="975" t="n"/>
      <c r="I748" s="975" t="n"/>
      <c r="J748" s="975" t="n"/>
      <c r="K748" s="1189">
        <f>K742=L748</f>
        <v/>
      </c>
      <c r="L748" s="491">
        <f>SUM(L742:L747)</f>
        <v/>
      </c>
      <c r="M748" s="1190" t="inlineStr">
        <is>
          <t xml:space="preserve">“Verdadero” indica que la cantidad por lote, coincide con el saldo que inicia al mes siguiente. "Falso" no coinicide. </t>
        </is>
      </c>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413">
        <f>NOVIEMBRE!K749</f>
        <v/>
      </c>
      <c r="E749" s="339">
        <f>H345</f>
        <v/>
      </c>
      <c r="F749" s="338" t="n"/>
      <c r="G749" s="338" t="n"/>
      <c r="H749" s="1235">
        <f>+F749+G749</f>
        <v/>
      </c>
      <c r="I749" s="340">
        <f>+AM749</f>
        <v/>
      </c>
      <c r="J749" s="341">
        <f>+H749+I749</f>
        <v/>
      </c>
      <c r="K749" s="583">
        <f>+(D749+E749)-(J749)</f>
        <v/>
      </c>
      <c r="L749" s="253" t="n"/>
      <c r="M749" s="254" t="n"/>
      <c r="N749" s="254" t="n"/>
      <c r="O749" s="1183" t="n"/>
      <c r="P749" s="256">
        <f>IF(O749=0," ",IFERROR(IF(DATEDIF(TODAY(),O749,"M")&lt;=5,"ROJO",IF(DATEDIF(TODAY(),O749,"M")&gt;=12,"VERDE",IF(AND(DATEDIF(TODAY(),O749,"M")&gt;=6,DATEDIF(TODAY(),O749,"M")&lt;=11),"AMARILLO"))),Q749))</f>
        <v/>
      </c>
      <c r="Q749" s="256">
        <f>IF(O749=0," ",IF(O749&lt;=$L$6,"VENCIDO","NO VENCIDO"))</f>
        <v/>
      </c>
      <c r="R749" s="257" t="n"/>
      <c r="S749" s="258" t="n"/>
      <c r="T749" s="258" t="n"/>
      <c r="U749" s="1184" t="n"/>
      <c r="V749" s="1184" t="n"/>
      <c r="W749" s="1236">
        <f>+AR749</f>
        <v/>
      </c>
      <c r="X749" s="1237" t="n"/>
      <c r="Y749" s="232" t="n"/>
      <c r="Z749" s="648" t="n"/>
      <c r="AA749" s="648" t="n"/>
      <c r="AB749" s="649">
        <f>+Z749+AA749</f>
        <v/>
      </c>
      <c r="AC749" s="648" t="n"/>
      <c r="AD749" s="648" t="n"/>
      <c r="AE749" s="648" t="n"/>
      <c r="AF749" s="648" t="n"/>
      <c r="AG749" s="648" t="n"/>
      <c r="AH749" s="648" t="n"/>
      <c r="AI749" s="648" t="n"/>
      <c r="AJ749" s="648" t="n"/>
      <c r="AK749" s="648" t="n"/>
      <c r="AL749" s="648" t="n"/>
      <c r="AM749" s="421">
        <f>SUM(AB749:AL754)</f>
        <v/>
      </c>
      <c r="AN749" s="726" t="n"/>
      <c r="AU749" s="1240" t="n"/>
      <c r="AV749" s="1240" t="n"/>
    </row>
    <row r="750" ht="17.1" customHeight="1">
      <c r="A750" s="973" t="n"/>
      <c r="B750" s="971" t="n"/>
      <c r="C750" s="972" t="n"/>
      <c r="D750" s="973"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73"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73"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73"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73"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75" t="n"/>
      <c r="E755" s="975" t="n"/>
      <c r="F755" s="998" t="n"/>
      <c r="G755" s="998" t="n"/>
      <c r="H755" s="975" t="n"/>
      <c r="I755" s="975" t="n"/>
      <c r="J755" s="975" t="n"/>
      <c r="K755" s="1189">
        <f>K749=L755</f>
        <v/>
      </c>
      <c r="L755" s="491">
        <f>SUM(L749:L754)</f>
        <v/>
      </c>
      <c r="M755" s="1190" t="inlineStr">
        <is>
          <t xml:space="preserve">“Verdadero” indica que la cantidad por lote, coincide con el saldo que inicia al mes siguiente. "Falso" no coinicide. </t>
        </is>
      </c>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413">
        <f>NOVIEMBRE!K756</f>
        <v/>
      </c>
      <c r="E756" s="339">
        <f>H352</f>
        <v/>
      </c>
      <c r="F756" s="338" t="n"/>
      <c r="G756" s="338" t="n"/>
      <c r="H756" s="1235">
        <f>+F756+G756</f>
        <v/>
      </c>
      <c r="I756" s="340">
        <f>+AM756</f>
        <v/>
      </c>
      <c r="J756" s="341">
        <f>+H756+I756</f>
        <v/>
      </c>
      <c r="K756" s="583">
        <f>+(D756+E756)-(J756)</f>
        <v/>
      </c>
      <c r="L756" s="253" t="n"/>
      <c r="M756" s="254" t="n"/>
      <c r="N756" s="254" t="n"/>
      <c r="O756" s="1183" t="n"/>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c r="AA756" s="648" t="n"/>
      <c r="AB756" s="649">
        <f>+Z756+AA756</f>
        <v/>
      </c>
      <c r="AC756" s="648" t="n"/>
      <c r="AD756" s="648" t="n"/>
      <c r="AE756" s="648" t="n"/>
      <c r="AF756" s="648" t="n"/>
      <c r="AG756" s="648" t="n"/>
      <c r="AH756" s="648" t="n"/>
      <c r="AI756" s="648" t="n"/>
      <c r="AJ756" s="648" t="n"/>
      <c r="AK756" s="648" t="n"/>
      <c r="AL756" s="648" t="n"/>
      <c r="AM756" s="421">
        <f>SUM(AB756:AL761)</f>
        <v/>
      </c>
      <c r="AN756" s="726" t="n"/>
      <c r="AU756" s="1240" t="n"/>
      <c r="AV756" s="1240" t="n"/>
    </row>
    <row r="757" ht="17.1" customHeight="1">
      <c r="A757" s="973" t="n"/>
      <c r="B757" s="971" t="n"/>
      <c r="C757" s="972" t="n"/>
      <c r="D757" s="973" t="n"/>
      <c r="E757" s="973" t="n"/>
      <c r="F757" s="994" t="n"/>
      <c r="G757" s="994" t="n"/>
      <c r="H757" s="973" t="n"/>
      <c r="I757" s="973" t="n"/>
      <c r="J757" s="973" t="n"/>
      <c r="K757" s="973" t="n"/>
      <c r="L757" s="253" t="n"/>
      <c r="M757" s="254" t="n"/>
      <c r="N757" s="254" t="n"/>
      <c r="O757" s="1183" t="n"/>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73" t="n"/>
      <c r="E758" s="973" t="n"/>
      <c r="F758" s="994" t="n"/>
      <c r="G758" s="994" t="n"/>
      <c r="H758" s="973" t="n"/>
      <c r="I758" s="973" t="n"/>
      <c r="J758" s="973" t="n"/>
      <c r="K758" s="973" t="n"/>
      <c r="L758" s="253" t="n"/>
      <c r="M758" s="254" t="n"/>
      <c r="N758" s="254" t="n"/>
      <c r="O758" s="1183" t="n"/>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73" t="n"/>
      <c r="E759" s="973" t="n"/>
      <c r="F759" s="994" t="n"/>
      <c r="G759" s="994" t="n"/>
      <c r="H759" s="973" t="n"/>
      <c r="I759" s="973" t="n"/>
      <c r="J759" s="973" t="n"/>
      <c r="K759" s="973" t="n"/>
      <c r="L759" s="253" t="n"/>
      <c r="M759" s="254" t="n"/>
      <c r="N759" s="254" t="n"/>
      <c r="O759" s="1183" t="n"/>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73" t="n"/>
      <c r="E760" s="973" t="n"/>
      <c r="F760" s="994" t="n"/>
      <c r="G760" s="994" t="n"/>
      <c r="H760" s="973" t="n"/>
      <c r="I760" s="973" t="n"/>
      <c r="J760" s="973" t="n"/>
      <c r="K760" s="973" t="n"/>
      <c r="L760" s="253" t="n"/>
      <c r="M760" s="254" t="n"/>
      <c r="N760" s="254" t="n"/>
      <c r="O760" s="1183" t="n"/>
      <c r="P760" s="256">
        <f>IF(O760=0," ",IFERROR(IF(DATEDIF(TODAY(),O760,"M")&lt;=5,"ROJO",IF(DATEDIF(TODAY(),O760,"M")&gt;=12,"VERDE",IF(AND(DATEDIF(TODAY(),O760,"M")&gt;=6,DATEDIF(TODAY(),O760,"M")&lt;=11),"AMARILLO"))),Q760))</f>
        <v/>
      </c>
      <c r="Q760" s="256">
        <f>IF(O760=0," ",IF(O760&lt;=$L$6,"VENCIDO","NO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73"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75"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413">
        <f>NOVIEMBRE!K763</f>
        <v/>
      </c>
      <c r="E763" s="339">
        <f>H359</f>
        <v/>
      </c>
      <c r="F763" s="338" t="n"/>
      <c r="G763" s="338" t="n"/>
      <c r="H763" s="1235">
        <f>+F763+G763</f>
        <v/>
      </c>
      <c r="I763" s="340">
        <f>+AM763</f>
        <v/>
      </c>
      <c r="J763" s="341">
        <f>+H763+I763</f>
        <v/>
      </c>
      <c r="K763" s="583">
        <f>+(D763+E763)-(J763)</f>
        <v/>
      </c>
      <c r="L763" s="253" t="n"/>
      <c r="M763" s="254" t="n"/>
      <c r="N763" s="254" t="n"/>
      <c r="O763" s="1183" t="n"/>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c r="AA763" s="648" t="n"/>
      <c r="AB763" s="649">
        <f>+Z763+AA763</f>
        <v/>
      </c>
      <c r="AC763" s="648" t="n"/>
      <c r="AD763" s="648" t="n"/>
      <c r="AE763" s="648" t="n"/>
      <c r="AF763" s="648" t="n"/>
      <c r="AG763" s="648" t="n"/>
      <c r="AH763" s="648" t="n"/>
      <c r="AI763" s="648" t="n"/>
      <c r="AJ763" s="648" t="n"/>
      <c r="AK763" s="648" t="n"/>
      <c r="AL763" s="648" t="n"/>
      <c r="AM763" s="421">
        <f>SUM(AB763:AL768)</f>
        <v/>
      </c>
      <c r="AN763" s="726" t="n"/>
      <c r="AU763" s="1240" t="n"/>
      <c r="AV763" s="1240" t="n"/>
    </row>
    <row r="764" ht="17.1" customHeight="1">
      <c r="A764" s="973" t="n"/>
      <c r="B764" s="971" t="n"/>
      <c r="C764" s="972" t="n"/>
      <c r="D764" s="973" t="n"/>
      <c r="E764" s="973" t="n"/>
      <c r="F764" s="994" t="n"/>
      <c r="G764" s="994" t="n"/>
      <c r="H764" s="973" t="n"/>
      <c r="I764" s="973" t="n"/>
      <c r="J764" s="973" t="n"/>
      <c r="K764" s="973" t="n"/>
      <c r="L764" s="253" t="n"/>
      <c r="M764" s="254" t="n"/>
      <c r="N764" s="254" t="n"/>
      <c r="O764" s="1183" t="n"/>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73" t="n"/>
      <c r="E765" s="973" t="n"/>
      <c r="F765" s="994" t="n"/>
      <c r="G765" s="994" t="n"/>
      <c r="H765" s="973" t="n"/>
      <c r="I765" s="973" t="n"/>
      <c r="J765" s="973" t="n"/>
      <c r="K765" s="973" t="n"/>
      <c r="L765" s="253" t="n"/>
      <c r="M765" s="254" t="n"/>
      <c r="N765" s="254" t="n"/>
      <c r="O765" s="1183" t="n"/>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73" t="n"/>
      <c r="E766" s="973" t="n"/>
      <c r="F766" s="994" t="n"/>
      <c r="G766" s="994" t="n"/>
      <c r="H766" s="973" t="n"/>
      <c r="I766" s="973" t="n"/>
      <c r="J766" s="973" t="n"/>
      <c r="K766" s="973" t="n"/>
      <c r="L766" s="253" t="n"/>
      <c r="M766" s="254" t="n"/>
      <c r="N766" s="254" t="n"/>
      <c r="O766" s="1183" t="n"/>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73" t="n"/>
      <c r="E767" s="973" t="n"/>
      <c r="F767" s="994" t="n"/>
      <c r="G767" s="994" t="n"/>
      <c r="H767" s="973" t="n"/>
      <c r="I767" s="973" t="n"/>
      <c r="J767" s="973" t="n"/>
      <c r="K767" s="973" t="n"/>
      <c r="L767" s="253" t="n"/>
      <c r="M767" s="254" t="n"/>
      <c r="N767" s="254" t="n"/>
      <c r="O767" s="1183" t="n"/>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73"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75" t="n"/>
      <c r="E769" s="975" t="n"/>
      <c r="F769" s="998" t="n"/>
      <c r="G769" s="998" t="n"/>
      <c r="H769" s="975" t="n"/>
      <c r="I769" s="975" t="n"/>
      <c r="J769" s="975" t="n"/>
      <c r="K769" s="1189">
        <f>K763=L769</f>
        <v/>
      </c>
      <c r="L769" s="491">
        <f>SUM(L763:L768)</f>
        <v/>
      </c>
      <c r="M769" s="1190" t="inlineStr">
        <is>
          <t xml:space="preserve">“Verdadero” indica que la cantidad por lote, coincide con el saldo que inicia al mes siguiente. "Falso" no coinicide. </t>
        </is>
      </c>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413">
        <f>NOVIEMBRE!K770</f>
        <v/>
      </c>
      <c r="E770" s="339">
        <f>H366</f>
        <v/>
      </c>
      <c r="F770" s="338" t="n"/>
      <c r="G770" s="338" t="n"/>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c r="AA770" s="648" t="n"/>
      <c r="AB770" s="649">
        <f>+Z770+AA770</f>
        <v/>
      </c>
      <c r="AC770" s="648" t="n"/>
      <c r="AD770" s="648" t="n"/>
      <c r="AE770" s="648" t="n"/>
      <c r="AF770" s="648" t="n"/>
      <c r="AG770" s="648" t="n"/>
      <c r="AH770" s="648" t="n"/>
      <c r="AI770" s="648" t="n"/>
      <c r="AJ770" s="648" t="n"/>
      <c r="AK770" s="648" t="n"/>
      <c r="AL770" s="648" t="n"/>
      <c r="AM770" s="421">
        <f>SUM(AB770:AL775)</f>
        <v/>
      </c>
      <c r="AN770" s="726" t="n"/>
      <c r="AU770" s="1240" t="n"/>
      <c r="AV770" s="1240" t="n"/>
    </row>
    <row r="771" ht="17.1" customHeight="1">
      <c r="A771" s="973" t="n"/>
      <c r="B771" s="971" t="n"/>
      <c r="C771" s="972" t="n"/>
      <c r="D771" s="973"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73"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73"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73"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73"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75" t="n"/>
      <c r="E776" s="975" t="n"/>
      <c r="F776" s="998" t="n"/>
      <c r="G776" s="998" t="n"/>
      <c r="H776" s="975" t="n"/>
      <c r="I776" s="975" t="n"/>
      <c r="J776" s="975" t="n"/>
      <c r="K776" s="1189">
        <f>K770=L776</f>
        <v/>
      </c>
      <c r="L776" s="491">
        <f>SUM(L770:L775)</f>
        <v/>
      </c>
      <c r="M776" s="1190" t="inlineStr">
        <is>
          <t xml:space="preserve">“Verdadero” indica que la cantidad por lote, coincide con el saldo que inicia al mes siguiente. "Falso" no coinicide. </t>
        </is>
      </c>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413">
        <f>NOVIEMBRE!K777</f>
        <v/>
      </c>
      <c r="E777" s="339">
        <f>H373</f>
        <v/>
      </c>
      <c r="F777" s="338" t="n"/>
      <c r="G777" s="338" t="n"/>
      <c r="H777" s="576">
        <f>+F777+G777</f>
        <v/>
      </c>
      <c r="I777" s="340">
        <f>+AM777</f>
        <v/>
      </c>
      <c r="J777" s="341">
        <f>+H777+I777</f>
        <v/>
      </c>
      <c r="K777" s="584">
        <f>+(D777+E777)-(J777)</f>
        <v/>
      </c>
      <c r="L777" s="253" t="n"/>
      <c r="M777" s="254" t="n"/>
      <c r="N777" s="254" t="n"/>
      <c r="O777" s="1183" t="n"/>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c r="AA777" s="648" t="n"/>
      <c r="AB777" s="649">
        <f>+Z777+AA777</f>
        <v/>
      </c>
      <c r="AC777" s="648" t="n"/>
      <c r="AD777" s="648" t="n"/>
      <c r="AE777" s="648" t="n"/>
      <c r="AF777" s="648" t="n"/>
      <c r="AG777" s="648" t="n"/>
      <c r="AH777" s="648" t="n"/>
      <c r="AI777" s="648" t="n"/>
      <c r="AJ777" s="648" t="n"/>
      <c r="AK777" s="648" t="n"/>
      <c r="AL777" s="648" t="n"/>
      <c r="AM777" s="382">
        <f>SUM(AB777:AL777)</f>
        <v/>
      </c>
      <c r="AN777" s="726" t="n"/>
      <c r="AU777" s="1240" t="n"/>
      <c r="AV777" s="1240" t="n"/>
    </row>
    <row r="778" ht="30" customHeight="1">
      <c r="A778" s="585">
        <f>A777+1</f>
        <v/>
      </c>
      <c r="B778" s="629" t="inlineStr">
        <is>
          <t>Carnet de vacunación adultos</t>
        </is>
      </c>
      <c r="C778" s="967" t="n"/>
      <c r="D778" s="413">
        <f>NOVIEMBRE!K778</f>
        <v/>
      </c>
      <c r="E778" s="339">
        <f>H374</f>
        <v/>
      </c>
      <c r="F778" s="338" t="n"/>
      <c r="G778" s="338" t="n"/>
      <c r="H778" s="576">
        <f>+F778+G778</f>
        <v/>
      </c>
      <c r="I778" s="340">
        <f>+AM778</f>
        <v/>
      </c>
      <c r="J778" s="341">
        <f>+H778+I778</f>
        <v/>
      </c>
      <c r="K778" s="584">
        <f>+(D778+E778)-(J778)</f>
        <v/>
      </c>
      <c r="L778" s="253" t="n"/>
      <c r="M778" s="254" t="n"/>
      <c r="N778" s="254" t="n"/>
      <c r="O778" s="1183" t="n"/>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c r="AA778" s="648" t="n"/>
      <c r="AB778" s="649">
        <f>+Z778+AA778</f>
        <v/>
      </c>
      <c r="AC778" s="648" t="n"/>
      <c r="AD778" s="648" t="n"/>
      <c r="AE778" s="648" t="n"/>
      <c r="AF778" s="648" t="n"/>
      <c r="AG778" s="648" t="n"/>
      <c r="AH778" s="648" t="n"/>
      <c r="AI778" s="648" t="n"/>
      <c r="AJ778" s="648" t="n"/>
      <c r="AK778" s="648" t="n"/>
      <c r="AL778" s="648" t="n"/>
      <c r="AM778" s="382">
        <f>SUM(AB778:AL778)</f>
        <v/>
      </c>
      <c r="AN778" s="726" t="n"/>
      <c r="AU778" s="1240" t="n"/>
      <c r="AV778" s="1240" t="n"/>
    </row>
    <row r="779" ht="30" customHeight="1">
      <c r="A779" s="585">
        <f>A778+1</f>
        <v/>
      </c>
      <c r="B779" s="629" t="inlineStr">
        <is>
          <t>Carnet/Certificado de vacunación (Covid-19)</t>
        </is>
      </c>
      <c r="C779" s="967" t="n"/>
      <c r="D779" s="413">
        <f>NOVIEMBRE!K779</f>
        <v/>
      </c>
      <c r="E779" s="339">
        <f>H375</f>
        <v/>
      </c>
      <c r="F779" s="338" t="n"/>
      <c r="G779" s="338" t="n"/>
      <c r="H779" s="576">
        <f>+F779+G779</f>
        <v/>
      </c>
      <c r="I779" s="340">
        <f>+AM779</f>
        <v/>
      </c>
      <c r="J779" s="341">
        <f>+H779+I779</f>
        <v/>
      </c>
      <c r="K779" s="584">
        <f>+(D779+E779)-(J779)</f>
        <v/>
      </c>
      <c r="L779" s="253" t="n"/>
      <c r="M779" s="254" t="n"/>
      <c r="N779" s="254" t="n"/>
      <c r="O779" s="1183" t="n"/>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c r="AA779" s="648" t="n"/>
      <c r="AB779" s="649">
        <f>+Z779+AA779</f>
        <v/>
      </c>
      <c r="AC779" s="648" t="n"/>
      <c r="AD779" s="648" t="n"/>
      <c r="AE779" s="648" t="n"/>
      <c r="AF779" s="648" t="n"/>
      <c r="AG779" s="648" t="n"/>
      <c r="AH779" s="648" t="n"/>
      <c r="AI779" s="648" t="n"/>
      <c r="AJ779" s="648" t="n"/>
      <c r="AK779" s="648" t="n"/>
      <c r="AL779" s="648" t="n"/>
      <c r="AM779" s="382">
        <f>SUM(AB779:AL779)</f>
        <v/>
      </c>
      <c r="AN779" s="726" t="n"/>
      <c r="AU779" s="1240" t="n"/>
      <c r="AV779" s="1240" t="n"/>
    </row>
    <row r="780" ht="30" customHeight="1">
      <c r="A780" s="585">
        <f>A779+1</f>
        <v/>
      </c>
      <c r="B780" s="629" t="inlineStr">
        <is>
          <t>Carne/certificado internacional de vacunación</t>
        </is>
      </c>
      <c r="C780" s="967" t="n"/>
      <c r="D780" s="413">
        <f>NOVIEMBRE!K780</f>
        <v/>
      </c>
      <c r="E780" s="339">
        <f>H376</f>
        <v/>
      </c>
      <c r="F780" s="338" t="n"/>
      <c r="G780" s="338" t="n"/>
      <c r="H780" s="576">
        <f>+F780+G780</f>
        <v/>
      </c>
      <c r="I780" s="340">
        <f>+AM780</f>
        <v/>
      </c>
      <c r="J780" s="341">
        <f>+H780+I780</f>
        <v/>
      </c>
      <c r="K780" s="584">
        <f>+(D780+E780)-(J780)</f>
        <v/>
      </c>
      <c r="L780" s="253" t="n"/>
      <c r="M780" s="254" t="n"/>
      <c r="N780" s="254" t="n"/>
      <c r="O780" s="1183" t="n"/>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c r="AA780" s="648" t="n"/>
      <c r="AB780" s="649">
        <f>+Z780+AA780</f>
        <v/>
      </c>
      <c r="AC780" s="648" t="n"/>
      <c r="AD780" s="648" t="n"/>
      <c r="AE780" s="648" t="n"/>
      <c r="AF780" s="648" t="n"/>
      <c r="AG780" s="648" t="n"/>
      <c r="AH780" s="648" t="n"/>
      <c r="AI780" s="648" t="n"/>
      <c r="AJ780" s="648" t="n"/>
      <c r="AK780" s="648" t="n"/>
      <c r="AL780" s="648" t="n"/>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413">
        <f>NOVIEMBRE!K781</f>
        <v/>
      </c>
      <c r="E781" s="339">
        <f>H377</f>
        <v/>
      </c>
      <c r="F781" s="338" t="n"/>
      <c r="G781" s="338" t="n"/>
      <c r="H781" s="576">
        <f>+F781+G781</f>
        <v/>
      </c>
      <c r="I781" s="340">
        <f>+AM781</f>
        <v/>
      </c>
      <c r="J781" s="341">
        <f>+H781+I781</f>
        <v/>
      </c>
      <c r="K781" s="584">
        <f>+(D781+E781)-(J781)</f>
        <v/>
      </c>
      <c r="L781" s="253" t="n"/>
      <c r="M781" s="254" t="n"/>
      <c r="N781" s="254" t="n"/>
      <c r="O781" s="1183" t="n"/>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c r="AA781" s="648" t="n"/>
      <c r="AB781" s="649">
        <f>+Z781+AA781</f>
        <v/>
      </c>
      <c r="AC781" s="648" t="n"/>
      <c r="AD781" s="648" t="n"/>
      <c r="AE781" s="648" t="n"/>
      <c r="AF781" s="648" t="n"/>
      <c r="AG781" s="648" t="n"/>
      <c r="AH781" s="648" t="n"/>
      <c r="AI781" s="648" t="n"/>
      <c r="AJ781" s="648" t="n"/>
      <c r="AK781" s="648" t="n"/>
      <c r="AL781" s="648" t="n"/>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413">
        <f>NOVIEMBRE!K782</f>
        <v/>
      </c>
      <c r="E782" s="339">
        <f>H378</f>
        <v/>
      </c>
      <c r="F782" s="338" t="n"/>
      <c r="G782" s="338" t="n"/>
      <c r="H782" s="576">
        <f>+F782+G782</f>
        <v/>
      </c>
      <c r="I782" s="340">
        <f>+AM782</f>
        <v/>
      </c>
      <c r="J782" s="341">
        <f>+H782+I782</f>
        <v/>
      </c>
      <c r="K782" s="584">
        <f>+(D782+E782)-(J782)</f>
        <v/>
      </c>
      <c r="L782" s="253" t="n"/>
      <c r="M782" s="254" t="n"/>
      <c r="N782" s="254" t="n"/>
      <c r="O782" s="1183" t="n"/>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c r="AA782" s="648" t="n"/>
      <c r="AB782" s="649">
        <f>+Z782+AA782</f>
        <v/>
      </c>
      <c r="AC782" s="648" t="n"/>
      <c r="AD782" s="648" t="n"/>
      <c r="AE782" s="648" t="n"/>
      <c r="AF782" s="648" t="n"/>
      <c r="AG782" s="648" t="n"/>
      <c r="AH782" s="648" t="n"/>
      <c r="AI782" s="648" t="n"/>
      <c r="AJ782" s="648" t="n"/>
      <c r="AK782" s="648" t="n"/>
      <c r="AL782" s="648" t="n"/>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413">
        <f>NOVIEMBRE!K783</f>
        <v/>
      </c>
      <c r="E783" s="339">
        <f>H379</f>
        <v/>
      </c>
      <c r="F783" s="338" t="n"/>
      <c r="G783" s="338" t="n"/>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c r="AA783" s="648" t="n"/>
      <c r="AB783" s="649">
        <f>+Z783+AA783</f>
        <v/>
      </c>
      <c r="AC783" s="648" t="n"/>
      <c r="AD783" s="648" t="n"/>
      <c r="AE783" s="648" t="n"/>
      <c r="AF783" s="648" t="n"/>
      <c r="AG783" s="648" t="n"/>
      <c r="AH783" s="648" t="n"/>
      <c r="AI783" s="648" t="n"/>
      <c r="AJ783" s="648" t="n"/>
      <c r="AK783" s="648" t="n"/>
      <c r="AL783" s="648" t="n"/>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569" t="inlineStr">
        <is>
          <t>ÍTEM</t>
        </is>
      </c>
      <c r="B785" s="569" t="inlineStr">
        <is>
          <t>VACUNA COVID-19</t>
        </is>
      </c>
      <c r="C785" s="965" t="n"/>
      <c r="D785" s="1231" t="inlineStr">
        <is>
          <t>SALDO MES ANTERIOR</t>
        </is>
      </c>
      <c r="E785" s="961" t="inlineStr">
        <is>
          <t>BIOLÓGICO RECIBIDO DEL CENTRO DE ACOPIO DEPARTAMENTAL / DISTRITAL</t>
        </is>
      </c>
      <c r="F785" s="1231" t="inlineStr">
        <is>
          <t>DOSIS APLICADAS</t>
        </is>
      </c>
      <c r="G785" s="967" t="n"/>
      <c r="H785" s="1232" t="inlineStr">
        <is>
          <t>TOTAL DOSIS APLICADAS</t>
        </is>
      </c>
      <c r="I785" s="961" t="inlineStr">
        <is>
          <t>DOSIS PERDIDAS</t>
        </is>
      </c>
      <c r="J785" s="1231" t="inlineStr">
        <is>
          <t>TOTAL DOSIS ÚTILIZADAS EN EL MES</t>
        </is>
      </c>
      <c r="K785" s="623" t="inlineStr">
        <is>
          <t>SALDO QUE INICIA EL MES SIGUIENTE (SOLO MUNICIPIOS)</t>
        </is>
      </c>
      <c r="L785" s="623" t="inlineStr">
        <is>
          <t>DOSIS POR LOTES</t>
        </is>
      </c>
      <c r="M785" s="623" t="inlineStr">
        <is>
          <t xml:space="preserve">No. LOTE </t>
        </is>
      </c>
      <c r="N785" s="623" t="inlineStr">
        <is>
          <t>LABORATORIO</t>
        </is>
      </c>
      <c r="O785" s="623" t="inlineStr">
        <is>
          <t>FECHA DE VENCIMIENTO</t>
        </is>
      </c>
      <c r="P785" s="623" t="inlineStr">
        <is>
          <t>SEMAFORIZACION VIDA  ÚTIL DEL BIOLÓGICO</t>
        </is>
      </c>
      <c r="Q785" s="623" t="inlineStr">
        <is>
          <t>CONDICIÓN FINAL DEL BIOLÓGICO, DILUYENTE Y CARNET</t>
        </is>
      </c>
      <c r="R785" s="613" t="inlineStr">
        <is>
          <t>DOSIS EN CUARENTENA</t>
        </is>
      </c>
      <c r="S785" s="613" t="inlineStr">
        <is>
          <t>LABORATORIO</t>
        </is>
      </c>
      <c r="T785" s="613" t="inlineStr">
        <is>
          <t>No. LOTE</t>
        </is>
      </c>
      <c r="U785" s="613" t="inlineStr">
        <is>
          <t>FECHA DE VENCIMEINTO</t>
        </is>
      </c>
      <c r="V785" s="613" t="inlineStr">
        <is>
          <t>FECHA DE INICIO CUARENTENA</t>
        </is>
      </c>
      <c r="W785" s="613" t="inlineStr">
        <is>
          <t>OBSERVACIONES</t>
        </is>
      </c>
      <c r="X785" s="351" t="n"/>
      <c r="Y785" s="232" t="n"/>
      <c r="Z785" s="1221" t="inlineStr">
        <is>
          <t>MOTIVOS DE NO USO DE VACUNAS CONTRA LA COVID-19
RESOLUCIÓN 0118 DEL 27 DE ENERO DE 2026
DISPONIBLE EN EL SIGUIENTE LINK: https://www.minsalud.gov.co/Normatividad_Nuevo/Resolucion%20No%20118%20de%202026.pdf</t>
        </is>
      </c>
      <c r="AA785" s="968" t="n"/>
      <c r="AB785" s="968" t="n"/>
      <c r="AC785" s="968" t="n"/>
      <c r="AD785" s="968" t="n"/>
      <c r="AE785" s="968" t="n"/>
      <c r="AF785" s="968" t="n"/>
      <c r="AG785" s="968" t="n"/>
      <c r="AH785" s="968" t="n"/>
      <c r="AI785" s="968" t="n"/>
      <c r="AJ785" s="968" t="n"/>
      <c r="AK785" s="968" t="n"/>
      <c r="AL785" s="967" t="n"/>
      <c r="AM785" s="532" t="inlineStr">
        <is>
          <t xml:space="preserve">TOTAL DOSIS PERDIDAS        </t>
        </is>
      </c>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inlineStr">
        <is>
          <t>POLÍTICA DE FRASCOS ABIERTO</t>
        </is>
      </c>
      <c r="AA787" s="967" t="n"/>
      <c r="AB787" s="1222" t="inlineStr">
        <is>
          <t>INTERRUPCIÓN DE LA CADENA DE FRÍO</t>
        </is>
      </c>
      <c r="AC787" s="537" t="inlineStr">
        <is>
          <t>CONTAMINACIÓN DEL BIOLÓGICO</t>
        </is>
      </c>
      <c r="AD787" s="1222" t="inlineStr">
        <is>
          <t>ERROR EN LA MANIPULACIÓN</t>
        </is>
      </c>
      <c r="AE787" s="537" t="inlineStr">
        <is>
          <t>ERROR EN LA RECONSTITUCIÓN/DILUCIÓN</t>
        </is>
      </c>
      <c r="AF787" s="1222" t="inlineStr">
        <is>
          <t>ERROR EN LA DOSIFICACIÓN</t>
        </is>
      </c>
      <c r="AG787" s="537" t="inlineStr">
        <is>
          <t>VACUNA QUE EXCEDE EL TIEMPO DE ALMACENAMIENTO EN REFRIGERACIÓN</t>
        </is>
      </c>
      <c r="AH787" s="1222" t="inlineStr">
        <is>
          <t>VENCIMIENTO DEL BIOLÓGICO</t>
        </is>
      </c>
      <c r="AI787" s="537" t="inlineStr">
        <is>
          <t>FRASCO VIAL ROTO</t>
        </is>
      </c>
      <c r="AJ787" s="1222" t="inlineStr">
        <is>
          <t>FALLAS DE FABRICACIÓN/CALIDAD</t>
        </is>
      </c>
      <c r="AK787" s="537" t="inlineStr">
        <is>
          <t>SINIESTRO / ACCIDENTE</t>
        </is>
      </c>
      <c r="AL787" s="1222" t="inlineStr">
        <is>
          <t>ROBO/HURTO BIOLÓGICO</t>
        </is>
      </c>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inlineStr">
        <is>
          <t>INSTITUCIONAL</t>
        </is>
      </c>
      <c r="AA788" s="497" t="inlineStr">
        <is>
          <t>EXTRAMURAL</t>
        </is>
      </c>
      <c r="AB788" s="975" t="n"/>
      <c r="AC788" s="975" t="n"/>
      <c r="AD788" s="975" t="n"/>
      <c r="AE788" s="975" t="n"/>
      <c r="AF788" s="975" t="n"/>
      <c r="AG788" s="975" t="n"/>
      <c r="AH788" s="975" t="n"/>
      <c r="AI788" s="975" t="n"/>
      <c r="AJ788" s="975" t="n"/>
      <c r="AK788" s="975" t="n"/>
      <c r="AL788" s="975" t="n"/>
      <c r="AM788" s="975" t="n"/>
      <c r="AN788" s="368" t="n"/>
      <c r="AO788" s="368" t="n"/>
      <c r="AP788" s="416" t="n"/>
      <c r="AQ788" s="546" t="inlineStr">
        <is>
          <t>PORCENTAJE DE PERDIDA DEL MES
%</t>
        </is>
      </c>
      <c r="AR788" s="546" t="inlineStr">
        <is>
          <t>FACTOR DE PERDIDA DEL MES</t>
        </is>
      </c>
      <c r="AS788" s="420" t="inlineStr">
        <is>
          <t>% DE PERDIDA DEL MSPS</t>
        </is>
      </c>
      <c r="AT788" s="420" t="inlineStr">
        <is>
          <t>DOSIS POR VIAL</t>
        </is>
      </c>
      <c r="AV788" s="1240" t="n"/>
      <c r="AW788" s="1240" t="n"/>
    </row>
    <row r="789" ht="19.5" customHeight="1">
      <c r="A789" s="585" t="n">
        <v>1</v>
      </c>
      <c r="B789" s="1249" t="inlineStr">
        <is>
          <t>MODERNA ADULTO</t>
        </is>
      </c>
      <c r="C789" s="965" t="n"/>
      <c r="D789" s="496">
        <f>NOVIEMBRE!K789</f>
        <v/>
      </c>
      <c r="E789" s="339">
        <f>H385</f>
        <v/>
      </c>
      <c r="F789" s="731" t="n"/>
      <c r="G789" s="731" t="n"/>
      <c r="H789" s="1235">
        <f>SUM(F789,G789)</f>
        <v/>
      </c>
      <c r="I789" s="340">
        <f>+AM789</f>
        <v/>
      </c>
      <c r="J789" s="341">
        <f>+H789+I789</f>
        <v/>
      </c>
      <c r="K789" s="583">
        <f>+(D789+E789)-(J789)</f>
        <v/>
      </c>
      <c r="L789" s="486" t="n"/>
      <c r="M789" s="487" t="n"/>
      <c r="N789" s="487" t="n"/>
      <c r="O789" s="1223" t="n"/>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c r="AA789" s="648" t="n"/>
      <c r="AB789" s="648" t="n"/>
      <c r="AC789" s="648" t="n"/>
      <c r="AD789" s="648" t="n"/>
      <c r="AE789" s="648" t="n"/>
      <c r="AF789" s="648" t="n"/>
      <c r="AG789" s="648" t="n"/>
      <c r="AH789" s="648" t="n"/>
      <c r="AI789" s="648" t="n"/>
      <c r="AJ789" s="648" t="n"/>
      <c r="AK789" s="648" t="n"/>
      <c r="AL789" s="648" t="n"/>
      <c r="AM789" s="573">
        <f>SUM(Z789:AL792)</f>
        <v/>
      </c>
      <c r="AN789" s="693" t="n"/>
      <c r="AO789" s="485" t="n"/>
      <c r="AP789" s="416" t="n"/>
      <c r="AQ789" s="1238">
        <f>IFERROR(I789/J789*100,"0")</f>
        <v/>
      </c>
      <c r="AR789" s="1238">
        <f>IFERROR(1/(1-(AQ789/100)),"0")</f>
        <v/>
      </c>
      <c r="AS789" s="1238" t="n">
        <v>0</v>
      </c>
      <c r="AT789" s="345" t="n">
        <v>5</v>
      </c>
      <c r="AU789" s="1240" t="n"/>
      <c r="AV789" s="1240" t="n"/>
    </row>
    <row r="790" ht="19.5" customHeight="1">
      <c r="A790" s="973" t="n"/>
      <c r="B790" s="971" t="n"/>
      <c r="C790" s="972" t="n"/>
      <c r="D790" s="973"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73"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73"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75" t="n"/>
      <c r="E793" s="975" t="n"/>
      <c r="F793" s="998" t="n"/>
      <c r="G793" s="998" t="n"/>
      <c r="H793" s="975" t="n"/>
      <c r="I793" s="975" t="n"/>
      <c r="J793" s="975" t="n"/>
      <c r="K793" s="1189">
        <f>K789=L793</f>
        <v/>
      </c>
      <c r="L793" s="491">
        <f>SUM(L789:L792)</f>
        <v/>
      </c>
      <c r="M793" s="1190" t="inlineStr">
        <is>
          <t xml:space="preserve">“Verdadero” indica que la cantidad por lote, coincide con el saldo que inicia al mes siguiente. "Falso" no coinicide. </t>
        </is>
      </c>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496">
        <f>NOVIEMBRE!K794</f>
        <v/>
      </c>
      <c r="E794" s="339">
        <f>H390</f>
        <v/>
      </c>
      <c r="F794" s="731" t="n"/>
      <c r="G794" s="731" t="n"/>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c r="AA794" s="648" t="n"/>
      <c r="AB794" s="648" t="n"/>
      <c r="AC794" s="648" t="n"/>
      <c r="AD794" s="648" t="n"/>
      <c r="AE794" s="648" t="n"/>
      <c r="AF794" s="648" t="n"/>
      <c r="AG794" s="648" t="n"/>
      <c r="AH794" s="648" t="n"/>
      <c r="AI794" s="648" t="n"/>
      <c r="AJ794" s="648" t="n"/>
      <c r="AK794" s="648" t="n"/>
      <c r="AL794" s="648" t="n"/>
      <c r="AM794" s="573">
        <f>SUM(Z794:AL797)</f>
        <v/>
      </c>
      <c r="AN794" s="693" t="n"/>
      <c r="AO794" s="485" t="n"/>
      <c r="AP794" s="416" t="n"/>
      <c r="AQ794" s="1238">
        <f>IFERROR(I794/J794*100,"0")</f>
        <v/>
      </c>
      <c r="AR794" s="1238">
        <f>IFERROR(1/(1-(AQ794/100)),"0")</f>
        <v/>
      </c>
      <c r="AS794" s="1238" t="n">
        <v>0</v>
      </c>
      <c r="AT794" s="345" t="n">
        <v>10</v>
      </c>
      <c r="AU794" s="1240" t="n"/>
      <c r="AV794" s="1240" t="n"/>
    </row>
    <row r="795" ht="19.5" customHeight="1">
      <c r="A795" s="973" t="n"/>
      <c r="B795" s="971" t="n"/>
      <c r="C795" s="972" t="n"/>
      <c r="D795" s="973"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73"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73"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75" t="n"/>
      <c r="E798" s="975" t="n"/>
      <c r="F798" s="998" t="n"/>
      <c r="G798" s="998" t="n"/>
      <c r="H798" s="975" t="n"/>
      <c r="I798" s="975" t="n"/>
      <c r="J798" s="975" t="n"/>
      <c r="K798" s="1189">
        <f>K794=L798</f>
        <v/>
      </c>
      <c r="L798" s="491">
        <f>SUM(L794:L797)</f>
        <v/>
      </c>
      <c r="M798" s="1190" t="inlineStr">
        <is>
          <t xml:space="preserve">“Verdadero” indica que la cantidad por lote, coincide con el saldo que inicia al mes siguiente. "Falso" no coinicide. </t>
        </is>
      </c>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496">
        <f>NOVIEMBRE!K799</f>
        <v/>
      </c>
      <c r="E799" s="339">
        <f>H395</f>
        <v/>
      </c>
      <c r="F799" s="731" t="n"/>
      <c r="G799" s="731" t="n"/>
      <c r="H799" s="1235">
        <f>SUM(F799,G799)</f>
        <v/>
      </c>
      <c r="I799" s="340">
        <f>+AM799</f>
        <v/>
      </c>
      <c r="J799" s="341">
        <f>+H799+I799</f>
        <v/>
      </c>
      <c r="K799" s="583">
        <f>+(D799+E799)-(J799)</f>
        <v/>
      </c>
      <c r="L799" s="486" t="n"/>
      <c r="M799" s="487" t="n"/>
      <c r="N799" s="487" t="n"/>
      <c r="O799" s="1223" t="n"/>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c r="AA799" s="648" t="n"/>
      <c r="AB799" s="648" t="n"/>
      <c r="AC799" s="648" t="n"/>
      <c r="AD799" s="648" t="n"/>
      <c r="AE799" s="648" t="n"/>
      <c r="AF799" s="648" t="n"/>
      <c r="AG799" s="648" t="n"/>
      <c r="AH799" s="648" t="n"/>
      <c r="AI799" s="648" t="n"/>
      <c r="AJ799" s="648" t="n"/>
      <c r="AK799" s="648" t="n"/>
      <c r="AL799" s="648" t="n"/>
      <c r="AM799" s="573">
        <f>SUM(Z799:AL802)</f>
        <v/>
      </c>
      <c r="AN799" s="693" t="n"/>
      <c r="AO799" s="485" t="n"/>
      <c r="AP799" s="416" t="n"/>
      <c r="AQ799" s="1238">
        <f>IFERROR(I799/J799*100,"0")</f>
        <v/>
      </c>
      <c r="AR799" s="1238">
        <f>IFERROR(1/(1-(AQ799/100)),"0")</f>
        <v/>
      </c>
      <c r="AS799" s="1238" t="n">
        <v>0</v>
      </c>
      <c r="AT799" s="345" t="n">
        <v>6</v>
      </c>
      <c r="AU799" s="1240" t="n"/>
      <c r="AV799" s="1240" t="n"/>
    </row>
    <row r="800" ht="19.5" customHeight="1">
      <c r="A800" s="973" t="n"/>
      <c r="B800" s="971" t="n"/>
      <c r="C800" s="972" t="n"/>
      <c r="D800" s="973"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73"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73"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75" t="n"/>
      <c r="E803" s="975" t="n"/>
      <c r="F803" s="998" t="n"/>
      <c r="G803" s="998" t="n"/>
      <c r="H803" s="975" t="n"/>
      <c r="I803" s="975" t="n"/>
      <c r="J803" s="975" t="n"/>
      <c r="K803" s="1189">
        <f>K799=L803</f>
        <v/>
      </c>
      <c r="L803" s="491">
        <f>SUM(L799:L802)</f>
        <v/>
      </c>
      <c r="M803" s="1190" t="inlineStr">
        <is>
          <t xml:space="preserve">“Verdadero” indica que la cantidad por lote, coincide con el saldo que inicia al mes siguiente. "Falso" no coinicide. </t>
        </is>
      </c>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496">
        <f>NOVIEMBRE!K804</f>
        <v/>
      </c>
      <c r="E804" s="339">
        <f>H400</f>
        <v/>
      </c>
      <c r="F804" s="731" t="n"/>
      <c r="G804" s="731" t="n"/>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c r="AA804" s="648" t="n"/>
      <c r="AB804" s="648" t="n"/>
      <c r="AC804" s="648" t="n"/>
      <c r="AD804" s="648" t="n"/>
      <c r="AE804" s="648" t="n"/>
      <c r="AF804" s="648" t="n"/>
      <c r="AG804" s="648" t="n"/>
      <c r="AH804" s="648" t="n"/>
      <c r="AI804" s="648" t="n"/>
      <c r="AJ804" s="648" t="n"/>
      <c r="AK804" s="648" t="n"/>
      <c r="AL804" s="648" t="n"/>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73"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73"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73"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75" t="n"/>
      <c r="E808" s="975" t="n"/>
      <c r="F808" s="998" t="n"/>
      <c r="G808" s="998" t="n"/>
      <c r="H808" s="975" t="n"/>
      <c r="I808" s="975" t="n"/>
      <c r="J808" s="975" t="n"/>
      <c r="K808" s="1189">
        <f>K804=L808</f>
        <v/>
      </c>
      <c r="L808" s="491">
        <f>SUM(L804:L807)</f>
        <v/>
      </c>
      <c r="M808" s="1190" t="inlineStr">
        <is>
          <t xml:space="preserve">“Verdadero” indica que la cantidad por lote, coincide con el saldo que inicia al mes siguiente. "Falso" no coinicide. </t>
        </is>
      </c>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496">
        <f>NOVIEMBRE!K809</f>
        <v/>
      </c>
      <c r="E809" s="339">
        <f>H405</f>
        <v/>
      </c>
      <c r="F809" s="731" t="n"/>
      <c r="G809" s="731" t="n"/>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c r="AA809" s="648" t="n"/>
      <c r="AB809" s="648" t="n"/>
      <c r="AC809" s="648" t="n"/>
      <c r="AD809" s="648" t="n"/>
      <c r="AE809" s="648" t="n"/>
      <c r="AF809" s="648" t="n"/>
      <c r="AG809" s="648" t="n"/>
      <c r="AH809" s="648" t="n"/>
      <c r="AI809" s="648" t="n"/>
      <c r="AJ809" s="648" t="n"/>
      <c r="AK809" s="648" t="n"/>
      <c r="AL809" s="648" t="n"/>
      <c r="AM809" s="573">
        <f>SUM(Z809:AL812)</f>
        <v/>
      </c>
      <c r="AN809" s="693" t="n"/>
      <c r="AO809" s="485" t="n"/>
      <c r="AP809" s="416" t="n"/>
      <c r="AQ809" s="1238">
        <f>IFERROR(I809/J809*100,"0")</f>
        <v/>
      </c>
      <c r="AR809" s="1238">
        <f>IFERROR(1/(1-(AQ809/100)),"0")</f>
        <v/>
      </c>
      <c r="AS809" s="1238" t="n">
        <v>0</v>
      </c>
      <c r="AT809" s="345" t="n"/>
      <c r="AU809" s="1240" t="n"/>
      <c r="AV809" s="1240" t="n"/>
    </row>
    <row r="810" ht="19.5" customHeight="1">
      <c r="A810" s="973" t="n"/>
      <c r="B810" s="971" t="n"/>
      <c r="C810" s="972" t="n"/>
      <c r="D810" s="973"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73"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73"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75" t="n"/>
      <c r="E813" s="975" t="n"/>
      <c r="F813" s="998" t="n"/>
      <c r="G813" s="998" t="n"/>
      <c r="H813" s="975" t="n"/>
      <c r="I813" s="975" t="n"/>
      <c r="J813" s="975" t="n"/>
      <c r="K813" s="1189">
        <f>K809=L813</f>
        <v/>
      </c>
      <c r="L813" s="491">
        <f>SUM(L809:L812)</f>
        <v/>
      </c>
      <c r="M813" s="1190" t="inlineStr">
        <is>
          <t xml:space="preserve">“Verdadero” indica que la cantidad por lote, coincide con el saldo que inicia al mes siguiente. "Falso" no coinicide. </t>
        </is>
      </c>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569" t="inlineStr">
        <is>
          <t>ÍTEM</t>
        </is>
      </c>
      <c r="B817" s="569" t="inlineStr">
        <is>
          <t>INSUMOS</t>
        </is>
      </c>
      <c r="C817" s="965" t="n"/>
      <c r="D817" s="552" t="inlineStr">
        <is>
          <t>SALDO MES ANTERIOR</t>
        </is>
      </c>
      <c r="E817" s="961" t="inlineStr">
        <is>
          <t xml:space="preserve">BIOLÓGICO RECIBIDO POR MSPS O ET </t>
        </is>
      </c>
      <c r="F817" s="545" t="inlineStr">
        <is>
          <t>DOSIS APLICADAS</t>
        </is>
      </c>
      <c r="G817" s="967" t="n"/>
      <c r="H817" s="1232" t="inlineStr">
        <is>
          <t>TOTAL DE DOSIS APLICADAS</t>
        </is>
      </c>
      <c r="I817" s="961" t="inlineStr">
        <is>
          <t>DOSIS PERDIDAS</t>
        </is>
      </c>
      <c r="J817" s="1231" t="inlineStr">
        <is>
          <t>TOTAL DE DOSIS UTILIZADAS EN EL MES</t>
        </is>
      </c>
      <c r="K817" s="961" t="inlineStr">
        <is>
          <t>DOSIS TRASLADADAS A OTROS DEPARTAMENTOS, DISTRITOS O RETORNO AL MSPS</t>
        </is>
      </c>
      <c r="L817" s="1253" t="inlineStr">
        <is>
          <t xml:space="preserve">TOTAL SALDO QUE INICIA EL MES </t>
        </is>
      </c>
      <c r="M817" s="1232" t="inlineStr">
        <is>
          <t xml:space="preserve">SALDO CON QUE EL CA DEPARTAMENTAL INICIA </t>
        </is>
      </c>
      <c r="N817" s="1231" t="inlineStr">
        <is>
          <t xml:space="preserve">SALDO CON QUE LOS MUNICIPIOS O IPS INICIAN </t>
        </is>
      </c>
      <c r="O817" s="1232" t="inlineStr">
        <is>
          <t>MESES DISPONIBLES SEGÚN DOSIS UTILIZADAS EN EL MES</t>
        </is>
      </c>
      <c r="P817" s="544" t="inlineStr">
        <is>
          <t>DOSIS EN CUARENTENA</t>
        </is>
      </c>
      <c r="Q817" s="544" t="inlineStr">
        <is>
          <t>LABORATORIO</t>
        </is>
      </c>
      <c r="R817" s="544" t="inlineStr">
        <is>
          <t>No. LOTE</t>
        </is>
      </c>
      <c r="S817" s="544" t="inlineStr">
        <is>
          <t>FECHA DE VENCIMEINTO</t>
        </is>
      </c>
      <c r="T817" s="544" t="inlineStr">
        <is>
          <t>CONDICIÓN FINAL DEL BIOLÓGICO O INSUMO</t>
        </is>
      </c>
      <c r="U817" s="561" t="n"/>
      <c r="V817" s="1254" t="n"/>
      <c r="X817" s="366" t="n"/>
      <c r="Y817" s="232" t="n"/>
      <c r="Z817" s="400" t="inlineStr">
        <is>
          <t>CAUSAS PERDIDA DE BIOLÓGICOS (Remítase a la primera hoja donde se especifica la clasificación de las perdidas)</t>
        </is>
      </c>
      <c r="AA817" s="400" t="n"/>
      <c r="AB817" s="400" t="n"/>
      <c r="AC817" s="400" t="n"/>
      <c r="AD817" s="400" t="n"/>
      <c r="AE817" s="400" t="n"/>
      <c r="AF817" s="400" t="n"/>
      <c r="AG817" s="400" t="n"/>
      <c r="AH817" s="400" t="n"/>
      <c r="AI817" s="400" t="n"/>
      <c r="AJ817" s="400" t="n"/>
      <c r="AK817" s="400" t="n"/>
      <c r="AL817" s="400" t="n"/>
      <c r="AM817" s="1181" t="inlineStr">
        <is>
          <t xml:space="preserve">TOTAL DOSIS PERDIDAS        </t>
        </is>
      </c>
      <c r="AN817" s="367" t="n"/>
      <c r="AO817" s="368" t="n"/>
    </row>
    <row r="818" ht="21.75" customHeight="1">
      <c r="A818" s="973" t="n"/>
      <c r="B818" s="971" t="n"/>
      <c r="C818" s="972" t="n"/>
      <c r="D818" s="973" t="n"/>
      <c r="E818" s="973" t="n"/>
      <c r="F818" s="552" t="inlineStr">
        <is>
          <t>DOSIS APLICADAS
COLOMBIANOS</t>
        </is>
      </c>
      <c r="G818" s="552" t="inlineStr">
        <is>
          <t>DOSIS APLICADAS EXTRANJEROS</t>
        </is>
      </c>
      <c r="H818" s="973" t="n"/>
      <c r="I818" s="973" t="n"/>
      <c r="J818" s="973" t="n"/>
      <c r="K818" s="973" t="n"/>
      <c r="L818" s="973" t="n"/>
      <c r="M818" s="973" t="n"/>
      <c r="N818" s="973" t="n"/>
      <c r="O818" s="973" t="n"/>
      <c r="P818" s="973" t="n"/>
      <c r="Q818" s="973" t="n"/>
      <c r="R818" s="973" t="n"/>
      <c r="S818" s="973" t="n"/>
      <c r="T818" s="973" t="n"/>
      <c r="X818" s="366" t="n"/>
      <c r="Y818" s="232" t="n"/>
      <c r="Z818" s="533" t="n">
        <v>1</v>
      </c>
      <c r="AA818" s="968" t="n"/>
      <c r="AB818" s="967" t="n"/>
      <c r="AC818" s="330" t="n">
        <v>2</v>
      </c>
      <c r="AD818" s="566" t="n">
        <v>3</v>
      </c>
      <c r="AE818" s="533" t="n">
        <v>4</v>
      </c>
      <c r="AF818" s="566" t="n">
        <v>5</v>
      </c>
      <c r="AG818" s="533" t="n">
        <v>6</v>
      </c>
      <c r="AH818" s="566" t="n">
        <v>7</v>
      </c>
      <c r="AI818" s="533" t="n">
        <v>8</v>
      </c>
      <c r="AJ818" s="533" t="n">
        <v>9</v>
      </c>
      <c r="AK818" s="533" t="n">
        <v>10</v>
      </c>
      <c r="AL818" s="566" t="n">
        <v>11</v>
      </c>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X819" s="366" t="n"/>
      <c r="Y819" s="232" t="n"/>
      <c r="Z819" s="533" t="inlineStr">
        <is>
          <t>POLÍTICA DE FRASCOS ABIERTO</t>
        </is>
      </c>
      <c r="AA819" s="968" t="n"/>
      <c r="AB819" s="967" t="n"/>
      <c r="AC819" s="330" t="inlineStr">
        <is>
          <t>INTERRUPCIÓN DE CADENA DE FRÍO</t>
        </is>
      </c>
      <c r="AD819" s="566" t="inlineStr">
        <is>
          <t>CONTAMINACION DEL BIOLÓGICO/DISPOSITIVO MÉDICO</t>
        </is>
      </c>
      <c r="AE819" s="533" t="inlineStr">
        <is>
          <t>VIAL ROTO</t>
        </is>
      </c>
      <c r="AF819" s="566" t="inlineStr">
        <is>
          <t>ERRORES EN LA MANIPULACIÓN</t>
        </is>
      </c>
      <c r="AG819" s="533" t="inlineStr">
        <is>
          <t>VENCIMIENTO DEL BIOLÓGICO O JERINGA</t>
        </is>
      </c>
      <c r="AH819" s="566" t="inlineStr">
        <is>
          <t>FARMACOVIGILANCIA / TECNOVIGILANCIA</t>
        </is>
      </c>
      <c r="AI819" s="533" t="inlineStr">
        <is>
          <t>VOMITO FRANCO</t>
        </is>
      </c>
      <c r="AJ819" s="533" t="inlineStr">
        <is>
          <t>APLICACIÓN FUERA DE LA EDAD</t>
        </is>
      </c>
      <c r="AK819" s="533" t="inlineStr">
        <is>
          <t>POR DECISIÓN FINAL DEL PACIENTE DE NO VACUNACIÓN</t>
        </is>
      </c>
      <c r="AL819" s="566" t="inlineStr">
        <is>
          <t>SINIESTRO O ROBO</t>
        </is>
      </c>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X820" s="366" t="n"/>
      <c r="Y820" s="232" t="n"/>
      <c r="Z820" s="533" t="inlineStr">
        <is>
          <t>INSTITUCIONAL</t>
        </is>
      </c>
      <c r="AA820" s="533" t="inlineStr">
        <is>
          <t>EXTRAMURAL</t>
        </is>
      </c>
      <c r="AB820" s="533" t="inlineStr">
        <is>
          <t>TOTAL</t>
        </is>
      </c>
      <c r="AC820" s="975" t="n"/>
      <c r="AD820" s="975" t="n"/>
      <c r="AE820" s="975" t="n"/>
      <c r="AF820" s="975" t="n"/>
      <c r="AG820" s="975" t="n"/>
      <c r="AH820" s="975" t="n"/>
      <c r="AI820" s="975" t="n"/>
      <c r="AJ820" s="975" t="n"/>
      <c r="AK820" s="975" t="n"/>
      <c r="AL820" s="975" t="n"/>
      <c r="AM820" s="975" t="n"/>
      <c r="AN820" s="333" t="n"/>
      <c r="AO820" s="368" t="n"/>
      <c r="AQ820" s="370" t="inlineStr">
        <is>
          <t>PORCENTAJE DE PERDIDA DEL MES
%</t>
        </is>
      </c>
      <c r="AR820" s="370" t="inlineStr">
        <is>
          <t>FACTOR DE PERDIDA DEL MES</t>
        </is>
      </c>
      <c r="AS820" s="371" t="inlineStr">
        <is>
          <t>% DE PERDIDA DEL MSPS</t>
        </is>
      </c>
      <c r="AT820" s="371" t="inlineStr">
        <is>
          <t>DOSIS POR VIAL</t>
        </is>
      </c>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v>65</v>
      </c>
      <c r="AT821" s="345" t="n">
        <v>10</v>
      </c>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v>0</v>
      </c>
      <c r="AT823" s="345" t="n">
        <v>0</v>
      </c>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v>15</v>
      </c>
      <c r="AT824" s="345" t="n">
        <v>5</v>
      </c>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v>0</v>
      </c>
      <c r="AT825" s="345" t="n">
        <v>0</v>
      </c>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v>0</v>
      </c>
      <c r="AT826" s="345" t="n">
        <v>0</v>
      </c>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v>0</v>
      </c>
      <c r="AT827" s="345" t="n">
        <v>0</v>
      </c>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v>0</v>
      </c>
      <c r="AT829" s="345" t="n">
        <v>1</v>
      </c>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v>0</v>
      </c>
      <c r="AT830" s="345" t="n">
        <v>1</v>
      </c>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v>0</v>
      </c>
      <c r="AT831" s="345" t="n">
        <v>1</v>
      </c>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v>0</v>
      </c>
      <c r="AT832" s="345" t="n">
        <v>1</v>
      </c>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v>0</v>
      </c>
      <c r="AT833" s="345" t="n">
        <v>1</v>
      </c>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v>0</v>
      </c>
      <c r="AT835" s="345" t="n">
        <v>1</v>
      </c>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v>0</v>
      </c>
      <c r="AT836" s="345" t="n">
        <v>1</v>
      </c>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v>0</v>
      </c>
      <c r="AT837" s="345" t="n">
        <v>1</v>
      </c>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v>25</v>
      </c>
      <c r="AT838" s="345" t="n">
        <v>5</v>
      </c>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v>0</v>
      </c>
      <c r="AT839" s="345" t="n">
        <v>1</v>
      </c>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v>70</v>
      </c>
      <c r="AT841" s="345" t="n">
        <v>10</v>
      </c>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v>0</v>
      </c>
      <c r="AT842" s="345" t="n">
        <v>1</v>
      </c>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v>0</v>
      </c>
      <c r="AT843" s="345" t="n">
        <v>1</v>
      </c>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v>0</v>
      </c>
      <c r="AT844" s="345" t="n">
        <v>1</v>
      </c>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v>10</v>
      </c>
      <c r="AT845" s="345" t="n">
        <v>10</v>
      </c>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v>10</v>
      </c>
      <c r="AT847" s="345" t="n">
        <v>20</v>
      </c>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v>10</v>
      </c>
      <c r="AT848" s="345" t="n">
        <v>10</v>
      </c>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v>0</v>
      </c>
      <c r="AT849" s="345" t="n">
        <v>1</v>
      </c>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v>0</v>
      </c>
      <c r="AT850" s="345" t="n">
        <v>1</v>
      </c>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v>0</v>
      </c>
      <c r="AT851" s="345" t="n">
        <v>1</v>
      </c>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v>0</v>
      </c>
      <c r="AT853" s="345" t="n">
        <v>1</v>
      </c>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v>0</v>
      </c>
      <c r="AT854" s="345" t="n">
        <v>1</v>
      </c>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v>0</v>
      </c>
      <c r="AT855" s="345" t="n">
        <v>1</v>
      </c>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v>0</v>
      </c>
      <c r="AT856" s="345" t="n">
        <v>1</v>
      </c>
    </row>
    <row r="857" ht="28.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7"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inlineStr">
        <is>
          <t>SALDO MES ANTERIOR</t>
        </is>
      </c>
      <c r="E889" s="961" t="inlineStr">
        <is>
          <t xml:space="preserve">BIOLÓGICO RECIBIDO POR MSPS O ET </t>
        </is>
      </c>
      <c r="F889" s="545" t="inlineStr">
        <is>
          <t>DOSIS APLICADAS</t>
        </is>
      </c>
      <c r="G889" s="967" t="n"/>
      <c r="H889" s="1232" t="inlineStr">
        <is>
          <t>TOTAL DE DOSIS APLICADAS</t>
        </is>
      </c>
      <c r="I889" s="961" t="inlineStr">
        <is>
          <t>DOSIS PERDIDAS</t>
        </is>
      </c>
      <c r="J889" s="1231" t="inlineStr">
        <is>
          <t>TOTAL DE DOSIS UTILIZADAS EN EL MES</t>
        </is>
      </c>
      <c r="K889" s="961" t="inlineStr">
        <is>
          <t>DOSIS TRASLADADAS A OTROS DEPARTAMENTOS, DISTRITOS O RETORNO AL MSPS</t>
        </is>
      </c>
      <c r="L889" s="1253" t="inlineStr">
        <is>
          <t xml:space="preserve">TOTAL SALDO QUE INICIA EL MES </t>
        </is>
      </c>
      <c r="M889" s="1232" t="inlineStr">
        <is>
          <t xml:space="preserve">SALDO CON QUE EL CA DEPARTAMENTAL INICIA </t>
        </is>
      </c>
      <c r="N889" s="1231" t="inlineStr">
        <is>
          <t xml:space="preserve">SALDO CON QUE LOS MUNICIPIOS O IPS INICIAN </t>
        </is>
      </c>
      <c r="O889" s="1232" t="inlineStr">
        <is>
          <t>MESES DISPONIBLES SEGÚN DOSIS UTILIZADAS EN EL MES</t>
        </is>
      </c>
      <c r="P889" s="544" t="inlineStr">
        <is>
          <t>DOSIS EN CUARENTENA</t>
        </is>
      </c>
      <c r="Q889" s="544" t="inlineStr">
        <is>
          <t>LABORATORIO</t>
        </is>
      </c>
      <c r="R889" s="544" t="inlineStr">
        <is>
          <t>No. LOTE</t>
        </is>
      </c>
      <c r="S889" s="544" t="inlineStr">
        <is>
          <t>FECHA DE VENCIMEINTO</t>
        </is>
      </c>
      <c r="T889" s="544" t="inlineStr">
        <is>
          <t>CONDICIÓN FINAL DEL BIOLÓGICO O INSUMO</t>
        </is>
      </c>
      <c r="U889" s="561" t="n"/>
      <c r="V889" s="1254" t="n"/>
      <c r="Y889" s="232" t="n"/>
      <c r="Z889" s="1221" t="inlineStr">
        <is>
          <t>MOTIVOS DE NO USO DE VACUNAS CONTRA LA COVID-19
RESOLUCIÓN 0118 DEL 27 DE ENERO DE 2026
DISPONIBLE EN EL SIGUIENTE LINK: https://www.minsalud.gov.co/Normatividad_Nuevo/Resolucion%20No%20118%20de%202026.pdf</t>
        </is>
      </c>
      <c r="AA889" s="968" t="n"/>
      <c r="AB889" s="968" t="n"/>
      <c r="AC889" s="968" t="n"/>
      <c r="AD889" s="968" t="n"/>
      <c r="AE889" s="968" t="n"/>
      <c r="AF889" s="968" t="n"/>
      <c r="AG889" s="968" t="n"/>
      <c r="AH889" s="968" t="n"/>
      <c r="AI889" s="968" t="n"/>
      <c r="AJ889" s="968" t="n"/>
      <c r="AK889" s="968" t="n"/>
      <c r="AL889" s="967" t="n"/>
      <c r="AM889" s="532" t="inlineStr">
        <is>
          <t xml:space="preserve">TOTAL DOSIS PERDIDAS        </t>
        </is>
      </c>
      <c r="AP889" s="416" t="n"/>
      <c r="AQ889" s="416" t="n"/>
      <c r="AR889" s="416" t="n"/>
      <c r="AS889" s="416" t="n"/>
      <c r="AT889" s="416" t="n"/>
      <c r="AU889" s="1240" t="n"/>
      <c r="AV889" s="1240" t="n"/>
    </row>
    <row r="890" ht="22.5" customHeight="1">
      <c r="A890" s="971" t="n"/>
      <c r="C890" s="972" t="n"/>
      <c r="D890" s="973" t="n"/>
      <c r="E890" s="973" t="n"/>
      <c r="F890" s="552" t="inlineStr">
        <is>
          <t>DOSIS APLICADAS
COLOMBIANOS</t>
        </is>
      </c>
      <c r="G890" s="552" t="inlineStr">
        <is>
          <t>DOSIS APLICADAS EXTRANJEROS</t>
        </is>
      </c>
      <c r="H890" s="973" t="n"/>
      <c r="I890" s="973" t="n"/>
      <c r="J890" s="973" t="n"/>
      <c r="K890" s="973" t="n"/>
      <c r="L890" s="973" t="n"/>
      <c r="M890" s="973" t="n"/>
      <c r="N890" s="973" t="n"/>
      <c r="O890" s="973" t="n"/>
      <c r="P890" s="973" t="n"/>
      <c r="Q890" s="973" t="n"/>
      <c r="R890" s="973" t="n"/>
      <c r="S890" s="973" t="n"/>
      <c r="T890" s="973" t="n"/>
      <c r="Y890" s="232" t="n"/>
      <c r="Z890" s="533" t="n">
        <v>1</v>
      </c>
      <c r="AA890" s="967" t="n"/>
      <c r="AB890" s="533" t="n">
        <v>2</v>
      </c>
      <c r="AC890" s="533" t="n">
        <v>3</v>
      </c>
      <c r="AD890" s="533" t="n">
        <v>4</v>
      </c>
      <c r="AE890" s="533" t="n">
        <v>5</v>
      </c>
      <c r="AF890" s="533" t="n">
        <v>6</v>
      </c>
      <c r="AG890" s="533" t="n">
        <v>7</v>
      </c>
      <c r="AH890" s="533" t="n">
        <v>8</v>
      </c>
      <c r="AI890" s="533" t="n">
        <v>9</v>
      </c>
      <c r="AJ890" s="533" t="n">
        <v>10</v>
      </c>
      <c r="AK890" s="533" t="n">
        <v>11</v>
      </c>
      <c r="AL890" s="533" t="n">
        <v>12</v>
      </c>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inlineStr">
        <is>
          <t>POLÍTICA DE FRASCOS ABIERTO</t>
        </is>
      </c>
      <c r="AA891" s="967" t="n"/>
      <c r="AB891" s="1222" t="inlineStr">
        <is>
          <t>INTERRUPCIÓN DE LA CADENA DE FRÍO</t>
        </is>
      </c>
      <c r="AC891" s="537" t="inlineStr">
        <is>
          <t>CONTAMINACIÓN DEL BIOLÓGICO</t>
        </is>
      </c>
      <c r="AD891" s="1222" t="inlineStr">
        <is>
          <t>ERROR EN LA MANIPULACIÓN</t>
        </is>
      </c>
      <c r="AE891" s="537" t="inlineStr">
        <is>
          <t>ERROR EN LA RECONSTITUCIÓN/DILUCIÓN</t>
        </is>
      </c>
      <c r="AF891" s="1222" t="inlineStr">
        <is>
          <t>ERROR EN LA DOSIFICACIÓN</t>
        </is>
      </c>
      <c r="AG891" s="537" t="inlineStr">
        <is>
          <t>VACUNA QUE EXCEDE EL TIEMPO DE ALMACENAMIENTO EN REFRIGERACIÓN</t>
        </is>
      </c>
      <c r="AH891" s="1222" t="inlineStr">
        <is>
          <t>VENCIMIENTO DEL BIOLÓGICO</t>
        </is>
      </c>
      <c r="AI891" s="537" t="inlineStr">
        <is>
          <t>FRASCO VIAL ROTO</t>
        </is>
      </c>
      <c r="AJ891" s="1222" t="inlineStr">
        <is>
          <t>FALLAS DE FABRICACIÓN/CALIDAD</t>
        </is>
      </c>
      <c r="AK891" s="537" t="inlineStr">
        <is>
          <t>SINIESTRO / ACCIDENTE</t>
        </is>
      </c>
      <c r="AL891" s="1222" t="inlineStr">
        <is>
          <t>ROBO/HURTO BIOLÓGICO</t>
        </is>
      </c>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inlineStr">
        <is>
          <t>INSTITUCIONAL</t>
        </is>
      </c>
      <c r="AA892" s="497" t="inlineStr">
        <is>
          <t>EXTRAMURAL</t>
        </is>
      </c>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inlineStr">
        <is>
          <t>Observación</t>
        </is>
      </c>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UhE81hF0+E0I3v0ejJWPcw==" formatRows="1" sort="1" spinCount="100000" hashValue="rHYENoxqlrd5L/RX/JqZoYNMACVW6A6tHSUdbzgzUJdW7BMf7lv89Jxs9jnVGYE3Beb3Nt0TN7w+5fCiO9tang=="/>
  <mergeCells count="3720">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AC25:AC29"/>
    <mergeCell ref="I133:I138"/>
    <mergeCell ref="B181:C186"/>
    <mergeCell ref="AI352:AI357"/>
    <mergeCell ref="D413:D416"/>
    <mergeCell ref="AL787:AL788"/>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AH11:AH12"/>
    <mergeCell ref="E31:E36"/>
    <mergeCell ref="I435:I440"/>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Z11:AB11"/>
    <mergeCell ref="AG211:AG215"/>
    <mergeCell ref="W742:W748"/>
    <mergeCell ref="AN163:AN167"/>
    <mergeCell ref="D236:D241"/>
    <mergeCell ref="J465:J470"/>
    <mergeCell ref="AV465:AV469"/>
    <mergeCell ref="B507:C512"/>
    <mergeCell ref="Z223:Z227"/>
    <mergeCell ref="D359:D365"/>
    <mergeCell ref="A525:A530"/>
    <mergeCell ref="B778:C778"/>
    <mergeCell ref="I609:I614"/>
    <mergeCell ref="AF230:AF234"/>
    <mergeCell ref="K115:K119"/>
    <mergeCell ref="AF537:AF541"/>
    <mergeCell ref="AC79:AC83"/>
    <mergeCell ref="U9:U12"/>
    <mergeCell ref="AC73:AC77"/>
    <mergeCell ref="J272:J277"/>
    <mergeCell ref="K543:K547"/>
    <mergeCell ref="F652:F657"/>
    <mergeCell ref="K579:K583"/>
    <mergeCell ref="B37:C42"/>
    <mergeCell ref="AA615:AA619"/>
    <mergeCell ref="AK664:AK668"/>
    <mergeCell ref="AH296:AH300"/>
    <mergeCell ref="AH303:AH308"/>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E61:AE65"/>
    <mergeCell ref="AJ441:AJ445"/>
    <mergeCell ref="AF714:AF719"/>
    <mergeCell ref="B121:C126"/>
    <mergeCell ref="E272:E277"/>
    <mergeCell ref="AH676:AH680"/>
    <mergeCell ref="AD543:AD547"/>
    <mergeCell ref="G459:G464"/>
    <mergeCell ref="E735:E741"/>
    <mergeCell ref="D634:D639"/>
    <mergeCell ref="AE519:AE523"/>
    <mergeCell ref="H441:H446"/>
    <mergeCell ref="J199:J204"/>
    <mergeCell ref="B579:C584"/>
    <mergeCell ref="AG11:AG12"/>
    <mergeCell ref="AE891:AE892"/>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I193:I198"/>
    <mergeCell ref="AG296:AG300"/>
    <mergeCell ref="AG303:AG308"/>
    <mergeCell ref="AD804:AD807"/>
    <mergeCell ref="AI489:AI493"/>
    <mergeCell ref="K513:K517"/>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H85:H90"/>
    <mergeCell ref="AC187:AC191"/>
    <mergeCell ref="I175:I180"/>
    <mergeCell ref="AM809:AM812"/>
    <mergeCell ref="AI405:AI408"/>
    <mergeCell ref="AR441:AR445"/>
    <mergeCell ref="AB555:AB559"/>
    <mergeCell ref="H303:H309"/>
    <mergeCell ref="AB549:AB553"/>
    <mergeCell ref="AM97:AM101"/>
    <mergeCell ref="AE721:AE726"/>
    <mergeCell ref="AD749:AD754"/>
    <mergeCell ref="AL423:AL427"/>
    <mergeCell ref="AE591:AE595"/>
    <mergeCell ref="AV447:AV451"/>
    <mergeCell ref="D103:D108"/>
    <mergeCell ref="H507:H512"/>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AA55:AA59"/>
    <mergeCell ref="AT525:AT529"/>
    <mergeCell ref="B782:C782"/>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J284:J289"/>
    <mergeCell ref="K585:K5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K103:AK107"/>
    <mergeCell ref="AA37:AA41"/>
    <mergeCell ref="AL139:AL143"/>
    <mergeCell ref="J749:J755"/>
    <mergeCell ref="AA73:AA77"/>
    <mergeCell ref="AH338:AH343"/>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AI25:AI29"/>
    <mergeCell ref="K211:K215"/>
    <mergeCell ref="B290:C295"/>
    <mergeCell ref="AI181:AI185"/>
    <mergeCell ref="B826:C826"/>
    <mergeCell ref="AW609:AW613"/>
    <mergeCell ref="I278:I283"/>
    <mergeCell ref="AQ441:AQ445"/>
    <mergeCell ref="F531:F536"/>
    <mergeCell ref="AF756:AF761"/>
    <mergeCell ref="B785:C788"/>
    <mergeCell ref="K763:K768"/>
    <mergeCell ref="A187:A192"/>
    <mergeCell ref="AN290:AN294"/>
    <mergeCell ref="AT477:AT481"/>
    <mergeCell ref="AD591:AD595"/>
    <mergeCell ref="AC794:AC797"/>
    <mergeCell ref="B828:C828"/>
    <mergeCell ref="B853:C853"/>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E352:AE357"/>
    <mergeCell ref="E169:E174"/>
    <mergeCell ref="K331:K336"/>
    <mergeCell ref="D501:D506"/>
    <mergeCell ref="I573:I578"/>
    <mergeCell ref="AM603:AM607"/>
    <mergeCell ref="AL664:AL668"/>
    <mergeCell ref="AB390:AB393"/>
    <mergeCell ref="AH787:AH78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Z139:Z143"/>
    <mergeCell ref="G345:G351"/>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565:C565"/>
    <mergeCell ref="Z799:Z802"/>
    <mergeCell ref="B894:C894"/>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AR447:AR451"/>
    <mergeCell ref="D507:D512"/>
    <mergeCell ref="H205:H210"/>
    <mergeCell ref="AK609:AK613"/>
    <mergeCell ref="A682:A687"/>
    <mergeCell ref="R889:R892"/>
    <mergeCell ref="F413:G413"/>
    <mergeCell ref="AA714:AA719"/>
    <mergeCell ref="K278:K282"/>
    <mergeCell ref="H634:H639"/>
    <mergeCell ref="I735:I741"/>
    <mergeCell ref="AF694:AF698"/>
    <mergeCell ref="H31:H36"/>
    <mergeCell ref="AL272:AL27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AN345:AN350"/>
    <mergeCell ref="Z381:AL381"/>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AC248:AC252"/>
    <mergeCell ref="AA175:AA179"/>
    <mergeCell ref="J447:J452"/>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T561:AT565"/>
    <mergeCell ref="AD700:AD704"/>
    <mergeCell ref="AD891:AD892"/>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A109:A114"/>
    <mergeCell ref="H382:H38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Z609:Z613"/>
    <mergeCell ref="B862:C862"/>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W429:AW433"/>
    <mergeCell ref="AL435:AL439"/>
    <mergeCell ref="AG543:AG547"/>
    <mergeCell ref="AG537:AG541"/>
    <mergeCell ref="AA646:AA650"/>
    <mergeCell ref="J459:J464"/>
    <mergeCell ref="A567:A572"/>
    <mergeCell ref="N817:N820"/>
    <mergeCell ref="A561:A566"/>
    <mergeCell ref="K157:K161"/>
    <mergeCell ref="I91:I96"/>
    <mergeCell ref="Z549:Z553"/>
    <mergeCell ref="AF728:AF733"/>
    <mergeCell ref="AK67:AK71"/>
    <mergeCell ref="AN395:AN398"/>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I417:I422"/>
    <mergeCell ref="B781:C781"/>
    <mergeCell ref="I531:I536"/>
    <mergeCell ref="D317:D323"/>
    <mergeCell ref="D187:D192"/>
    <mergeCell ref="AF794:AF797"/>
    <mergeCell ref="D912:G912"/>
    <mergeCell ref="F103:F108"/>
    <mergeCell ref="B571:C571"/>
    <mergeCell ref="AI199:AI203"/>
    <mergeCell ref="J230:J235"/>
    <mergeCell ref="AE395:AE398"/>
    <mergeCell ref="AH561:AH565"/>
    <mergeCell ref="K501:K505"/>
    <mergeCell ref="Z417:Z421"/>
    <mergeCell ref="B871:C871"/>
    <mergeCell ref="Z199:Z203"/>
    <mergeCell ref="J652:J657"/>
    <mergeCell ref="AL85:AL89"/>
    <mergeCell ref="J400:J404"/>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AK133:AK137"/>
    <mergeCell ref="V817:V820"/>
    <mergeCell ref="I799:I803"/>
    <mergeCell ref="B804:C808"/>
    <mergeCell ref="A199:A204"/>
    <mergeCell ref="AV429:AV433"/>
    <mergeCell ref="Z652:Z656"/>
    <mergeCell ref="Z646:Z650"/>
    <mergeCell ref="B145:C150"/>
    <mergeCell ref="AW555:AW559"/>
    <mergeCell ref="AF211:AF215"/>
    <mergeCell ref="AR423:AR427"/>
    <mergeCell ref="Z43:Z47"/>
    <mergeCell ref="A331:A337"/>
    <mergeCell ref="H91:H96"/>
    <mergeCell ref="G513:G518"/>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AK459:AK463"/>
    <mergeCell ref="I519:I524"/>
    <mergeCell ref="AD621:AD625"/>
    <mergeCell ref="B163:C168"/>
    <mergeCell ref="B794:C798"/>
    <mergeCell ref="K242:K246"/>
    <mergeCell ref="Z61:Z65"/>
    <mergeCell ref="K236:K240"/>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D615:D620"/>
    <mergeCell ref="B413:C416"/>
    <mergeCell ref="B395:C399"/>
    <mergeCell ref="Z889:AL889"/>
    <mergeCell ref="B779:C779"/>
    <mergeCell ref="AL181:AL185"/>
    <mergeCell ref="D272:D277"/>
    <mergeCell ref="B543:C548"/>
    <mergeCell ref="AM447:AM451"/>
    <mergeCell ref="Z818:AB818"/>
    <mergeCell ref="AA483:AA487"/>
    <mergeCell ref="AF609:AF613"/>
    <mergeCell ref="K799:K802"/>
    <mergeCell ref="AA694:AA698"/>
    <mergeCell ref="AJ133:AJ137"/>
    <mergeCell ref="AH646:AH650"/>
    <mergeCell ref="H567:H572"/>
    <mergeCell ref="U817:U820"/>
    <mergeCell ref="H561:H566"/>
    <mergeCell ref="B839:C839"/>
    <mergeCell ref="AM573:AM577"/>
    <mergeCell ref="AB471:AB475"/>
    <mergeCell ref="A573:A578"/>
    <mergeCell ref="AB507:AB511"/>
    <mergeCell ref="E429:E434"/>
    <mergeCell ref="J317:J323"/>
    <mergeCell ref="AL163:AL167"/>
    <mergeCell ref="Q381:Q384"/>
    <mergeCell ref="H465:H470"/>
    <mergeCell ref="E97:E102"/>
    <mergeCell ref="AI345:AI350"/>
    <mergeCell ref="B707:C713"/>
    <mergeCell ref="AT465:AT469"/>
    <mergeCell ref="AL199:AL203"/>
    <mergeCell ref="AK531:AK535"/>
    <mergeCell ref="B378:C378"/>
    <mergeCell ref="AD579:AD583"/>
    <mergeCell ref="AK525:AK529"/>
    <mergeCell ref="B115:C120"/>
    <mergeCell ref="AE809:AE812"/>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Z441:Z445"/>
    <mergeCell ref="H489:H494"/>
    <mergeCell ref="AH61:AH65"/>
    <mergeCell ref="AM284:AM288"/>
    <mergeCell ref="A284:A289"/>
    <mergeCell ref="AF331:AF336"/>
    <mergeCell ref="U413:U416"/>
    <mergeCell ref="AJ459:AJ463"/>
    <mergeCell ref="E151:E156"/>
    <mergeCell ref="H193:H198"/>
    <mergeCell ref="AF296:AF300"/>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AK157:AK161"/>
    <mergeCell ref="G385:G389"/>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C67:AC71"/>
    <mergeCell ref="AL278:AL282"/>
    <mergeCell ref="D682:D687"/>
    <mergeCell ref="AH441:AH445"/>
    <mergeCell ref="U889:U892"/>
    <mergeCell ref="AD317:AD322"/>
    <mergeCell ref="AC97:AC101"/>
    <mergeCell ref="AE290:AE294"/>
    <mergeCell ref="K567:K571"/>
    <mergeCell ref="K561:K565"/>
    <mergeCell ref="E459:E464"/>
    <mergeCell ref="AL115:AL119"/>
    <mergeCell ref="J181:J186"/>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E317:E323"/>
    <mergeCell ref="D97:D102"/>
    <mergeCell ref="G465:G470"/>
    <mergeCell ref="AB447:AB451"/>
    <mergeCell ref="AJ531:AJ535"/>
    <mergeCell ref="K714:K719"/>
    <mergeCell ref="K139:K143"/>
    <mergeCell ref="AF248:AF252"/>
    <mergeCell ref="AL477:AL481"/>
    <mergeCell ref="AM567:AM571"/>
    <mergeCell ref="AT435:AT439"/>
    <mergeCell ref="AC537:AC541"/>
    <mergeCell ref="AN331:AN336"/>
    <mergeCell ref="AW585:AW589"/>
    <mergeCell ref="H217:H222"/>
    <mergeCell ref="A707:A713"/>
    <mergeCell ref="J817:J820"/>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AK395:AK398"/>
    <mergeCell ref="B832:C832"/>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Z127:Z131"/>
    <mergeCell ref="AM763:AM768"/>
    <mergeCell ref="H175:H180"/>
    <mergeCell ref="B845:C845"/>
    <mergeCell ref="AJ447:AJ451"/>
    <mergeCell ref="AL205:AL209"/>
    <mergeCell ref="AE682:AE686"/>
    <mergeCell ref="AH405:AH408"/>
    <mergeCell ref="AC609:AC613"/>
    <mergeCell ref="AR531:AR535"/>
    <mergeCell ref="AR525:AR529"/>
    <mergeCell ref="F525:F530"/>
    <mergeCell ref="W423:W428"/>
    <mergeCell ref="AG19:AG23"/>
    <mergeCell ref="Z181:Z185"/>
    <mergeCell ref="AD272:AD276"/>
    <mergeCell ref="AK537:AK541"/>
    <mergeCell ref="AG133:AG137"/>
    <mergeCell ref="AA447:AA451"/>
    <mergeCell ref="R817:R820"/>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K591:K595"/>
    <mergeCell ref="AF891:AF892"/>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AJ97:AJ101"/>
    <mergeCell ref="I465:I470"/>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M477:AM481"/>
    <mergeCell ref="P9:P12"/>
    <mergeCell ref="A477:A482"/>
    <mergeCell ref="K670:K674"/>
    <mergeCell ref="D809:D813"/>
    <mergeCell ref="AM652:AM656"/>
    <mergeCell ref="AL67:AL71"/>
    <mergeCell ref="A79:A84"/>
    <mergeCell ref="E483:E488"/>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AH447:AH451"/>
    <mergeCell ref="B477:C482"/>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L97:AL101"/>
    <mergeCell ref="A317:A323"/>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W465:AW469"/>
    <mergeCell ref="AL345:AL350"/>
    <mergeCell ref="AG579:AG583"/>
    <mergeCell ref="AD405:AD408"/>
    <mergeCell ref="F91:F96"/>
    <mergeCell ref="AN254:AN258"/>
    <mergeCell ref="B375:C375"/>
    <mergeCell ref="AG423:AG427"/>
    <mergeCell ref="K483:K487"/>
    <mergeCell ref="A290:A295"/>
    <mergeCell ref="AI385:AI388"/>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AN157:AN161"/>
    <mergeCell ref="AA272:AA276"/>
    <mergeCell ref="J385:J389"/>
    <mergeCell ref="D555:D560"/>
    <mergeCell ref="AV417:AV421"/>
    <mergeCell ref="AA735:AA740"/>
    <mergeCell ref="AI688:AI692"/>
    <mergeCell ref="AB248:AB252"/>
    <mergeCell ref="Z31:Z35"/>
    <mergeCell ref="H79:H84"/>
    <mergeCell ref="K400:K403"/>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J109:J114"/>
    <mergeCell ref="AH290:AH29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D181:AD185"/>
    <mergeCell ref="AC366:AC371"/>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AB133:AB137"/>
    <mergeCell ref="M817:M820"/>
    <mergeCell ref="AL799:AL802"/>
    <mergeCell ref="J585:J590"/>
    <mergeCell ref="W646:W651"/>
    <mergeCell ref="J382:J384"/>
    <mergeCell ref="F31:F36"/>
    <mergeCell ref="AH310:AH315"/>
    <mergeCell ref="AB477:AB481"/>
    <mergeCell ref="AG236:AG240"/>
    <mergeCell ref="J789:J793"/>
    <mergeCell ref="AI423:AI427"/>
    <mergeCell ref="AD331:AD336"/>
    <mergeCell ref="AN400:AN403"/>
    <mergeCell ref="J193:J198"/>
    <mergeCell ref="S413:S416"/>
    <mergeCell ref="Z352:Z357"/>
    <mergeCell ref="I390:I394"/>
    <mergeCell ref="AI640:AI644"/>
    <mergeCell ref="B531:C536"/>
    <mergeCell ref="AG664:AG668"/>
    <mergeCell ref="AV483:AV487"/>
    <mergeCell ref="AG707:AG712"/>
    <mergeCell ref="T381:T384"/>
    <mergeCell ref="AD507:AD511"/>
    <mergeCell ref="AH205:AH209"/>
    <mergeCell ref="AM714:AM719"/>
    <mergeCell ref="A714:A720"/>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V435:AV439"/>
    <mergeCell ref="AJ477:AJ481"/>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M400:AM403"/>
    <mergeCell ref="A400:A404"/>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D13:D18"/>
    <mergeCell ref="AM115:AM119"/>
    <mergeCell ref="J175:J180"/>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K794:K797"/>
    <mergeCell ref="P413:P416"/>
    <mergeCell ref="T817:T820"/>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AB310:AB315"/>
    <mergeCell ref="J331:J337"/>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AN49:AN53"/>
    <mergeCell ref="I248:I253"/>
    <mergeCell ref="F809:F813"/>
    <mergeCell ref="B835:C835"/>
    <mergeCell ref="B829:C829"/>
    <mergeCell ref="E85:E90"/>
    <mergeCell ref="AA199:AA203"/>
    <mergeCell ref="AN260:AN264"/>
    <mergeCell ref="AK345:AK350"/>
    <mergeCell ref="AV615:AV619"/>
    <mergeCell ref="J615:J620"/>
    <mergeCell ref="F211:F216"/>
    <mergeCell ref="I676:I681"/>
    <mergeCell ref="AG513:AG517"/>
    <mergeCell ref="AH91:AH95"/>
    <mergeCell ref="AM749:AM754"/>
    <mergeCell ref="AK223:AK227"/>
    <mergeCell ref="AA395:AA398"/>
    <mergeCell ref="AS447:AS451"/>
    <mergeCell ref="A621:A626"/>
    <mergeCell ref="AH385:AH388"/>
    <mergeCell ref="F763:F769"/>
    <mergeCell ref="Z254:Z258"/>
    <mergeCell ref="S889:S892"/>
    <mergeCell ref="AA103:AA107"/>
    <mergeCell ref="Z248:Z252"/>
    <mergeCell ref="AB317:AB322"/>
    <mergeCell ref="AM742:AM747"/>
    <mergeCell ref="B830:C830"/>
    <mergeCell ref="D19:D24"/>
    <mergeCell ref="AB441:AB445"/>
    <mergeCell ref="E109:E114"/>
    <mergeCell ref="AC290:AC294"/>
    <mergeCell ref="J43:J48"/>
    <mergeCell ref="Z465:Z469"/>
    <mergeCell ref="AB223:AB227"/>
    <mergeCell ref="J489:J494"/>
    <mergeCell ref="E145:E150"/>
    <mergeCell ref="W413:W416"/>
    <mergeCell ref="K640:K644"/>
    <mergeCell ref="E139:E144"/>
    <mergeCell ref="O785:O788"/>
    <mergeCell ref="J700:J705"/>
    <mergeCell ref="AM615:AM619"/>
    <mergeCell ref="AJ157:AJ161"/>
    <mergeCell ref="AJ151:AJ155"/>
    <mergeCell ref="AM193:AM197"/>
    <mergeCell ref="AA217:AA221"/>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Z151:Z155"/>
    <mergeCell ref="K366:K371"/>
    <mergeCell ref="AA543:AA547"/>
    <mergeCell ref="AR435:AR439"/>
    <mergeCell ref="B193:C198"/>
    <mergeCell ref="AK236:AK240"/>
    <mergeCell ref="AF477:AF481"/>
    <mergeCell ref="A809:A813"/>
    <mergeCell ref="H817:H820"/>
    <mergeCell ref="AR555:AR559"/>
    <mergeCell ref="E585:E590"/>
    <mergeCell ref="AE67:AE71"/>
    <mergeCell ref="AB242:AB246"/>
    <mergeCell ref="AQ789:AQ792"/>
    <mergeCell ref="AJ597:AJ601"/>
    <mergeCell ref="E789:E793"/>
    <mergeCell ref="AD429:AD433"/>
    <mergeCell ref="I109:I114"/>
    <mergeCell ref="W573:W578"/>
    <mergeCell ref="G352:G358"/>
    <mergeCell ref="AI400:AI403"/>
    <mergeCell ref="E193:E198"/>
    <mergeCell ref="N413:N416"/>
    <mergeCell ref="B570:C570"/>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E400:E404"/>
    <mergeCell ref="D585:D590"/>
    <mergeCell ref="AD67:AD71"/>
    <mergeCell ref="AL640:AL644"/>
    <mergeCell ref="G818:G820"/>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M9:AM12"/>
    <mergeCell ref="AD97:AD101"/>
    <mergeCell ref="AI223:AI227"/>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AJ260:AJ264"/>
    <mergeCell ref="B390:C394"/>
    <mergeCell ref="E676:E681"/>
    <mergeCell ref="J804:J808"/>
    <mergeCell ref="AV471:AV475"/>
    <mergeCell ref="J471:J476"/>
    <mergeCell ref="AD91:AD95"/>
    <mergeCell ref="G13:G18"/>
    <mergeCell ref="AK37:AK41"/>
    <mergeCell ref="I324:I330"/>
    <mergeCell ref="AD385:AD388"/>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G151:G156"/>
    <mergeCell ref="AE230:AE234"/>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AN151:AN155"/>
    <mergeCell ref="E489:E494"/>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AM230:AM234"/>
    <mergeCell ref="E61:E66"/>
    <mergeCell ref="H429:H4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D109:D114"/>
    <mergeCell ref="S381:S38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B841:C841"/>
    <mergeCell ref="AK91:AK95"/>
    <mergeCell ref="H573:H578"/>
    <mergeCell ref="B373:C373"/>
    <mergeCell ref="K804:K807"/>
    <mergeCell ref="AM278:AM282"/>
    <mergeCell ref="A278:A283"/>
    <mergeCell ref="G49:G54"/>
    <mergeCell ref="AK385:AK388"/>
    <mergeCell ref="AC254:AC258"/>
    <mergeCell ref="AJ453:AJ457"/>
    <mergeCell ref="K471:K475"/>
    <mergeCell ref="AE317:AE322"/>
    <mergeCell ref="AL809:AL812"/>
    <mergeCell ref="AW603:AW607"/>
    <mergeCell ref="AC465:AC469"/>
    <mergeCell ref="G303:G309"/>
    <mergeCell ref="Z97:Z101"/>
    <mergeCell ref="AE223:AE227"/>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AD242:AD246"/>
    <mergeCell ref="AD217:AD221"/>
    <mergeCell ref="AL519:AL523"/>
    <mergeCell ref="AG585:AG589"/>
    <mergeCell ref="B846:C846"/>
    <mergeCell ref="AH682:AH686"/>
    <mergeCell ref="A609:A614"/>
    <mergeCell ref="AL891:AL892"/>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F223:F228"/>
    <mergeCell ref="K324:K329"/>
    <mergeCell ref="AE345:AE350"/>
    <mergeCell ref="AK567:AK571"/>
    <mergeCell ref="I591:I596"/>
    <mergeCell ref="Z19:Z23"/>
    <mergeCell ref="A640:A645"/>
    <mergeCell ref="AE670:AE674"/>
    <mergeCell ref="AT794:AT797"/>
    <mergeCell ref="AL405:AL408"/>
    <mergeCell ref="H794:H798"/>
    <mergeCell ref="B849:C849"/>
    <mergeCell ref="AB627:AB631"/>
    <mergeCell ref="G395:G399"/>
    <mergeCell ref="AJ799:AJ802"/>
    <mergeCell ref="AL230:AL234"/>
    <mergeCell ref="AM79:AM83"/>
    <mergeCell ref="AV561:AV565"/>
    <mergeCell ref="H585:H590"/>
    <mergeCell ref="G890:G892"/>
    <mergeCell ref="AI73:AI77"/>
    <mergeCell ref="AE242:AE246"/>
    <mergeCell ref="Z477:Z481"/>
    <mergeCell ref="AE236:AE240"/>
    <mergeCell ref="A633:C633"/>
    <mergeCell ref="H789:H793"/>
    <mergeCell ref="K217:K221"/>
    <mergeCell ref="B303:C309"/>
    <mergeCell ref="D25:D30"/>
    <mergeCell ref="AI187:AI191"/>
    <mergeCell ref="B296:C301"/>
    <mergeCell ref="AG429:AG433"/>
    <mergeCell ref="AB331:AB336"/>
    <mergeCell ref="AB85:AB89"/>
    <mergeCell ref="I284:I289"/>
    <mergeCell ref="J133:J138"/>
    <mergeCell ref="J352:J358"/>
    <mergeCell ref="AG770:AG775"/>
    <mergeCell ref="I785:I788"/>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AA133:AA137"/>
    <mergeCell ref="H413:H416"/>
    <mergeCell ref="B860:C860"/>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K175:AK179"/>
    <mergeCell ref="A248:A253"/>
    <mergeCell ref="AQ501:AQ505"/>
    <mergeCell ref="W489:W494"/>
    <mergeCell ref="AL157:AL161"/>
    <mergeCell ref="AC345:AC350"/>
    <mergeCell ref="AF260:AF264"/>
    <mergeCell ref="H700:H705"/>
    <mergeCell ref="F181:F186"/>
    <mergeCell ref="AA459:AA463"/>
    <mergeCell ref="H115:H120"/>
    <mergeCell ref="AC217:AC221"/>
    <mergeCell ref="B317:C323"/>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AS794:AS797"/>
    <mergeCell ref="Z205:Z209"/>
    <mergeCell ref="G794:G798"/>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AT459:AT463"/>
    <mergeCell ref="F519:F524"/>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AS809:AS812"/>
    <mergeCell ref="AJ465:AJ469"/>
    <mergeCell ref="AL223:AL227"/>
    <mergeCell ref="G809:G813"/>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AE266:AE270"/>
    <mergeCell ref="L785:L788"/>
    <mergeCell ref="AB345:AB350"/>
    <mergeCell ref="AE260:AE264"/>
    <mergeCell ref="AM770:AM775"/>
    <mergeCell ref="E181:E186"/>
    <mergeCell ref="B858:C85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G405:G409"/>
    <mergeCell ref="AK603:AK607"/>
    <mergeCell ref="B817:C820"/>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Z310:Z315"/>
    <mergeCell ref="H331:H337"/>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AK324:AK329"/>
    <mergeCell ref="AF11:AF12"/>
    <mergeCell ref="D513:D518"/>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AL13:AL17"/>
    <mergeCell ref="AM49:AM53"/>
    <mergeCell ref="H248:H253"/>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AK676:AK680"/>
    <mergeCell ref="W555:W560"/>
    <mergeCell ref="AK670:AK674"/>
    <mergeCell ref="B260:C265"/>
    <mergeCell ref="B827:C827"/>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M55:AM59"/>
    <mergeCell ref="AB205:AB20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AK13:AK17"/>
    <mergeCell ref="AL49:AL53"/>
    <mergeCell ref="G248:G253"/>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AG809:AG812"/>
    <mergeCell ref="AR603:AR607"/>
    <mergeCell ref="B895:C895"/>
    <mergeCell ref="AB721:AB726"/>
    <mergeCell ref="AM501:AM505"/>
    <mergeCell ref="G272:G277"/>
    <mergeCell ref="AL400:AL403"/>
    <mergeCell ref="B471:C476"/>
    <mergeCell ref="AK615:AK619"/>
    <mergeCell ref="AH157:AH161"/>
    <mergeCell ref="I459:I464"/>
    <mergeCell ref="D115:D120"/>
    <mergeCell ref="AG519:AG523"/>
    <mergeCell ref="A405:A409"/>
    <mergeCell ref="AC682:AC686"/>
    <mergeCell ref="AJ390:AJ393"/>
    <mergeCell ref="AI11:AI12"/>
    <mergeCell ref="J435:J440"/>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G109:G114"/>
    <mergeCell ref="F324:F330"/>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AH223:AH227"/>
    <mergeCell ref="J303:J309"/>
    <mergeCell ref="AC640:AC644"/>
    <mergeCell ref="I525:I530"/>
    <mergeCell ref="AG591:AG595"/>
    <mergeCell ref="J507:J512"/>
    <mergeCell ref="G489:G494"/>
    <mergeCell ref="B109:C114"/>
    <mergeCell ref="AG217:AG221"/>
    <mergeCell ref="D905:G905"/>
    <mergeCell ref="AD417:AD421"/>
    <mergeCell ref="AA49:AA53"/>
    <mergeCell ref="W567:W572"/>
    <mergeCell ref="AL501:AL505"/>
    <mergeCell ref="B564:C564"/>
    <mergeCell ref="AK400:AK403"/>
    <mergeCell ref="AI383:AI384"/>
    <mergeCell ref="AA266:AA270"/>
    <mergeCell ref="AA260:AA264"/>
    <mergeCell ref="H459:H464"/>
    <mergeCell ref="AN109:AN113"/>
    <mergeCell ref="A181:A186"/>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AG603:AG607"/>
    <mergeCell ref="W721:W727"/>
    <mergeCell ref="F817:G817"/>
    <mergeCell ref="AD145:AD149"/>
    <mergeCell ref="G67:G72"/>
    <mergeCell ref="J395:J399"/>
    <mergeCell ref="J429:J434"/>
    <mergeCell ref="G61:G66"/>
    <mergeCell ref="E756:E762"/>
    <mergeCell ref="AM799:AM802"/>
    <mergeCell ref="A799:A803"/>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K405:K408"/>
    <mergeCell ref="F597:F602"/>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B67:C72"/>
    <mergeCell ref="AG324:AG329"/>
    <mergeCell ref="J573:J578"/>
    <mergeCell ref="W640:W645"/>
    <mergeCell ref="E9:G9"/>
    <mergeCell ref="AJ55:AJ59"/>
    <mergeCell ref="I49:I54"/>
    <mergeCell ref="AM385:AM388"/>
    <mergeCell ref="AE254:AE258"/>
    <mergeCell ref="AN61:AN65"/>
    <mergeCell ref="AB97:AB101"/>
    <mergeCell ref="I303:I309"/>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AH199:AH203"/>
    <mergeCell ref="I181:I186"/>
    <mergeCell ref="H381:J381"/>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G352:AG357"/>
    <mergeCell ref="AL471:AL475"/>
    <mergeCell ref="AJ787:AJ788"/>
    <mergeCell ref="AL145:AL149"/>
    <mergeCell ref="A359:A365"/>
    <mergeCell ref="AE483:AE487"/>
    <mergeCell ref="AB115:AB119"/>
    <mergeCell ref="J163:J168"/>
    <mergeCell ref="J794:J798"/>
    <mergeCell ref="AK507:AK511"/>
    <mergeCell ref="AG676:AG680"/>
    <mergeCell ref="B537:C542"/>
    <mergeCell ref="AG670:AG674"/>
    <mergeCell ref="AN405:AN408"/>
    <mergeCell ref="AW441:AW445"/>
    <mergeCell ref="D735:D741"/>
    <mergeCell ref="F67:F72"/>
    <mergeCell ref="I395:I399"/>
    <mergeCell ref="AN230:AN234"/>
    <mergeCell ref="AD519:AD523"/>
    <mergeCell ref="G435:G440"/>
    <mergeCell ref="AA501:AA505"/>
    <mergeCell ref="AK79:AK83"/>
    <mergeCell ref="AK73:AK77"/>
    <mergeCell ref="AG242:AG246"/>
    <mergeCell ref="AQ573:AQ577"/>
    <mergeCell ref="K459:K463"/>
    <mergeCell ref="A266:A271"/>
    <mergeCell ref="F25:F30"/>
    <mergeCell ref="AI429:AI433"/>
    <mergeCell ref="A260:A265"/>
    <mergeCell ref="D603:D608"/>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Z121:Z125"/>
    <mergeCell ref="J242:J247"/>
    <mergeCell ref="B374:C374"/>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AA242:AA246"/>
    <mergeCell ref="H471:H476"/>
    <mergeCell ref="B609:C614"/>
    <mergeCell ref="B847:C847"/>
    <mergeCell ref="E13:E18"/>
    <mergeCell ref="AB385:AB388"/>
    <mergeCell ref="AF352:AF357"/>
    <mergeCell ref="AI787:AI788"/>
    <mergeCell ref="AC809:AC812"/>
    <mergeCell ref="A664:A669"/>
    <mergeCell ref="AK145:AK149"/>
    <mergeCell ref="I728:I734"/>
    <mergeCell ref="K531:K535"/>
    <mergeCell ref="AA115:AA119"/>
    <mergeCell ref="AI501:AI505"/>
    <mergeCell ref="Z447:Z451"/>
    <mergeCell ref="K525:K529"/>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AC405:AC408"/>
    <mergeCell ref="AN199:AN203"/>
    <mergeCell ref="J728:J734"/>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A187:AA191"/>
    <mergeCell ref="AD555:AD559"/>
    <mergeCell ref="AN248:AN252"/>
    <mergeCell ref="AN352:AN357"/>
    <mergeCell ref="AD400:AD403"/>
    <mergeCell ref="AJ579:AJ583"/>
    <mergeCell ref="AK770:AK775"/>
    <mergeCell ref="AV603:AV607"/>
    <mergeCell ref="AS804:AS807"/>
    <mergeCell ref="AB465:AB469"/>
    <mergeCell ref="AD223:AD227"/>
    <mergeCell ref="F303:F309"/>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AG400:AG403"/>
    <mergeCell ref="L413:L416"/>
    <mergeCell ref="AF615:AF619"/>
    <mergeCell ref="AC157:AC161"/>
    <mergeCell ref="AV627:AV631"/>
    <mergeCell ref="J627:J632"/>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AD278:AD282"/>
    <mergeCell ref="B844:C844"/>
    <mergeCell ref="Z145:Z149"/>
    <mergeCell ref="AM756:AM761"/>
    <mergeCell ref="B838:C838"/>
    <mergeCell ref="AK230:AK234"/>
    <mergeCell ref="F429:F434"/>
    <mergeCell ref="D338:D344"/>
    <mergeCell ref="I290:I295"/>
    <mergeCell ref="AJ163:AJ167"/>
    <mergeCell ref="AK441:AK445"/>
    <mergeCell ref="AH73:AH77"/>
    <mergeCell ref="Q413:Q416"/>
    <mergeCell ref="F890:F892"/>
    <mergeCell ref="AC175:AC179"/>
    <mergeCell ref="D157:D162"/>
    <mergeCell ref="AH400:AH403"/>
    <mergeCell ref="A603:A608"/>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G115:G120"/>
    <mergeCell ref="AB217:AB221"/>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C352:AC357"/>
    <mergeCell ref="AH471:AH475"/>
    <mergeCell ref="AA193:AA197"/>
    <mergeCell ref="AF787:AF788"/>
    <mergeCell ref="AJ664:AJ668"/>
    <mergeCell ref="I756:I762"/>
    <mergeCell ref="K597:K601"/>
    <mergeCell ref="H236:H241"/>
    <mergeCell ref="F163:F168"/>
    <mergeCell ref="AI567:AI571"/>
    <mergeCell ref="F794:F798"/>
    <mergeCell ref="AR794:AR797"/>
    <mergeCell ref="AJ405:AJ408"/>
    <mergeCell ref="AS441:AS445"/>
    <mergeCell ref="AQ525:AQ529"/>
    <mergeCell ref="E525:E530"/>
    <mergeCell ref="AM248:AM252"/>
    <mergeCell ref="AL735:AL740"/>
    <mergeCell ref="E395:E399"/>
    <mergeCell ref="AJ230:AJ234"/>
    <mergeCell ref="AT567:AT571"/>
    <mergeCell ref="B874:C874"/>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B700:C705"/>
    <mergeCell ref="AL296:AL300"/>
    <mergeCell ref="D127:D132"/>
    <mergeCell ref="AL303:AL308"/>
    <mergeCell ref="G495:G500"/>
    <mergeCell ref="AN359:AN364"/>
    <mergeCell ref="I688:I693"/>
    <mergeCell ref="Z786:AA786"/>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7:F713"/>
    <mergeCell ref="F700:F705"/>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B352:AB357"/>
    <mergeCell ref="F573:F578"/>
    <mergeCell ref="AE787:AE78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K303:AK308"/>
    <mergeCell ref="AM338:AM343"/>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I169:I174"/>
    <mergeCell ref="AH284:AH288"/>
    <mergeCell ref="AI133:AI137"/>
    <mergeCell ref="Z414:AB414"/>
    <mergeCell ref="H9:J9"/>
    <mergeCell ref="W597:W602"/>
    <mergeCell ref="AD819:AD820"/>
    <mergeCell ref="AN25:AN29"/>
    <mergeCell ref="B338:C344"/>
    <mergeCell ref="AA296:AA300"/>
    <mergeCell ref="AA303:AA308"/>
    <mergeCell ref="D579:D584"/>
    <mergeCell ref="AQ809:AQ812"/>
    <mergeCell ref="AM405:AM408"/>
    <mergeCell ref="AV441:AV445"/>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AC266:AC270"/>
    <mergeCell ref="AB417:AB421"/>
    <mergeCell ref="H714:H720"/>
    <mergeCell ref="J785:J788"/>
    <mergeCell ref="G382:G384"/>
    <mergeCell ref="AJ352:AJ357"/>
    <mergeCell ref="Z400:Z403"/>
    <mergeCell ref="E413:E416"/>
    <mergeCell ref="AJ127:AJ131"/>
    <mergeCell ref="AG390:AG393"/>
    <mergeCell ref="I495:I500"/>
    <mergeCell ref="E664:E669"/>
    <mergeCell ref="D597:D602"/>
    <mergeCell ref="AH483:AH487"/>
    <mergeCell ref="AL415:AL416"/>
    <mergeCell ref="AD359:AD364"/>
    <mergeCell ref="AI609:AI613"/>
    <mergeCell ref="B79:C84"/>
    <mergeCell ref="I67:I72"/>
    <mergeCell ref="G804:G808"/>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391" operator="containsText" dxfId="325" text="VERDE">
      <formula>NOT(ISERROR(SEARCH("VERDE",D229)))</formula>
    </cfRule>
    <cfRule type="containsText" priority="392" operator="containsText" dxfId="324" text="AMARILLO">
      <formula>NOT(ISERROR(SEARCH("AMARILLO",D229)))</formula>
    </cfRule>
    <cfRule type="containsText" priority="393" operator="containsText" dxfId="323" text="ROJO">
      <formula>NOT(ISERROR(SEARCH("ROJO",D229)))</formula>
    </cfRule>
  </conditionalFormatting>
  <conditionalFormatting sqref="D821:D856">
    <cfRule type="cellIs" priority="389" operator="lessThan" dxfId="0" stopIfTrue="1">
      <formula>0</formula>
    </cfRule>
  </conditionalFormatting>
  <conditionalFormatting sqref="D858:D869">
    <cfRule type="cellIs" priority="388" operator="lessThan" dxfId="0" stopIfTrue="1">
      <formula>0</formula>
    </cfRule>
  </conditionalFormatting>
  <conditionalFormatting sqref="D871:D888">
    <cfRule type="cellIs" priority="387" operator="lessThan" dxfId="0" stopIfTrue="1">
      <formula>0</formula>
    </cfRule>
  </conditionalFormatting>
  <conditionalFormatting sqref="D893:D894">
    <cfRule type="cellIs" priority="390" operator="lessThan" dxfId="0" stopIfTrue="1">
      <formula>0</formula>
    </cfRule>
  </conditionalFormatting>
  <conditionalFormatting sqref="D566">
    <cfRule type="cellIs" priority="386" operator="lessThan" dxfId="384" stopIfTrue="1">
      <formula>0</formula>
    </cfRule>
  </conditionalFormatting>
  <conditionalFormatting sqref="D572">
    <cfRule type="cellIs" priority="385" operator="lessThan" dxfId="384" stopIfTrue="1">
      <formula>0</formula>
    </cfRule>
  </conditionalFormatting>
  <conditionalFormatting sqref="D895:D897">
    <cfRule type="cellIs" priority="384" operator="lessThan" dxfId="0" stopIfTrue="1">
      <formula>0</formula>
    </cfRule>
  </conditionalFormatting>
  <conditionalFormatting sqref="E229 P410">
    <cfRule type="containsText" priority="376" operator="containsText" dxfId="325" text="VERDE">
      <formula>NOT(ISERROR(SEARCH("VERDE",E229)))</formula>
    </cfRule>
    <cfRule type="containsText" priority="377" operator="containsText" dxfId="324" text="AMARILLO">
      <formula>NOT(ISERROR(SEARCH("AMARILLO",E229)))</formula>
    </cfRule>
    <cfRule type="containsText" priority="378" operator="containsText" dxfId="323" text="ROJO">
      <formula>NOT(ISERROR(SEARCH("ROJO",E229)))</formula>
    </cfRule>
  </conditionalFormatting>
  <conditionalFormatting sqref="E821:I856">
    <cfRule type="cellIs" priority="253" operator="lessThan" dxfId="0" stopIfTrue="1">
      <formula>0</formula>
    </cfRule>
  </conditionalFormatting>
  <conditionalFormatting sqref="E858:I869">
    <cfRule type="cellIs" priority="252" operator="lessThan" dxfId="0" stopIfTrue="1">
      <formula>0</formula>
    </cfRule>
  </conditionalFormatting>
  <conditionalFormatting sqref="E871:I888">
    <cfRule type="cellIs" priority="251" operator="lessThan" dxfId="0" stopIfTrue="1">
      <formula>0</formula>
    </cfRule>
  </conditionalFormatting>
  <conditionalFormatting sqref="E893:I893 E894:G894 H894:I897">
    <cfRule type="cellIs" priority="369" operator="lessThan" dxfId="0" stopIfTrue="1">
      <formula>0</formula>
    </cfRule>
  </conditionalFormatting>
  <conditionalFormatting sqref="K13:K17">
    <cfRule type="cellIs" priority="379" operator="lessThan" dxfId="0" stopIfTrue="1">
      <formula>0</formula>
    </cfRule>
  </conditionalFormatting>
  <conditionalFormatting sqref="K303:K308 K777:K783">
    <cfRule type="cellIs" priority="365" operator="lessThan" dxfId="0" stopIfTrue="1">
      <formula>0</formula>
    </cfRule>
  </conditionalFormatting>
  <conditionalFormatting sqref="K309">
    <cfRule type="containsText" priority="375" operator="containsText" dxfId="8" text="Falso">
      <formula>NOT(ISERROR(SEARCH("Falso",K309)))</formula>
    </cfRule>
  </conditionalFormatting>
  <conditionalFormatting sqref="K373:K380">
    <cfRule type="cellIs" priority="372" operator="lessThan" dxfId="0" stopIfTrue="1">
      <formula>0</formula>
    </cfRule>
  </conditionalFormatting>
  <conditionalFormatting sqref="K385:K388">
    <cfRule type="cellIs" priority="380" operator="lessThan" dxfId="0" stopIfTrue="1">
      <formula>0</formula>
    </cfRule>
  </conditionalFormatting>
  <conditionalFormatting sqref="K389">
    <cfRule type="containsText" priority="381" operator="containsText" dxfId="8" text="Falso">
      <formula>NOT(ISERROR(SEARCH("Falso",K389)))</formula>
    </cfRule>
  </conditionalFormatting>
  <conditionalFormatting sqref="K394">
    <cfRule type="containsText" priority="371" operator="containsText" dxfId="8" text="Falso">
      <formula>NOT(ISERROR(SEARCH("Falso",K394)))</formula>
    </cfRule>
  </conditionalFormatting>
  <conditionalFormatting sqref="K399 K404 K409">
    <cfRule type="containsText" priority="370" operator="containsText" dxfId="8" text="Falso">
      <formula>NOT(ISERROR(SEARCH("Falso",K399)))</formula>
    </cfRule>
  </conditionalFormatting>
  <conditionalFormatting sqref="K714:K719 K721:K726">
    <cfRule type="cellIs" priority="273" operator="lessThan" dxfId="0" stopIfTrue="1">
      <formula>0</formula>
    </cfRule>
  </conditionalFormatting>
  <conditionalFormatting sqref="K634:K638">
    <cfRule type="cellIs" priority="279" operator="lessThan" dxfId="0" stopIfTrue="1">
      <formula>0</formula>
    </cfRule>
  </conditionalFormatting>
  <conditionalFormatting sqref="K749:K754 K756:K761">
    <cfRule type="cellIs" priority="271" operator="lessThan" dxfId="0" stopIfTrue="1">
      <formula>0</formula>
    </cfRule>
  </conditionalFormatting>
  <conditionalFormatting sqref="K763:K768">
    <cfRule type="cellIs" priority="270" operator="lessThan" dxfId="0" stopIfTrue="1">
      <formula>0</formula>
    </cfRule>
  </conditionalFormatting>
  <conditionalFormatting sqref="K770:K775">
    <cfRule type="cellIs" priority="269" operator="lessThan" dxfId="0" stopIfTrue="1">
      <formula>0</formula>
    </cfRule>
  </conditionalFormatting>
  <conditionalFormatting sqref="K707:K712">
    <cfRule type="cellIs" priority="278" operator="lessThan" dxfId="0" stopIfTrue="1">
      <formula>0</formula>
    </cfRule>
  </conditionalFormatting>
  <conditionalFormatting sqref="K728:K733 K735:K740 K742:K747">
    <cfRule type="cellIs" priority="272" operator="lessThan" dxfId="0" stopIfTrue="1">
      <formula>0</formula>
    </cfRule>
  </conditionalFormatting>
  <conditionalFormatting sqref="K821:K856 M821:O856">
    <cfRule type="cellIs" priority="250" operator="lessThan" dxfId="0" stopIfTrue="1">
      <formula>0</formula>
    </cfRule>
  </conditionalFormatting>
  <conditionalFormatting sqref="K858:K869 M858:N869">
    <cfRule type="cellIs" priority="249" operator="lessThan" dxfId="0" stopIfTrue="1">
      <formula>0</formula>
    </cfRule>
  </conditionalFormatting>
  <conditionalFormatting sqref="K871:K888 M871:N887 M888:O888">
    <cfRule type="cellIs" priority="248" operator="lessThan" dxfId="0" stopIfTrue="1">
      <formula>0</formula>
    </cfRule>
  </conditionalFormatting>
  <conditionalFormatting sqref="K893:K894 M893:N894">
    <cfRule type="cellIs" priority="247" operator="lessThan" dxfId="0" stopIfTrue="1">
      <formula>0</formula>
    </cfRule>
  </conditionalFormatting>
  <conditionalFormatting sqref="P13:P17 P303:P308">
    <cfRule type="containsText" priority="361" operator="containsText" dxfId="131" text="VENCIDO">
      <formula>NOT(ISERROR(SEARCH("VENCIDO",P13)))</formula>
    </cfRule>
    <cfRule type="containsText" priority="362" operator="containsText" dxfId="130" text="VERDE">
      <formula>NOT(ISERROR(SEARCH("VERDE",P13)))</formula>
    </cfRule>
    <cfRule type="containsText" priority="363" operator="containsText" dxfId="129" stopIfTrue="1" text="AMARILLO">
      <formula>NOT(ISERROR(SEARCH("AMARILLO",P13)))</formula>
    </cfRule>
    <cfRule type="containsText" priority="364" operator="containsText" dxfId="128" text="ROJO">
      <formula>NOT(ISERROR(SEARCH("ROJO",P13)))</formula>
    </cfRule>
  </conditionalFormatting>
  <conditionalFormatting sqref="P373:P379">
    <cfRule type="containsText" priority="357" operator="containsText" dxfId="131" text="VENCIDO">
      <formula>NOT(ISERROR(SEARCH("VENCIDO",P373)))</formula>
    </cfRule>
    <cfRule type="containsText" priority="358" operator="containsText" dxfId="130" text="VERDE">
      <formula>NOT(ISERROR(SEARCH("VERDE",P373)))</formula>
    </cfRule>
    <cfRule type="containsText" priority="359" operator="containsText" dxfId="129" stopIfTrue="1" text="AMARILLO">
      <formula>NOT(ISERROR(SEARCH("AMARILLO",P373)))</formula>
    </cfRule>
    <cfRule type="containsText" priority="360" operator="containsText" dxfId="128" text="ROJO">
      <formula>NOT(ISERROR(SEARCH("ROJO",P373)))</formula>
    </cfRule>
  </conditionalFormatting>
  <conditionalFormatting sqref="P385:P388">
    <cfRule type="containsText" priority="353" operator="containsText" dxfId="131" text="VENCIDO">
      <formula>NOT(ISERROR(SEARCH("VENCIDO",P385)))</formula>
    </cfRule>
    <cfRule type="containsText" priority="354" operator="containsText" dxfId="130" text="VERDE">
      <formula>NOT(ISERROR(SEARCH("VERDE",P385)))</formula>
    </cfRule>
    <cfRule type="containsText" priority="355" operator="containsText" dxfId="129" stopIfTrue="1" text="AMARILLO">
      <formula>NOT(ISERROR(SEARCH("AMARILLO",P385)))</formula>
    </cfRule>
    <cfRule type="containsText" priority="356" operator="containsText" dxfId="128" text="ROJO">
      <formula>NOT(ISERROR(SEARCH("ROJO",P385)))</formula>
    </cfRule>
  </conditionalFormatting>
  <conditionalFormatting sqref="P417:P421">
    <cfRule type="containsText" priority="346" operator="containsText" dxfId="131" text="VENCIDO">
      <formula>NOT(ISERROR(SEARCH("VENCIDO",P417)))</formula>
    </cfRule>
    <cfRule type="containsText" priority="347" operator="containsText" dxfId="130" text="VERDE">
      <formula>NOT(ISERROR(SEARCH("VERDE",P417)))</formula>
    </cfRule>
    <cfRule type="containsText" priority="348" operator="containsText" dxfId="129" stopIfTrue="1" text="AMARILLO">
      <formula>NOT(ISERROR(SEARCH("AMARILLO",P417)))</formula>
    </cfRule>
    <cfRule type="containsText" priority="349" operator="containsText" dxfId="128" text="ROJO">
      <formula>NOT(ISERROR(SEARCH("ROJO",P417)))</formula>
    </cfRule>
  </conditionalFormatting>
  <conditionalFormatting sqref="P561:P565">
    <cfRule type="containsText" priority="342" operator="containsText" dxfId="131" text="VENCIDO">
      <formula>NOT(ISERROR(SEARCH("VENCIDO",P561)))</formula>
    </cfRule>
    <cfRule type="containsText" priority="343" operator="containsText" dxfId="130" text="VERDE">
      <formula>NOT(ISERROR(SEARCH("VERDE",P561)))</formula>
    </cfRule>
    <cfRule type="containsText" priority="344" operator="containsText" dxfId="129" stopIfTrue="1" text="AMARILLO">
      <formula>NOT(ISERROR(SEARCH("AMARILLO",P561)))</formula>
    </cfRule>
    <cfRule type="containsText" priority="345" operator="containsText" dxfId="128" text="ROJO">
      <formula>NOT(ISERROR(SEARCH("ROJO",P561)))</formula>
    </cfRule>
  </conditionalFormatting>
  <conditionalFormatting sqref="P707:P712">
    <cfRule type="containsText" priority="274" operator="containsText" dxfId="131" text="VENCIDO">
      <formula>NOT(ISERROR(SEARCH("VENCIDO",P707)))</formula>
    </cfRule>
    <cfRule type="containsText" priority="275" operator="containsText" dxfId="130" text="VERDE">
      <formula>NOT(ISERROR(SEARCH("VERDE",P707)))</formula>
    </cfRule>
    <cfRule type="containsText" priority="276" operator="containsText" dxfId="129" stopIfTrue="1" text="AMARILLO">
      <formula>NOT(ISERROR(SEARCH("AMARILLO",P707)))</formula>
    </cfRule>
    <cfRule type="containsText" priority="277" operator="containsText" dxfId="128" text="ROJO">
      <formula>NOT(ISERROR(SEARCH("ROJO",P707)))</formula>
    </cfRule>
  </conditionalFormatting>
  <conditionalFormatting sqref="P777:P783">
    <cfRule type="containsText" priority="265" operator="containsText" dxfId="131" text="VENCIDO">
      <formula>NOT(ISERROR(SEARCH("VENCIDO",P777)))</formula>
    </cfRule>
    <cfRule type="containsText" priority="266" operator="containsText" dxfId="130" text="VERDE">
      <formula>NOT(ISERROR(SEARCH("VERDE",P777)))</formula>
    </cfRule>
    <cfRule type="containsText" priority="267" operator="containsText" dxfId="129" stopIfTrue="1" text="AMARILLO">
      <formula>NOT(ISERROR(SEARCH("AMARILLO",P777)))</formula>
    </cfRule>
    <cfRule type="containsText" priority="268" operator="containsText" dxfId="128" text="ROJO">
      <formula>NOT(ISERROR(SEARCH("ROJO",P777)))</formula>
    </cfRule>
  </conditionalFormatting>
  <conditionalFormatting sqref="Q833:Q848">
    <cfRule type="containsText" priority="259" operator="containsText" dxfId="325" text="VERDE">
      <formula>NOT(ISERROR(SEARCH("VERDE",Q833)))</formula>
    </cfRule>
    <cfRule type="containsText" priority="260" operator="containsText" dxfId="324" text="AMARILLO">
      <formula>NOT(ISERROR(SEARCH("AMARILLO",Q833)))</formula>
    </cfRule>
    <cfRule type="containsText" priority="261" operator="containsText" dxfId="323" text="ROJO">
      <formula>NOT(ISERROR(SEARCH("ROJO",Q833)))</formula>
    </cfRule>
  </conditionalFormatting>
  <conditionalFormatting sqref="Q821:R832">
    <cfRule type="containsText" priority="350" operator="containsText" dxfId="325" text="VERDE">
      <formula>NOT(ISERROR(SEARCH("VERDE",Q821)))</formula>
    </cfRule>
    <cfRule type="containsText" priority="351" operator="containsText" dxfId="324" text="AMARILLO">
      <formula>NOT(ISERROR(SEARCH("AMARILLO",Q821)))</formula>
    </cfRule>
    <cfRule type="containsText" priority="352" operator="containsText" dxfId="323" text="ROJO">
      <formula>NOT(ISERROR(SEARCH("ROJO",Q821)))</formula>
    </cfRule>
  </conditionalFormatting>
  <conditionalFormatting sqref="AO821:AO827 AO838:AO860 AO868:AO871 AO873 AO875:AO887">
    <cfRule type="expression" priority="366" dxfId="314">
      <formula>$AO821&lt;&gt;#REF!</formula>
    </cfRule>
  </conditionalFormatting>
  <conditionalFormatting sqref="AO828:AO835">
    <cfRule type="expression" priority="382" dxfId="314">
      <formula>$AO828&lt;&gt;#REF!</formula>
    </cfRule>
  </conditionalFormatting>
  <conditionalFormatting sqref="AO836:AO837">
    <cfRule type="expression" priority="264" dxfId="314">
      <formula>$AO836&lt;&gt;#REF!</formula>
    </cfRule>
  </conditionalFormatting>
  <conditionalFormatting sqref="AO861">
    <cfRule type="expression" priority="258" dxfId="314">
      <formula>$AO861&lt;&gt;#REF!</formula>
    </cfRule>
  </conditionalFormatting>
  <conditionalFormatting sqref="AO862:AO866">
    <cfRule type="expression" priority="257" dxfId="314">
      <formula>$AO862&lt;&gt;#REF!</formula>
    </cfRule>
  </conditionalFormatting>
  <conditionalFormatting sqref="AO867">
    <cfRule type="expression" priority="256" dxfId="314">
      <formula>$AO867&lt;&gt;#REF!</formula>
    </cfRule>
  </conditionalFormatting>
  <conditionalFormatting sqref="AO872">
    <cfRule type="expression" priority="255" dxfId="314">
      <formula>$AO872&lt;&gt;#REF!</formula>
    </cfRule>
  </conditionalFormatting>
  <conditionalFormatting sqref="AO874">
    <cfRule type="expression" priority="254" dxfId="314">
      <formula>$AO874&lt;&gt;#REF!</formula>
    </cfRule>
  </conditionalFormatting>
  <conditionalFormatting sqref="AO888">
    <cfRule type="expression" priority="383" dxfId="314">
      <formula>$AO888&lt;&gt;$L888</formula>
    </cfRule>
  </conditionalFormatting>
  <conditionalFormatting sqref="AS417">
    <cfRule type="cellIs" priority="368" operator="greaterThan" dxfId="8">
      <formula>1</formula>
    </cfRule>
  </conditionalFormatting>
  <conditionalFormatting sqref="AS423">
    <cfRule type="cellIs" priority="341" operator="greaterThan" dxfId="8">
      <formula>1</formula>
    </cfRule>
  </conditionalFormatting>
  <conditionalFormatting sqref="AS429">
    <cfRule type="cellIs" priority="339" operator="greaterThan" dxfId="8">
      <formula>1</formula>
    </cfRule>
  </conditionalFormatting>
  <conditionalFormatting sqref="AS435">
    <cfRule type="cellIs" priority="337" operator="greaterThan" dxfId="8">
      <formula>1</formula>
    </cfRule>
  </conditionalFormatting>
  <conditionalFormatting sqref="AS441">
    <cfRule type="cellIs" priority="335" operator="greaterThan" dxfId="8">
      <formula>1</formula>
    </cfRule>
  </conditionalFormatting>
  <conditionalFormatting sqref="AS447">
    <cfRule type="cellIs" priority="333" operator="greaterThan" dxfId="8">
      <formula>1</formula>
    </cfRule>
  </conditionalFormatting>
  <conditionalFormatting sqref="AS453">
    <cfRule type="cellIs" priority="331" operator="greaterThan" dxfId="8">
      <formula>1</formula>
    </cfRule>
  </conditionalFormatting>
  <conditionalFormatting sqref="AS459">
    <cfRule type="cellIs" priority="329" operator="greaterThan" dxfId="8">
      <formula>1</formula>
    </cfRule>
  </conditionalFormatting>
  <conditionalFormatting sqref="AS465">
    <cfRule type="cellIs" priority="327" operator="greaterThan" dxfId="8">
      <formula>1</formula>
    </cfRule>
  </conditionalFormatting>
  <conditionalFormatting sqref="AS471">
    <cfRule type="cellIs" priority="325" operator="greaterThan" dxfId="8">
      <formula>1</formula>
    </cfRule>
  </conditionalFormatting>
  <conditionalFormatting sqref="AS477">
    <cfRule type="cellIs" priority="323" operator="greaterThan" dxfId="8">
      <formula>1</formula>
    </cfRule>
  </conditionalFormatting>
  <conditionalFormatting sqref="AS483">
    <cfRule type="cellIs" priority="321" operator="greaterThan" dxfId="8">
      <formula>1</formula>
    </cfRule>
  </conditionalFormatting>
  <conditionalFormatting sqref="AS489">
    <cfRule type="cellIs" priority="319" operator="greaterThan" dxfId="8">
      <formula>1</formula>
    </cfRule>
  </conditionalFormatting>
  <conditionalFormatting sqref="AS495">
    <cfRule type="cellIs" priority="317" operator="greaterThan" dxfId="8">
      <formula>1</formula>
    </cfRule>
  </conditionalFormatting>
  <conditionalFormatting sqref="AS501">
    <cfRule type="cellIs" priority="315" operator="greaterThan" dxfId="8">
      <formula>1</formula>
    </cfRule>
  </conditionalFormatting>
  <conditionalFormatting sqref="AS507">
    <cfRule type="cellIs" priority="313" operator="greaterThan" dxfId="8">
      <formula>1</formula>
    </cfRule>
  </conditionalFormatting>
  <conditionalFormatting sqref="AS513">
    <cfRule type="cellIs" priority="311" operator="greaterThan" dxfId="8">
      <formula>1</formula>
    </cfRule>
  </conditionalFormatting>
  <conditionalFormatting sqref="AS519">
    <cfRule type="cellIs" priority="309" operator="greaterThan" dxfId="8">
      <formula>1</formula>
    </cfRule>
  </conditionalFormatting>
  <conditionalFormatting sqref="AS525">
    <cfRule type="cellIs" priority="307" operator="greaterThan" dxfId="8">
      <formula>1</formula>
    </cfRule>
  </conditionalFormatting>
  <conditionalFormatting sqref="AS531">
    <cfRule type="cellIs" priority="305" operator="greaterThan" dxfId="8">
      <formula>1</formula>
    </cfRule>
  </conditionalFormatting>
  <conditionalFormatting sqref="AS537">
    <cfRule type="cellIs" priority="303" operator="greaterThan" dxfId="8">
      <formula>1</formula>
    </cfRule>
  </conditionalFormatting>
  <conditionalFormatting sqref="AS543">
    <cfRule type="cellIs" priority="301" operator="greaterThan" dxfId="8">
      <formula>1</formula>
    </cfRule>
  </conditionalFormatting>
  <conditionalFormatting sqref="AS549">
    <cfRule type="cellIs" priority="299" operator="greaterThan" dxfId="8">
      <formula>1</formula>
    </cfRule>
  </conditionalFormatting>
  <conditionalFormatting sqref="AS555">
    <cfRule type="cellIs" priority="297" operator="greaterThan" dxfId="8">
      <formula>1</formula>
    </cfRule>
  </conditionalFormatting>
  <conditionalFormatting sqref="AS561">
    <cfRule type="cellIs" priority="295" operator="greaterThan" dxfId="8">
      <formula>1</formula>
    </cfRule>
  </conditionalFormatting>
  <conditionalFormatting sqref="AS567">
    <cfRule type="cellIs" priority="293" operator="greaterThan" dxfId="8">
      <formula>1</formula>
    </cfRule>
  </conditionalFormatting>
  <conditionalFormatting sqref="AS573">
    <cfRule type="cellIs" priority="288" operator="greaterThan" dxfId="8">
      <formula>1</formula>
    </cfRule>
  </conditionalFormatting>
  <conditionalFormatting sqref="AS579">
    <cfRule type="cellIs" priority="290" operator="greaterThan" dxfId="8">
      <formula>1</formula>
    </cfRule>
  </conditionalFormatting>
  <conditionalFormatting sqref="AS585">
    <cfRule type="cellIs" priority="287" operator="greaterThan" dxfId="8">
      <formula>1</formula>
    </cfRule>
  </conditionalFormatting>
  <conditionalFormatting sqref="AS591">
    <cfRule type="cellIs" priority="285" operator="greaterThan" dxfId="8">
      <formula>1</formula>
    </cfRule>
  </conditionalFormatting>
  <conditionalFormatting sqref="AS597 AS603">
    <cfRule type="cellIs" priority="283" operator="greaterThan" dxfId="8">
      <formula>1</formula>
    </cfRule>
  </conditionalFormatting>
  <conditionalFormatting sqref="AS609 AS615 AS621 AS627">
    <cfRule type="cellIs" priority="281" operator="greaterThan" dxfId="8">
      <formula>1</formula>
    </cfRule>
  </conditionalFormatting>
  <conditionalFormatting sqref="AS780:AS787">
    <cfRule type="cellIs" priority="374" operator="greaterThan" dxfId="8">
      <formula>1</formula>
    </cfRule>
  </conditionalFormatting>
  <conditionalFormatting sqref="AS821:AS856">
    <cfRule type="cellIs" priority="263" operator="greaterThan" dxfId="8">
      <formula>1</formula>
    </cfRule>
  </conditionalFormatting>
  <conditionalFormatting sqref="AT417">
    <cfRule type="cellIs" priority="367" operator="greaterThan" dxfId="121">
      <formula>1</formula>
    </cfRule>
  </conditionalFormatting>
  <conditionalFormatting sqref="AT423">
    <cfRule type="cellIs" priority="340" operator="greaterThan" dxfId="121">
      <formula>1</formula>
    </cfRule>
  </conditionalFormatting>
  <conditionalFormatting sqref="AT429">
    <cfRule type="cellIs" priority="338" operator="greaterThan" dxfId="121">
      <formula>1</formula>
    </cfRule>
  </conditionalFormatting>
  <conditionalFormatting sqref="AT435">
    <cfRule type="cellIs" priority="336" operator="greaterThan" dxfId="121">
      <formula>1</formula>
    </cfRule>
  </conditionalFormatting>
  <conditionalFormatting sqref="AT441">
    <cfRule type="cellIs" priority="334" operator="greaterThan" dxfId="121">
      <formula>1</formula>
    </cfRule>
  </conditionalFormatting>
  <conditionalFormatting sqref="AT447">
    <cfRule type="cellIs" priority="332" operator="greaterThan" dxfId="121">
      <formula>1</formula>
    </cfRule>
  </conditionalFormatting>
  <conditionalFormatting sqref="AT453">
    <cfRule type="cellIs" priority="330" operator="greaterThan" dxfId="121">
      <formula>1</formula>
    </cfRule>
  </conditionalFormatting>
  <conditionalFormatting sqref="AT459">
    <cfRule type="cellIs" priority="328" operator="greaterThan" dxfId="121">
      <formula>1</formula>
    </cfRule>
  </conditionalFormatting>
  <conditionalFormatting sqref="AT465">
    <cfRule type="cellIs" priority="326" operator="greaterThan" dxfId="121">
      <formula>1</formula>
    </cfRule>
  </conditionalFormatting>
  <conditionalFormatting sqref="AT471">
    <cfRule type="cellIs" priority="324" operator="greaterThan" dxfId="121">
      <formula>1</formula>
    </cfRule>
  </conditionalFormatting>
  <conditionalFormatting sqref="AT477">
    <cfRule type="cellIs" priority="322" operator="greaterThan" dxfId="121">
      <formula>1</formula>
    </cfRule>
  </conditionalFormatting>
  <conditionalFormatting sqref="AT483">
    <cfRule type="cellIs" priority="320" operator="greaterThan" dxfId="121">
      <formula>1</formula>
    </cfRule>
  </conditionalFormatting>
  <conditionalFormatting sqref="AT489">
    <cfRule type="cellIs" priority="318" operator="greaterThan" dxfId="121">
      <formula>1</formula>
    </cfRule>
  </conditionalFormatting>
  <conditionalFormatting sqref="AT495">
    <cfRule type="cellIs" priority="316" operator="greaterThan" dxfId="121">
      <formula>1</formula>
    </cfRule>
  </conditionalFormatting>
  <conditionalFormatting sqref="AT501">
    <cfRule type="cellIs" priority="314" operator="greaterThan" dxfId="121">
      <formula>1</formula>
    </cfRule>
  </conditionalFormatting>
  <conditionalFormatting sqref="AT507">
    <cfRule type="cellIs" priority="312" operator="greaterThan" dxfId="121">
      <formula>1</formula>
    </cfRule>
  </conditionalFormatting>
  <conditionalFormatting sqref="AT513">
    <cfRule type="cellIs" priority="310" operator="greaterThan" dxfId="121">
      <formula>1</formula>
    </cfRule>
  </conditionalFormatting>
  <conditionalFormatting sqref="AT519">
    <cfRule type="cellIs" priority="308" operator="greaterThan" dxfId="121">
      <formula>1</formula>
    </cfRule>
  </conditionalFormatting>
  <conditionalFormatting sqref="AT525">
    <cfRule type="cellIs" priority="306" operator="greaterThan" dxfId="121">
      <formula>1</formula>
    </cfRule>
  </conditionalFormatting>
  <conditionalFormatting sqref="AT531">
    <cfRule type="cellIs" priority="304" operator="greaterThan" dxfId="121">
      <formula>1</formula>
    </cfRule>
  </conditionalFormatting>
  <conditionalFormatting sqref="AT537">
    <cfRule type="cellIs" priority="302" operator="greaterThan" dxfId="121">
      <formula>1</formula>
    </cfRule>
  </conditionalFormatting>
  <conditionalFormatting sqref="AT543">
    <cfRule type="cellIs" priority="300" operator="greaterThan" dxfId="121">
      <formula>1</formula>
    </cfRule>
  </conditionalFormatting>
  <conditionalFormatting sqref="AT549">
    <cfRule type="cellIs" priority="298" operator="greaterThan" dxfId="121">
      <formula>1</formula>
    </cfRule>
  </conditionalFormatting>
  <conditionalFormatting sqref="AT555">
    <cfRule type="cellIs" priority="296" operator="greaterThan" dxfId="121">
      <formula>1</formula>
    </cfRule>
  </conditionalFormatting>
  <conditionalFormatting sqref="AT561">
    <cfRule type="cellIs" priority="294" operator="greaterThan" dxfId="121">
      <formula>1</formula>
    </cfRule>
  </conditionalFormatting>
  <conditionalFormatting sqref="AT567">
    <cfRule type="cellIs" priority="292" operator="greaterThan" dxfId="121">
      <formula>1</formula>
    </cfRule>
  </conditionalFormatting>
  <conditionalFormatting sqref="AT573">
    <cfRule type="cellIs" priority="291" operator="greaterThan" dxfId="121">
      <formula>1</formula>
    </cfRule>
  </conditionalFormatting>
  <conditionalFormatting sqref="AT579">
    <cfRule type="cellIs" priority="289" operator="greaterThan" dxfId="121">
      <formula>1</formula>
    </cfRule>
  </conditionalFormatting>
  <conditionalFormatting sqref="AT585">
    <cfRule type="cellIs" priority="286" operator="greaterThan" dxfId="121">
      <formula>1</formula>
    </cfRule>
  </conditionalFormatting>
  <conditionalFormatting sqref="AT591">
    <cfRule type="cellIs" priority="284" operator="greaterThan" dxfId="121">
      <formula>1</formula>
    </cfRule>
  </conditionalFormatting>
  <conditionalFormatting sqref="AT597 AT603">
    <cfRule type="cellIs" priority="282" operator="greaterThan" dxfId="121">
      <formula>1</formula>
    </cfRule>
  </conditionalFormatting>
  <conditionalFormatting sqref="AT609 AT615 AT621 AT627">
    <cfRule type="cellIs" priority="280" operator="greaterThan" dxfId="121">
      <formula>1</formula>
    </cfRule>
  </conditionalFormatting>
  <conditionalFormatting sqref="AT780:AT787">
    <cfRule type="cellIs" priority="373" operator="greaterThan" dxfId="121">
      <formula>1</formula>
    </cfRule>
  </conditionalFormatting>
  <conditionalFormatting sqref="AT821:AT856">
    <cfRule type="cellIs" priority="262" operator="greaterThan" dxfId="121">
      <formula>1</formula>
    </cfRule>
  </conditionalFormatting>
  <conditionalFormatting sqref="K561:K565">
    <cfRule type="cellIs" priority="246" operator="lessThan" dxfId="0" stopIfTrue="1">
      <formula>0</formula>
    </cfRule>
  </conditionalFormatting>
  <conditionalFormatting sqref="K417:K421">
    <cfRule type="cellIs" priority="245" operator="lessThan" dxfId="0" stopIfTrue="1">
      <formula>0</formula>
    </cfRule>
  </conditionalFormatting>
  <conditionalFormatting sqref="K405:K408">
    <cfRule type="cellIs" priority="244" operator="lessThan" dxfId="0" stopIfTrue="1">
      <formula>0</formula>
    </cfRule>
  </conditionalFormatting>
  <conditionalFormatting sqref="K395:K398">
    <cfRule type="cellIs" priority="243" operator="lessThan" dxfId="0" stopIfTrue="1">
      <formula>0</formula>
    </cfRule>
  </conditionalFormatting>
  <conditionalFormatting sqref="K400:K403">
    <cfRule type="cellIs" priority="242" operator="lessThan" dxfId="0" stopIfTrue="1">
      <formula>0</formula>
    </cfRule>
  </conditionalFormatting>
  <conditionalFormatting sqref="K390:K393">
    <cfRule type="cellIs" priority="241" operator="lessThan" dxfId="0" stopIfTrue="1">
      <formula>0</formula>
    </cfRule>
  </conditionalFormatting>
  <conditionalFormatting sqref="P390:P393">
    <cfRule type="containsText" priority="237" operator="containsText" dxfId="131" text="VENCIDO">
      <formula>NOT(ISERROR(SEARCH("VENCIDO",P390)))</formula>
    </cfRule>
    <cfRule type="containsText" priority="238" operator="containsText" dxfId="130" text="VERDE">
      <formula>NOT(ISERROR(SEARCH("VERDE",P390)))</formula>
    </cfRule>
    <cfRule type="containsText" priority="239" operator="containsText" dxfId="129" stopIfTrue="1" text="AMARILLO">
      <formula>NOT(ISERROR(SEARCH("AMARILLO",P390)))</formula>
    </cfRule>
    <cfRule type="containsText" priority="240" operator="containsText" dxfId="128" text="ROJO">
      <formula>NOT(ISERROR(SEARCH("ROJO",P390)))</formula>
    </cfRule>
  </conditionalFormatting>
  <conditionalFormatting sqref="P395:P398">
    <cfRule type="containsText" priority="233" operator="containsText" dxfId="131" text="VENCIDO">
      <formula>NOT(ISERROR(SEARCH("VENCIDO",P395)))</formula>
    </cfRule>
    <cfRule type="containsText" priority="234" operator="containsText" dxfId="130" text="VERDE">
      <formula>NOT(ISERROR(SEARCH("VERDE",P395)))</formula>
    </cfRule>
    <cfRule type="containsText" priority="235" operator="containsText" dxfId="129" stopIfTrue="1" text="AMARILLO">
      <formula>NOT(ISERROR(SEARCH("AMARILLO",P395)))</formula>
    </cfRule>
    <cfRule type="containsText" priority="236" operator="containsText" dxfId="128" text="ROJO">
      <formula>NOT(ISERROR(SEARCH("ROJO",P395)))</formula>
    </cfRule>
  </conditionalFormatting>
  <conditionalFormatting sqref="P400:P403">
    <cfRule type="containsText" priority="229" operator="containsText" dxfId="131" text="VENCIDO">
      <formula>NOT(ISERROR(SEARCH("VENCIDO",P400)))</formula>
    </cfRule>
    <cfRule type="containsText" priority="230" operator="containsText" dxfId="130" text="VERDE">
      <formula>NOT(ISERROR(SEARCH("VERDE",P400)))</formula>
    </cfRule>
    <cfRule type="containsText" priority="231" operator="containsText" dxfId="129" stopIfTrue="1" text="AMARILLO">
      <formula>NOT(ISERROR(SEARCH("AMARILLO",P400)))</formula>
    </cfRule>
    <cfRule type="containsText" priority="232" operator="containsText" dxfId="128" text="ROJO">
      <formula>NOT(ISERROR(SEARCH("ROJO",P400)))</formula>
    </cfRule>
  </conditionalFormatting>
  <conditionalFormatting sqref="P405:P408">
    <cfRule type="containsText" priority="225" operator="containsText" dxfId="131" text="VENCIDO">
      <formula>NOT(ISERROR(SEARCH("VENCIDO",P405)))</formula>
    </cfRule>
    <cfRule type="containsText" priority="226" operator="containsText" dxfId="130" text="VERDE">
      <formula>NOT(ISERROR(SEARCH("VERDE",P405)))</formula>
    </cfRule>
    <cfRule type="containsText" priority="227" operator="containsText" dxfId="129" stopIfTrue="1" text="AMARILLO">
      <formula>NOT(ISERROR(SEARCH("AMARILLO",P405)))</formula>
    </cfRule>
    <cfRule type="containsText" priority="228" operator="containsText" dxfId="128" text="ROJO">
      <formula>NOT(ISERROR(SEARCH("ROJO",P405)))</formula>
    </cfRule>
  </conditionalFormatting>
  <conditionalFormatting sqref="K640:K644 K646:K650 K652:K656 K658:K662 K664:K668 K670:K674 K676:K680 K682:K686 K688:K692 K694:K698 K700:K704">
    <cfRule type="cellIs" priority="181"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24"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20" operator="containsText" dxfId="131" text="VENCIDO">
      <formula>NOT(ISERROR(SEARCH("VENCIDO",P19)))</formula>
    </cfRule>
    <cfRule type="containsText" priority="221" operator="containsText" dxfId="130" text="VERDE">
      <formula>NOT(ISERROR(SEARCH("VERDE",P19)))</formula>
    </cfRule>
    <cfRule type="containsText" priority="222" operator="containsText" dxfId="129" stopIfTrue="1" text="AMARILLO">
      <formula>NOT(ISERROR(SEARCH("AMARILLO",P19)))</formula>
    </cfRule>
    <cfRule type="containsText" priority="223" operator="containsText" dxfId="128" text="ROJO">
      <formula>NOT(ISERROR(SEARCH("ROJO",P19)))</formula>
    </cfRule>
  </conditionalFormatting>
  <conditionalFormatting sqref="K230:K234 K236:K240 K242:K246 K248:K252 K254:K258 K260:K264 K266:K270 K272:K276 K278:K282 K284:K288 K290:K294 K296:K300">
    <cfRule type="cellIs" priority="219" operator="lessThan" dxfId="0" stopIfTrue="1">
      <formula>0</formula>
    </cfRule>
  </conditionalFormatting>
  <conditionalFormatting sqref="P230:P234 P236:P240 P242:P246 P248:P252 P254:P258 P260:P264 P266:P270 P272:P276 P278:P282 P284:P288 P290:P294 P296:P300">
    <cfRule type="containsText" priority="215" operator="containsText" dxfId="131" text="VENCIDO">
      <formula>NOT(ISERROR(SEARCH("VENCIDO",P230)))</formula>
    </cfRule>
    <cfRule type="containsText" priority="216" operator="containsText" dxfId="130" text="VERDE">
      <formula>NOT(ISERROR(SEARCH("VERDE",P230)))</formula>
    </cfRule>
    <cfRule type="containsText" priority="217" operator="containsText" dxfId="129" stopIfTrue="1" text="AMARILLO">
      <formula>NOT(ISERROR(SEARCH("AMARILLO",P230)))</formula>
    </cfRule>
    <cfRule type="containsText" priority="218" operator="containsText" dxfId="128" text="ROJO">
      <formula>NOT(ISERROR(SEARCH("ROJO",P230)))</formula>
    </cfRule>
  </conditionalFormatting>
  <conditionalFormatting sqref="K316 K323 K330 K337 K344 K351 K358 K365 K372">
    <cfRule type="containsText" priority="214" operator="containsText" dxfId="8" text="Falso">
      <formula>NOT(ISERROR(SEARCH("Falso",K316)))</formula>
    </cfRule>
  </conditionalFormatting>
  <conditionalFormatting sqref="P310:P315 P317:P322 P324:P329 P331:P336 P338:P343 P345:P350 P352:P357 P359:P364 P366:P371">
    <cfRule type="containsText" priority="210" operator="containsText" dxfId="131" text="VENCIDO">
      <formula>NOT(ISERROR(SEARCH("VENCIDO",P310)))</formula>
    </cfRule>
    <cfRule type="containsText" priority="211" operator="containsText" dxfId="130" text="VERDE">
      <formula>NOT(ISERROR(SEARCH("VERDE",P310)))</formula>
    </cfRule>
    <cfRule type="containsText" priority="212" operator="containsText" dxfId="129" stopIfTrue="1" text="AMARILLO">
      <formula>NOT(ISERROR(SEARCH("AMARILLO",P310)))</formula>
    </cfRule>
    <cfRule type="containsText" priority="213" operator="containsText" dxfId="128" text="ROJO">
      <formula>NOT(ISERROR(SEARCH("ROJO",P310)))</formula>
    </cfRule>
  </conditionalFormatting>
  <conditionalFormatting sqref="K310:K315">
    <cfRule type="cellIs" priority="209" operator="lessThan" dxfId="0" stopIfTrue="1">
      <formula>0</formula>
    </cfRule>
  </conditionalFormatting>
  <conditionalFormatting sqref="K317:K322">
    <cfRule type="cellIs" priority="208" operator="lessThan" dxfId="0" stopIfTrue="1">
      <formula>0</formula>
    </cfRule>
  </conditionalFormatting>
  <conditionalFormatting sqref="K324:K329">
    <cfRule type="cellIs" priority="207" operator="lessThan" dxfId="0" stopIfTrue="1">
      <formula>0</formula>
    </cfRule>
  </conditionalFormatting>
  <conditionalFormatting sqref="K331:K336">
    <cfRule type="cellIs" priority="206" operator="lessThan" dxfId="0" stopIfTrue="1">
      <formula>0</formula>
    </cfRule>
  </conditionalFormatting>
  <conditionalFormatting sqref="K338:K343">
    <cfRule type="cellIs" priority="205" operator="lessThan" dxfId="0" stopIfTrue="1">
      <formula>0</formula>
    </cfRule>
  </conditionalFormatting>
  <conditionalFormatting sqref="K345:K350">
    <cfRule type="cellIs" priority="204" operator="lessThan" dxfId="0" stopIfTrue="1">
      <formula>0</formula>
    </cfRule>
  </conditionalFormatting>
  <conditionalFormatting sqref="K352:K357">
    <cfRule type="cellIs" priority="203" operator="lessThan" dxfId="0" stopIfTrue="1">
      <formula>0</formula>
    </cfRule>
  </conditionalFormatting>
  <conditionalFormatting sqref="K359:K364">
    <cfRule type="cellIs" priority="202" operator="lessThan" dxfId="0" stopIfTrue="1">
      <formula>0</formula>
    </cfRule>
  </conditionalFormatting>
  <conditionalFormatting sqref="K366:K371">
    <cfRule type="cellIs" priority="201"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197" operator="containsText" dxfId="131" text="VENCIDO">
      <formula>NOT(ISERROR(SEARCH("VENCIDO",P423)))</formula>
    </cfRule>
    <cfRule type="containsText" priority="198" operator="containsText" dxfId="130" text="VERDE">
      <formula>NOT(ISERROR(SEARCH("VERDE",P423)))</formula>
    </cfRule>
    <cfRule type="containsText" priority="199" operator="containsText" dxfId="129" stopIfTrue="1" text="AMARILLO">
      <formula>NOT(ISERROR(SEARCH("AMARILLO",P423)))</formula>
    </cfRule>
    <cfRule type="containsText" priority="200"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196" operator="lessThan" dxfId="0" stopIfTrue="1">
      <formula>0</formula>
    </cfRule>
  </conditionalFormatting>
  <conditionalFormatting sqref="P567:P571">
    <cfRule type="containsText" priority="192" operator="containsText" dxfId="131" text="VENCIDO">
      <formula>NOT(ISERROR(SEARCH("VENCIDO",P567)))</formula>
    </cfRule>
    <cfRule type="containsText" priority="193" operator="containsText" dxfId="130" text="VERDE">
      <formula>NOT(ISERROR(SEARCH("VERDE",P567)))</formula>
    </cfRule>
    <cfRule type="containsText" priority="194" operator="containsText" dxfId="129" stopIfTrue="1" text="AMARILLO">
      <formula>NOT(ISERROR(SEARCH("AMARILLO",P567)))</formula>
    </cfRule>
    <cfRule type="containsText" priority="195" operator="containsText" dxfId="128" text="ROJO">
      <formula>NOT(ISERROR(SEARCH("ROJO",P567)))</formula>
    </cfRule>
  </conditionalFormatting>
  <conditionalFormatting sqref="K567:K571">
    <cfRule type="cellIs" priority="191" operator="lessThan" dxfId="0" stopIfTrue="1">
      <formula>0</formula>
    </cfRule>
  </conditionalFormatting>
  <conditionalFormatting sqref="P573:P577 P579:P583 P585:P589 P591:P595 P597:P601 P603:P607 P609:P613 P615:P619 P621:P625 P627:P631">
    <cfRule type="containsText" priority="187" operator="containsText" dxfId="131" text="VENCIDO">
      <formula>NOT(ISERROR(SEARCH("VENCIDO",P573)))</formula>
    </cfRule>
    <cfRule type="containsText" priority="188" operator="containsText" dxfId="130" text="VERDE">
      <formula>NOT(ISERROR(SEARCH("VERDE",P573)))</formula>
    </cfRule>
    <cfRule type="containsText" priority="189" operator="containsText" dxfId="129" stopIfTrue="1" text="AMARILLO">
      <formula>NOT(ISERROR(SEARCH("AMARILLO",P573)))</formula>
    </cfRule>
    <cfRule type="containsText" priority="190" operator="containsText" dxfId="128" text="ROJO">
      <formula>NOT(ISERROR(SEARCH("ROJO",P573)))</formula>
    </cfRule>
  </conditionalFormatting>
  <conditionalFormatting sqref="K573:K577 K579:K583 K585:K589 K591:K595 K597:K601 K603:K607 K609:K613 K615:K619 K621:K625 K627:K631">
    <cfRule type="cellIs" priority="186" operator="lessThan" dxfId="0" stopIfTrue="1">
      <formula>0</formula>
    </cfRule>
  </conditionalFormatting>
  <conditionalFormatting sqref="P634:P638">
    <cfRule type="containsText" priority="182" operator="containsText" dxfId="131" text="VENCIDO">
      <formula>NOT(ISERROR(SEARCH("VENCIDO",P634)))</formula>
    </cfRule>
    <cfRule type="containsText" priority="183" operator="containsText" dxfId="130" text="VERDE">
      <formula>NOT(ISERROR(SEARCH("VERDE",P634)))</formula>
    </cfRule>
    <cfRule type="containsText" priority="184" operator="containsText" dxfId="129" stopIfTrue="1" text="AMARILLO">
      <formula>NOT(ISERROR(SEARCH("AMARILLO",P634)))</formula>
    </cfRule>
    <cfRule type="containsText" priority="185" operator="containsText" dxfId="128" text="ROJO">
      <formula>NOT(ISERROR(SEARCH("ROJO",P634)))</formula>
    </cfRule>
  </conditionalFormatting>
  <conditionalFormatting sqref="P640:P644 P646:P650 P652:P656 P658:P662 P664:P668 P670:P674 P676:P680 P682:P686 P688:P692 P694:P698 P700:P704">
    <cfRule type="containsText" priority="177" operator="containsText" dxfId="131" text="VENCIDO">
      <formula>NOT(ISERROR(SEARCH("VENCIDO",P640)))</formula>
    </cfRule>
    <cfRule type="containsText" priority="178" operator="containsText" dxfId="130" text="VERDE">
      <formula>NOT(ISERROR(SEARCH("VERDE",P640)))</formula>
    </cfRule>
    <cfRule type="containsText" priority="179" operator="containsText" dxfId="129" stopIfTrue="1" text="AMARILLO">
      <formula>NOT(ISERROR(SEARCH("AMARILLO",P640)))</formula>
    </cfRule>
    <cfRule type="containsText" priority="180" operator="containsText" dxfId="128" text="ROJO">
      <formula>NOT(ISERROR(SEARCH("ROJO",P640)))</formula>
    </cfRule>
  </conditionalFormatting>
  <conditionalFormatting sqref="P714:P719">
    <cfRule type="containsText" priority="173" operator="containsText" dxfId="131" text="VENCIDO">
      <formula>NOT(ISERROR(SEARCH("VENCIDO",P714)))</formula>
    </cfRule>
    <cfRule type="containsText" priority="174" operator="containsText" dxfId="130" text="VERDE">
      <formula>NOT(ISERROR(SEARCH("VERDE",P714)))</formula>
    </cfRule>
    <cfRule type="containsText" priority="175" operator="containsText" dxfId="129" stopIfTrue="1" text="AMARILLO">
      <formula>NOT(ISERROR(SEARCH("AMARILLO",P714)))</formula>
    </cfRule>
    <cfRule type="containsText" priority="176" operator="containsText" dxfId="128" text="ROJO">
      <formula>NOT(ISERROR(SEARCH("ROJO",P714)))</formula>
    </cfRule>
  </conditionalFormatting>
  <conditionalFormatting sqref="P721:P726">
    <cfRule type="containsText" priority="169" operator="containsText" dxfId="131" text="VENCIDO">
      <formula>NOT(ISERROR(SEARCH("VENCIDO",P721)))</formula>
    </cfRule>
    <cfRule type="containsText" priority="170" operator="containsText" dxfId="130" text="VERDE">
      <formula>NOT(ISERROR(SEARCH("VERDE",P721)))</formula>
    </cfRule>
    <cfRule type="containsText" priority="171" operator="containsText" dxfId="129" stopIfTrue="1" text="AMARILLO">
      <formula>NOT(ISERROR(SEARCH("AMARILLO",P721)))</formula>
    </cfRule>
    <cfRule type="containsText" priority="172" operator="containsText" dxfId="128" text="ROJO">
      <formula>NOT(ISERROR(SEARCH("ROJO",P721)))</formula>
    </cfRule>
  </conditionalFormatting>
  <conditionalFormatting sqref="P728:P733">
    <cfRule type="containsText" priority="165" operator="containsText" dxfId="131" text="VENCIDO">
      <formula>NOT(ISERROR(SEARCH("VENCIDO",P728)))</formula>
    </cfRule>
    <cfRule type="containsText" priority="166" operator="containsText" dxfId="130" text="VERDE">
      <formula>NOT(ISERROR(SEARCH("VERDE",P728)))</formula>
    </cfRule>
    <cfRule type="containsText" priority="167" operator="containsText" dxfId="129" stopIfTrue="1" text="AMARILLO">
      <formula>NOT(ISERROR(SEARCH("AMARILLO",P728)))</formula>
    </cfRule>
    <cfRule type="containsText" priority="168" operator="containsText" dxfId="128" text="ROJO">
      <formula>NOT(ISERROR(SEARCH("ROJO",P728)))</formula>
    </cfRule>
  </conditionalFormatting>
  <conditionalFormatting sqref="P735:P740">
    <cfRule type="containsText" priority="161" operator="containsText" dxfId="131" text="VENCIDO">
      <formula>NOT(ISERROR(SEARCH("VENCIDO",P735)))</formula>
    </cfRule>
    <cfRule type="containsText" priority="162" operator="containsText" dxfId="130" text="VERDE">
      <formula>NOT(ISERROR(SEARCH("VERDE",P735)))</formula>
    </cfRule>
    <cfRule type="containsText" priority="163" operator="containsText" dxfId="129" stopIfTrue="1" text="AMARILLO">
      <formula>NOT(ISERROR(SEARCH("AMARILLO",P735)))</formula>
    </cfRule>
    <cfRule type="containsText" priority="164" operator="containsText" dxfId="128" text="ROJO">
      <formula>NOT(ISERROR(SEARCH("ROJO",P735)))</formula>
    </cfRule>
  </conditionalFormatting>
  <conditionalFormatting sqref="P742:P747">
    <cfRule type="containsText" priority="157" operator="containsText" dxfId="131" text="VENCIDO">
      <formula>NOT(ISERROR(SEARCH("VENCIDO",P742)))</formula>
    </cfRule>
    <cfRule type="containsText" priority="158" operator="containsText" dxfId="130" text="VERDE">
      <formula>NOT(ISERROR(SEARCH("VERDE",P742)))</formula>
    </cfRule>
    <cfRule type="containsText" priority="159" operator="containsText" dxfId="129" stopIfTrue="1" text="AMARILLO">
      <formula>NOT(ISERROR(SEARCH("AMARILLO",P742)))</formula>
    </cfRule>
    <cfRule type="containsText" priority="160" operator="containsText" dxfId="128" text="ROJO">
      <formula>NOT(ISERROR(SEARCH("ROJO",P742)))</formula>
    </cfRule>
  </conditionalFormatting>
  <conditionalFormatting sqref="P749:P754">
    <cfRule type="containsText" priority="153" operator="containsText" dxfId="131" text="VENCIDO">
      <formula>NOT(ISERROR(SEARCH("VENCIDO",P749)))</formula>
    </cfRule>
    <cfRule type="containsText" priority="154" operator="containsText" dxfId="130" text="VERDE">
      <formula>NOT(ISERROR(SEARCH("VERDE",P749)))</formula>
    </cfRule>
    <cfRule type="containsText" priority="155" operator="containsText" dxfId="129" stopIfTrue="1" text="AMARILLO">
      <formula>NOT(ISERROR(SEARCH("AMARILLO",P749)))</formula>
    </cfRule>
    <cfRule type="containsText" priority="156" operator="containsText" dxfId="128" text="ROJO">
      <formula>NOT(ISERROR(SEARCH("ROJO",P749)))</formula>
    </cfRule>
  </conditionalFormatting>
  <conditionalFormatting sqref="P756:P761">
    <cfRule type="containsText" priority="149" operator="containsText" dxfId="131" text="VENCIDO">
      <formula>NOT(ISERROR(SEARCH("VENCIDO",P756)))</formula>
    </cfRule>
    <cfRule type="containsText" priority="150" operator="containsText" dxfId="130" text="VERDE">
      <formula>NOT(ISERROR(SEARCH("VERDE",P756)))</formula>
    </cfRule>
    <cfRule type="containsText" priority="151" operator="containsText" dxfId="129" stopIfTrue="1" text="AMARILLO">
      <formula>NOT(ISERROR(SEARCH("AMARILLO",P756)))</formula>
    </cfRule>
    <cfRule type="containsText" priority="152" operator="containsText" dxfId="128" text="ROJO">
      <formula>NOT(ISERROR(SEARCH("ROJO",P756)))</formula>
    </cfRule>
  </conditionalFormatting>
  <conditionalFormatting sqref="P763:P768">
    <cfRule type="containsText" priority="145" operator="containsText" dxfId="131" text="VENCIDO">
      <formula>NOT(ISERROR(SEARCH("VENCIDO",P763)))</formula>
    </cfRule>
    <cfRule type="containsText" priority="146" operator="containsText" dxfId="130" text="VERDE">
      <formula>NOT(ISERROR(SEARCH("VERDE",P763)))</formula>
    </cfRule>
    <cfRule type="containsText" priority="147" operator="containsText" dxfId="129" stopIfTrue="1" text="AMARILLO">
      <formula>NOT(ISERROR(SEARCH("AMARILLO",P763)))</formula>
    </cfRule>
    <cfRule type="containsText" priority="148" operator="containsText" dxfId="128" text="ROJO">
      <formula>NOT(ISERROR(SEARCH("ROJO",P763)))</formula>
    </cfRule>
  </conditionalFormatting>
  <conditionalFormatting sqref="P770:P775">
    <cfRule type="containsText" priority="141" operator="containsText" dxfId="131" text="VENCIDO">
      <formula>NOT(ISERROR(SEARCH("VENCIDO",P770)))</formula>
    </cfRule>
    <cfRule type="containsText" priority="142" operator="containsText" dxfId="130" text="VERDE">
      <formula>NOT(ISERROR(SEARCH("VERDE",P770)))</formula>
    </cfRule>
    <cfRule type="containsText" priority="143" operator="containsText" dxfId="129" stopIfTrue="1" text="AMARILLO">
      <formula>NOT(ISERROR(SEARCH("AMARILLO",P770)))</formula>
    </cfRule>
    <cfRule type="containsText" priority="144" operator="containsText" dxfId="128" text="ROJO">
      <formula>NOT(ISERROR(SEARCH("ROJO",P770)))</formula>
    </cfRule>
  </conditionalFormatting>
  <conditionalFormatting sqref="P789:P792">
    <cfRule type="containsText" priority="137" operator="containsText" dxfId="131" text="VENCIDO">
      <formula>NOT(ISERROR(SEARCH("VENCIDO",P789)))</formula>
    </cfRule>
    <cfRule type="containsText" priority="138" operator="containsText" dxfId="130" text="VERDE">
      <formula>NOT(ISERROR(SEARCH("VERDE",P789)))</formula>
    </cfRule>
    <cfRule type="containsText" priority="139" operator="containsText" dxfId="129" stopIfTrue="1" text="AMARILLO">
      <formula>NOT(ISERROR(SEARCH("AMARILLO",P789)))</formula>
    </cfRule>
    <cfRule type="containsText" priority="140" operator="containsText" dxfId="128" text="ROJO">
      <formula>NOT(ISERROR(SEARCH("ROJO",P789)))</formula>
    </cfRule>
  </conditionalFormatting>
  <conditionalFormatting sqref="P794:P797">
    <cfRule type="containsText" priority="133" operator="containsText" dxfId="131" text="VENCIDO">
      <formula>NOT(ISERROR(SEARCH("VENCIDO",P794)))</formula>
    </cfRule>
    <cfRule type="containsText" priority="134" operator="containsText" dxfId="130" text="VERDE">
      <formula>NOT(ISERROR(SEARCH("VERDE",P794)))</formula>
    </cfRule>
    <cfRule type="containsText" priority="135" operator="containsText" dxfId="129" stopIfTrue="1" text="AMARILLO">
      <formula>NOT(ISERROR(SEARCH("AMARILLO",P794)))</formula>
    </cfRule>
    <cfRule type="containsText" priority="136" operator="containsText" dxfId="128" text="ROJO">
      <formula>NOT(ISERROR(SEARCH("ROJO",P794)))</formula>
    </cfRule>
  </conditionalFormatting>
  <conditionalFormatting sqref="P799:P802 P804:P807 P809:P812">
    <cfRule type="containsText" priority="129" operator="containsText" dxfId="131" text="VENCIDO">
      <formula>NOT(ISERROR(SEARCH("VENCIDO",P799)))</formula>
    </cfRule>
    <cfRule type="containsText" priority="130" operator="containsText" dxfId="130" text="VERDE">
      <formula>NOT(ISERROR(SEARCH("VERDE",P799)))</formula>
    </cfRule>
    <cfRule type="containsText" priority="131" operator="containsText" dxfId="129" stopIfTrue="1" text="AMARILLO">
      <formula>NOT(ISERROR(SEARCH("AMARILLO",P799)))</formula>
    </cfRule>
    <cfRule type="containsText" priority="132" operator="containsText" dxfId="128" text="ROJO">
      <formula>NOT(ISERROR(SEARCH("ROJO",P799)))</formula>
    </cfRule>
  </conditionalFormatting>
  <conditionalFormatting sqref="K789:K792">
    <cfRule type="cellIs" priority="128" operator="lessThan" dxfId="0" stopIfTrue="1">
      <formula>0</formula>
    </cfRule>
  </conditionalFormatting>
  <conditionalFormatting sqref="K794:K797">
    <cfRule type="cellIs" priority="127" operator="lessThan" dxfId="0" stopIfTrue="1">
      <formula>0</formula>
    </cfRule>
  </conditionalFormatting>
  <conditionalFormatting sqref="K799:K802">
    <cfRule type="cellIs" priority="126" operator="lessThan" dxfId="0" stopIfTrue="1">
      <formula>0</formula>
    </cfRule>
  </conditionalFormatting>
  <conditionalFormatting sqref="K804:K807">
    <cfRule type="cellIs" priority="125" operator="lessThan" dxfId="0" stopIfTrue="1">
      <formula>0</formula>
    </cfRule>
  </conditionalFormatting>
  <conditionalFormatting sqref="K809:K812">
    <cfRule type="cellIs" priority="124" operator="lessThan" dxfId="0" stopIfTrue="1">
      <formula>0</formula>
    </cfRule>
  </conditionalFormatting>
  <conditionalFormatting sqref="AT789">
    <cfRule type="cellIs" priority="123" operator="greaterThan" dxfId="121">
      <formula>1</formula>
    </cfRule>
  </conditionalFormatting>
  <conditionalFormatting sqref="AT794 AT799 AT804 AT809">
    <cfRule type="cellIs" priority="122" operator="greaterThan" dxfId="121">
      <formula>1</formula>
    </cfRule>
  </conditionalFormatting>
  <conditionalFormatting sqref="E895:G897">
    <cfRule type="cellIs" priority="121" operator="lessThan" dxfId="0" stopIfTrue="1">
      <formula>0</formula>
    </cfRule>
  </conditionalFormatting>
  <conditionalFormatting sqref="K895:K897 M895:N897">
    <cfRule type="cellIs" priority="120" operator="lessThan" dxfId="0" stopIfTrue="1">
      <formula>0</formula>
    </cfRule>
  </conditionalFormatting>
  <conditionalFormatting sqref="K301">
    <cfRule type="containsText" priority="119" operator="containsText" dxfId="8" text="Falso">
      <formula>NOT(ISERROR(SEARCH("Falso",K301)))</formula>
    </cfRule>
  </conditionalFormatting>
  <conditionalFormatting sqref="K295">
    <cfRule type="containsText" priority="118" operator="containsText" dxfId="8" text="Falso">
      <formula>NOT(ISERROR(SEARCH("Falso",K295)))</formula>
    </cfRule>
  </conditionalFormatting>
  <conditionalFormatting sqref="K289">
    <cfRule type="containsText" priority="117" operator="containsText" dxfId="8" text="Falso">
      <formula>NOT(ISERROR(SEARCH("Falso",K289)))</formula>
    </cfRule>
  </conditionalFormatting>
  <conditionalFormatting sqref="K283">
    <cfRule type="containsText" priority="116" operator="containsText" dxfId="8" text="Falso">
      <formula>NOT(ISERROR(SEARCH("Falso",K283)))</formula>
    </cfRule>
  </conditionalFormatting>
  <conditionalFormatting sqref="K277">
    <cfRule type="containsText" priority="115" operator="containsText" dxfId="8" text="Falso">
      <formula>NOT(ISERROR(SEARCH("Falso",K277)))</formula>
    </cfRule>
  </conditionalFormatting>
  <conditionalFormatting sqref="K271">
    <cfRule type="containsText" priority="114" operator="containsText" dxfId="8" text="Falso">
      <formula>NOT(ISERROR(SEARCH("Falso",K271)))</formula>
    </cfRule>
  </conditionalFormatting>
  <conditionalFormatting sqref="K265">
    <cfRule type="containsText" priority="113" operator="containsText" dxfId="8" text="Falso">
      <formula>NOT(ISERROR(SEARCH("Falso",K265)))</formula>
    </cfRule>
  </conditionalFormatting>
  <conditionalFormatting sqref="K259">
    <cfRule type="containsText" priority="112" operator="containsText" dxfId="8" text="Falso">
      <formula>NOT(ISERROR(SEARCH("Falso",K259)))</formula>
    </cfRule>
  </conditionalFormatting>
  <conditionalFormatting sqref="K253">
    <cfRule type="containsText" priority="111" operator="containsText" dxfId="8" text="Falso">
      <formula>NOT(ISERROR(SEARCH("Falso",K253)))</formula>
    </cfRule>
  </conditionalFormatting>
  <conditionalFormatting sqref="K247">
    <cfRule type="containsText" priority="110" operator="containsText" dxfId="8" text="Falso">
      <formula>NOT(ISERROR(SEARCH("Falso",K247)))</formula>
    </cfRule>
  </conditionalFormatting>
  <conditionalFormatting sqref="K235">
    <cfRule type="containsText" priority="109" operator="containsText" dxfId="8" text="Falso">
      <formula>NOT(ISERROR(SEARCH("Falso",K235)))</formula>
    </cfRule>
  </conditionalFormatting>
  <conditionalFormatting sqref="K241">
    <cfRule type="containsText" priority="108" operator="containsText" dxfId="8" text="Falso">
      <formula>NOT(ISERROR(SEARCH("Falso",K241)))</formula>
    </cfRule>
  </conditionalFormatting>
  <conditionalFormatting sqref="K228">
    <cfRule type="containsText" priority="107" operator="containsText" dxfId="8" text="Falso">
      <formula>NOT(ISERROR(SEARCH("Falso",K228)))</formula>
    </cfRule>
  </conditionalFormatting>
  <conditionalFormatting sqref="K222">
    <cfRule type="containsText" priority="106" operator="containsText" dxfId="8" text="Falso">
      <formula>NOT(ISERROR(SEARCH("Falso",K222)))</formula>
    </cfRule>
  </conditionalFormatting>
  <conditionalFormatting sqref="K216">
    <cfRule type="containsText" priority="105" operator="containsText" dxfId="8" text="Falso">
      <formula>NOT(ISERROR(SEARCH("Falso",K216)))</formula>
    </cfRule>
  </conditionalFormatting>
  <conditionalFormatting sqref="K210">
    <cfRule type="containsText" priority="104" operator="containsText" dxfId="8" text="Falso">
      <formula>NOT(ISERROR(SEARCH("Falso",K210)))</formula>
    </cfRule>
  </conditionalFormatting>
  <conditionalFormatting sqref="K204">
    <cfRule type="containsText" priority="103" operator="containsText" dxfId="8" text="Falso">
      <formula>NOT(ISERROR(SEARCH("Falso",K204)))</formula>
    </cfRule>
  </conditionalFormatting>
  <conditionalFormatting sqref="K198">
    <cfRule type="containsText" priority="102" operator="containsText" dxfId="8" text="Falso">
      <formula>NOT(ISERROR(SEARCH("Falso",K198)))</formula>
    </cfRule>
  </conditionalFormatting>
  <conditionalFormatting sqref="K192">
    <cfRule type="containsText" priority="101" operator="containsText" dxfId="8" text="Falso">
      <formula>NOT(ISERROR(SEARCH("Falso",K192)))</formula>
    </cfRule>
  </conditionalFormatting>
  <conditionalFormatting sqref="K186">
    <cfRule type="containsText" priority="100" operator="containsText" dxfId="8" text="Falso">
      <formula>NOT(ISERROR(SEARCH("Falso",K186)))</formula>
    </cfRule>
  </conditionalFormatting>
  <conditionalFormatting sqref="K180">
    <cfRule type="containsText" priority="99" operator="containsText" dxfId="8" text="Falso">
      <formula>NOT(ISERROR(SEARCH("Falso",K180)))</formula>
    </cfRule>
  </conditionalFormatting>
  <conditionalFormatting sqref="K174">
    <cfRule type="containsText" priority="98" operator="containsText" dxfId="8" text="Falso">
      <formula>NOT(ISERROR(SEARCH("Falso",K174)))</formula>
    </cfRule>
  </conditionalFormatting>
  <conditionalFormatting sqref="K168">
    <cfRule type="containsText" priority="97" operator="containsText" dxfId="8" text="Falso">
      <formula>NOT(ISERROR(SEARCH("Falso",K168)))</formula>
    </cfRule>
  </conditionalFormatting>
  <conditionalFormatting sqref="K162">
    <cfRule type="containsText" priority="96" operator="containsText" dxfId="8" text="Falso">
      <formula>NOT(ISERROR(SEARCH("Falso",K162)))</formula>
    </cfRule>
  </conditionalFormatting>
  <conditionalFormatting sqref="K156">
    <cfRule type="containsText" priority="95" operator="containsText" dxfId="8" text="Falso">
      <formula>NOT(ISERROR(SEARCH("Falso",K156)))</formula>
    </cfRule>
  </conditionalFormatting>
  <conditionalFormatting sqref="K150">
    <cfRule type="containsText" priority="94" operator="containsText" dxfId="8" text="Falso">
      <formula>NOT(ISERROR(SEARCH("Falso",K150)))</formula>
    </cfRule>
  </conditionalFormatting>
  <conditionalFormatting sqref="K144">
    <cfRule type="containsText" priority="93" operator="containsText" dxfId="8" text="Falso">
      <formula>NOT(ISERROR(SEARCH("Falso",K144)))</formula>
    </cfRule>
  </conditionalFormatting>
  <conditionalFormatting sqref="K138">
    <cfRule type="containsText" priority="92" operator="containsText" dxfId="8" text="Falso">
      <formula>NOT(ISERROR(SEARCH("Falso",K138)))</formula>
    </cfRule>
  </conditionalFormatting>
  <conditionalFormatting sqref="K132">
    <cfRule type="containsText" priority="91" operator="containsText" dxfId="8" text="Falso">
      <formula>NOT(ISERROR(SEARCH("Falso",K132)))</formula>
    </cfRule>
  </conditionalFormatting>
  <conditionalFormatting sqref="K126">
    <cfRule type="containsText" priority="90" operator="containsText" dxfId="8" text="Falso">
      <formula>NOT(ISERROR(SEARCH("Falso",K126)))</formula>
    </cfRule>
  </conditionalFormatting>
  <conditionalFormatting sqref="K120">
    <cfRule type="containsText" priority="89" operator="containsText" dxfId="8" text="Falso">
      <formula>NOT(ISERROR(SEARCH("Falso",K120)))</formula>
    </cfRule>
  </conditionalFormatting>
  <conditionalFormatting sqref="K114">
    <cfRule type="containsText" priority="88" operator="containsText" dxfId="8" text="Falso">
      <formula>NOT(ISERROR(SEARCH("Falso",K114)))</formula>
    </cfRule>
  </conditionalFormatting>
  <conditionalFormatting sqref="K108">
    <cfRule type="containsText" priority="87" operator="containsText" dxfId="8" text="Falso">
      <formula>NOT(ISERROR(SEARCH("Falso",K108)))</formula>
    </cfRule>
  </conditionalFormatting>
  <conditionalFormatting sqref="K102">
    <cfRule type="containsText" priority="86" operator="containsText" dxfId="8" text="Falso">
      <formula>NOT(ISERROR(SEARCH("Falso",K102)))</formula>
    </cfRule>
  </conditionalFormatting>
  <conditionalFormatting sqref="K96">
    <cfRule type="containsText" priority="85" operator="containsText" dxfId="8" text="Falso">
      <formula>NOT(ISERROR(SEARCH("Falso",K96)))</formula>
    </cfRule>
  </conditionalFormatting>
  <conditionalFormatting sqref="K90">
    <cfRule type="containsText" priority="84" operator="containsText" dxfId="8" text="Falso">
      <formula>NOT(ISERROR(SEARCH("Falso",K90)))</formula>
    </cfRule>
  </conditionalFormatting>
  <conditionalFormatting sqref="K84">
    <cfRule type="containsText" priority="83" operator="containsText" dxfId="8" text="Falso">
      <formula>NOT(ISERROR(SEARCH("Falso",K84)))</formula>
    </cfRule>
  </conditionalFormatting>
  <conditionalFormatting sqref="K78">
    <cfRule type="containsText" priority="82" operator="containsText" dxfId="8" text="Falso">
      <formula>NOT(ISERROR(SEARCH("Falso",K78)))</formula>
    </cfRule>
  </conditionalFormatting>
  <conditionalFormatting sqref="K72">
    <cfRule type="containsText" priority="81" operator="containsText" dxfId="8" text="Falso">
      <formula>NOT(ISERROR(SEARCH("Falso",K72)))</formula>
    </cfRule>
  </conditionalFormatting>
  <conditionalFormatting sqref="K66">
    <cfRule type="containsText" priority="80" operator="containsText" dxfId="8" text="Falso">
      <formula>NOT(ISERROR(SEARCH("Falso",K66)))</formula>
    </cfRule>
  </conditionalFormatting>
  <conditionalFormatting sqref="K60">
    <cfRule type="containsText" priority="79" operator="containsText" dxfId="8" text="Falso">
      <formula>NOT(ISERROR(SEARCH("Falso",K60)))</formula>
    </cfRule>
  </conditionalFormatting>
  <conditionalFormatting sqref="K54">
    <cfRule type="containsText" priority="78" operator="containsText" dxfId="8" text="Falso">
      <formula>NOT(ISERROR(SEARCH("Falso",K54)))</formula>
    </cfRule>
  </conditionalFormatting>
  <conditionalFormatting sqref="K48">
    <cfRule type="containsText" priority="77" operator="containsText" dxfId="8" text="Falso">
      <formula>NOT(ISERROR(SEARCH("Falso",K48)))</formula>
    </cfRule>
  </conditionalFormatting>
  <conditionalFormatting sqref="K42">
    <cfRule type="containsText" priority="76" operator="containsText" dxfId="8" text="Falso">
      <formula>NOT(ISERROR(SEARCH("Falso",K42)))</formula>
    </cfRule>
  </conditionalFormatting>
  <conditionalFormatting sqref="K36">
    <cfRule type="containsText" priority="75" operator="containsText" dxfId="8" text="Falso">
      <formula>NOT(ISERROR(SEARCH("Falso",K36)))</formula>
    </cfRule>
  </conditionalFormatting>
  <conditionalFormatting sqref="K30">
    <cfRule type="containsText" priority="74" operator="containsText" dxfId="8" text="Falso">
      <formula>NOT(ISERROR(SEARCH("Falso",K30)))</formula>
    </cfRule>
  </conditionalFormatting>
  <conditionalFormatting sqref="K24">
    <cfRule type="containsText" priority="73" operator="containsText" dxfId="8" text="Falso">
      <formula>NOT(ISERROR(SEARCH("Falso",K24)))</formula>
    </cfRule>
  </conditionalFormatting>
  <conditionalFormatting sqref="K18">
    <cfRule type="containsText" priority="72" operator="containsText" dxfId="8" text="Falso">
      <formula>NOT(ISERROR(SEARCH("Falso",K18)))</formula>
    </cfRule>
  </conditionalFormatting>
  <conditionalFormatting sqref="K422">
    <cfRule type="containsText" priority="71" operator="containsText" dxfId="8" text="Falso">
      <formula>NOT(ISERROR(SEARCH("Falso",K422)))</formula>
    </cfRule>
  </conditionalFormatting>
  <conditionalFormatting sqref="K428">
    <cfRule type="containsText" priority="70" operator="containsText" dxfId="8" text="Falso">
      <formula>NOT(ISERROR(SEARCH("Falso",K428)))</formula>
    </cfRule>
  </conditionalFormatting>
  <conditionalFormatting sqref="K434">
    <cfRule type="containsText" priority="69" operator="containsText" dxfId="8" text="Falso">
      <formula>NOT(ISERROR(SEARCH("Falso",K434)))</formula>
    </cfRule>
  </conditionalFormatting>
  <conditionalFormatting sqref="K440">
    <cfRule type="containsText" priority="68" operator="containsText" dxfId="8" text="Falso">
      <formula>NOT(ISERROR(SEARCH("Falso",K440)))</formula>
    </cfRule>
  </conditionalFormatting>
  <conditionalFormatting sqref="K446">
    <cfRule type="containsText" priority="67" operator="containsText" dxfId="8" text="Falso">
      <formula>NOT(ISERROR(SEARCH("Falso",K446)))</formula>
    </cfRule>
  </conditionalFormatting>
  <conditionalFormatting sqref="K452">
    <cfRule type="containsText" priority="66" operator="containsText" dxfId="8" text="Falso">
      <formula>NOT(ISERROR(SEARCH("Falso",K452)))</formula>
    </cfRule>
  </conditionalFormatting>
  <conditionalFormatting sqref="K458">
    <cfRule type="containsText" priority="65" operator="containsText" dxfId="8" text="Falso">
      <formula>NOT(ISERROR(SEARCH("Falso",K458)))</formula>
    </cfRule>
  </conditionalFormatting>
  <conditionalFormatting sqref="K464">
    <cfRule type="containsText" priority="64" operator="containsText" dxfId="8" text="Falso">
      <formula>NOT(ISERROR(SEARCH("Falso",K464)))</formula>
    </cfRule>
  </conditionalFormatting>
  <conditionalFormatting sqref="K470">
    <cfRule type="containsText" priority="63" operator="containsText" dxfId="8" text="Falso">
      <formula>NOT(ISERROR(SEARCH("Falso",K470)))</formula>
    </cfRule>
  </conditionalFormatting>
  <conditionalFormatting sqref="K476">
    <cfRule type="containsText" priority="62" operator="containsText" dxfId="8" text="Falso">
      <formula>NOT(ISERROR(SEARCH("Falso",K476)))</formula>
    </cfRule>
  </conditionalFormatting>
  <conditionalFormatting sqref="K482">
    <cfRule type="containsText" priority="61" operator="containsText" dxfId="8" text="Falso">
      <formula>NOT(ISERROR(SEARCH("Falso",K482)))</formula>
    </cfRule>
  </conditionalFormatting>
  <conditionalFormatting sqref="K488">
    <cfRule type="containsText" priority="60" operator="containsText" dxfId="8" text="Falso">
      <formula>NOT(ISERROR(SEARCH("Falso",K488)))</formula>
    </cfRule>
  </conditionalFormatting>
  <conditionalFormatting sqref="K494">
    <cfRule type="containsText" priority="59" operator="containsText" dxfId="8" text="Falso">
      <formula>NOT(ISERROR(SEARCH("Falso",K494)))</formula>
    </cfRule>
  </conditionalFormatting>
  <conditionalFormatting sqref="K500">
    <cfRule type="containsText" priority="58" operator="containsText" dxfId="8" text="Falso">
      <formula>NOT(ISERROR(SEARCH("Falso",K500)))</formula>
    </cfRule>
  </conditionalFormatting>
  <conditionalFormatting sqref="K506">
    <cfRule type="containsText" priority="57" operator="containsText" dxfId="8" text="Falso">
      <formula>NOT(ISERROR(SEARCH("Falso",K506)))</formula>
    </cfRule>
  </conditionalFormatting>
  <conditionalFormatting sqref="K512">
    <cfRule type="containsText" priority="56" operator="containsText" dxfId="8" text="Falso">
      <formula>NOT(ISERROR(SEARCH("Falso",K512)))</formula>
    </cfRule>
  </conditionalFormatting>
  <conditionalFormatting sqref="K518">
    <cfRule type="containsText" priority="55" operator="containsText" dxfId="8" text="Falso">
      <formula>NOT(ISERROR(SEARCH("Falso",K518)))</formula>
    </cfRule>
  </conditionalFormatting>
  <conditionalFormatting sqref="K524">
    <cfRule type="containsText" priority="54" operator="containsText" dxfId="8" text="Falso">
      <formula>NOT(ISERROR(SEARCH("Falso",K524)))</formula>
    </cfRule>
  </conditionalFormatting>
  <conditionalFormatting sqref="K530">
    <cfRule type="containsText" priority="53" operator="containsText" dxfId="8" text="Falso">
      <formula>NOT(ISERROR(SEARCH("Falso",K530)))</formula>
    </cfRule>
  </conditionalFormatting>
  <conditionalFormatting sqref="K536">
    <cfRule type="containsText" priority="52" operator="containsText" dxfId="8" text="Falso">
      <formula>NOT(ISERROR(SEARCH("Falso",K536)))</formula>
    </cfRule>
  </conditionalFormatting>
  <conditionalFormatting sqref="K542">
    <cfRule type="containsText" priority="51" operator="containsText" dxfId="8" text="Falso">
      <formula>NOT(ISERROR(SEARCH("Falso",K542)))</formula>
    </cfRule>
  </conditionalFormatting>
  <conditionalFormatting sqref="K548">
    <cfRule type="containsText" priority="50" operator="containsText" dxfId="8" text="Falso">
      <formula>NOT(ISERROR(SEARCH("Falso",K548)))</formula>
    </cfRule>
  </conditionalFormatting>
  <conditionalFormatting sqref="K554">
    <cfRule type="containsText" priority="49" operator="containsText" dxfId="8" text="Falso">
      <formula>NOT(ISERROR(SEARCH("Falso",K554)))</formula>
    </cfRule>
  </conditionalFormatting>
  <conditionalFormatting sqref="K560">
    <cfRule type="containsText" priority="48" operator="containsText" dxfId="8" text="Falso">
      <formula>NOT(ISERROR(SEARCH("Falso",K560)))</formula>
    </cfRule>
  </conditionalFormatting>
  <conditionalFormatting sqref="K566">
    <cfRule type="containsText" priority="47" operator="containsText" dxfId="8" text="Falso">
      <formula>NOT(ISERROR(SEARCH("Falso",K566)))</formula>
    </cfRule>
  </conditionalFormatting>
  <conditionalFormatting sqref="K572">
    <cfRule type="containsText" priority="46" operator="containsText" dxfId="8" text="Falso">
      <formula>NOT(ISERROR(SEARCH("Falso",K572)))</formula>
    </cfRule>
  </conditionalFormatting>
  <conditionalFormatting sqref="K578">
    <cfRule type="containsText" priority="45" operator="containsText" dxfId="8" text="Falso">
      <formula>NOT(ISERROR(SEARCH("Falso",K578)))</formula>
    </cfRule>
  </conditionalFormatting>
  <conditionalFormatting sqref="K584">
    <cfRule type="containsText" priority="44" operator="containsText" dxfId="8" text="Falso">
      <formula>NOT(ISERROR(SEARCH("Falso",K584)))</formula>
    </cfRule>
  </conditionalFormatting>
  <conditionalFormatting sqref="K590">
    <cfRule type="containsText" priority="43" operator="containsText" dxfId="8" text="Falso">
      <formula>NOT(ISERROR(SEARCH("Falso",K590)))</formula>
    </cfRule>
  </conditionalFormatting>
  <conditionalFormatting sqref="K596">
    <cfRule type="containsText" priority="42" operator="containsText" dxfId="8" text="Falso">
      <formula>NOT(ISERROR(SEARCH("Falso",K596)))</formula>
    </cfRule>
  </conditionalFormatting>
  <conditionalFormatting sqref="K602">
    <cfRule type="containsText" priority="41" operator="containsText" dxfId="8" text="Falso">
      <formula>NOT(ISERROR(SEARCH("Falso",K602)))</formula>
    </cfRule>
  </conditionalFormatting>
  <conditionalFormatting sqref="K608">
    <cfRule type="containsText" priority="40" operator="containsText" dxfId="8" text="Falso">
      <formula>NOT(ISERROR(SEARCH("Falso",K608)))</formula>
    </cfRule>
  </conditionalFormatting>
  <conditionalFormatting sqref="K614">
    <cfRule type="containsText" priority="39" operator="containsText" dxfId="8" text="Falso">
      <formula>NOT(ISERROR(SEARCH("Falso",K614)))</formula>
    </cfRule>
  </conditionalFormatting>
  <conditionalFormatting sqref="K620">
    <cfRule type="containsText" priority="38" operator="containsText" dxfId="8" text="Falso">
      <formula>NOT(ISERROR(SEARCH("Falso",K620)))</formula>
    </cfRule>
  </conditionalFormatting>
  <conditionalFormatting sqref="K626">
    <cfRule type="containsText" priority="37" operator="containsText" dxfId="8" text="Falso">
      <formula>NOT(ISERROR(SEARCH("Falso",K626)))</formula>
    </cfRule>
  </conditionalFormatting>
  <conditionalFormatting sqref="K632">
    <cfRule type="containsText" priority="36" operator="containsText" dxfId="8" text="Falso">
      <formula>NOT(ISERROR(SEARCH("Falso",K632)))</formula>
    </cfRule>
  </conditionalFormatting>
  <conditionalFormatting sqref="K639">
    <cfRule type="containsText" priority="35" operator="containsText" dxfId="8" text="Falso">
      <formula>NOT(ISERROR(SEARCH("Falso",K639)))</formula>
    </cfRule>
  </conditionalFormatting>
  <conditionalFormatting sqref="K645">
    <cfRule type="containsText" priority="34" operator="containsText" dxfId="8" text="Falso">
      <formula>NOT(ISERROR(SEARCH("Falso",K645)))</formula>
    </cfRule>
  </conditionalFormatting>
  <conditionalFormatting sqref="K651">
    <cfRule type="containsText" priority="33" operator="containsText" dxfId="8" text="Falso">
      <formula>NOT(ISERROR(SEARCH("Falso",K651)))</formula>
    </cfRule>
  </conditionalFormatting>
  <conditionalFormatting sqref="K657">
    <cfRule type="containsText" priority="32" operator="containsText" dxfId="8" text="Falso">
      <formula>NOT(ISERROR(SEARCH("Falso",K657)))</formula>
    </cfRule>
  </conditionalFormatting>
  <conditionalFormatting sqref="K663">
    <cfRule type="containsText" priority="31" operator="containsText" dxfId="8" text="Falso">
      <formula>NOT(ISERROR(SEARCH("Falso",K663)))</formula>
    </cfRule>
  </conditionalFormatting>
  <conditionalFormatting sqref="K669">
    <cfRule type="containsText" priority="30" operator="containsText" dxfId="8" text="Falso">
      <formula>NOT(ISERROR(SEARCH("Falso",K669)))</formula>
    </cfRule>
  </conditionalFormatting>
  <conditionalFormatting sqref="K675">
    <cfRule type="containsText" priority="29" operator="containsText" dxfId="8" text="Falso">
      <formula>NOT(ISERROR(SEARCH("Falso",K675)))</formula>
    </cfRule>
  </conditionalFormatting>
  <conditionalFormatting sqref="K681">
    <cfRule type="containsText" priority="28" operator="containsText" dxfId="8" text="Falso">
      <formula>NOT(ISERROR(SEARCH("Falso",K681)))</formula>
    </cfRule>
  </conditionalFormatting>
  <conditionalFormatting sqref="K687">
    <cfRule type="containsText" priority="27" operator="containsText" dxfId="8" text="Falso">
      <formula>NOT(ISERROR(SEARCH("Falso",K687)))</formula>
    </cfRule>
  </conditionalFormatting>
  <conditionalFormatting sqref="K693">
    <cfRule type="containsText" priority="26" operator="containsText" dxfId="8" text="Falso">
      <formula>NOT(ISERROR(SEARCH("Falso",K693)))</formula>
    </cfRule>
  </conditionalFormatting>
  <conditionalFormatting sqref="K699">
    <cfRule type="containsText" priority="25" operator="containsText" dxfId="8" text="Falso">
      <formula>NOT(ISERROR(SEARCH("Falso",K699)))</formula>
    </cfRule>
  </conditionalFormatting>
  <conditionalFormatting sqref="K705">
    <cfRule type="containsText" priority="24" operator="containsText" dxfId="8" text="Falso">
      <formula>NOT(ISERROR(SEARCH("Falso",K705)))</formula>
    </cfRule>
  </conditionalFormatting>
  <conditionalFormatting sqref="K713">
    <cfRule type="containsText" priority="23" operator="containsText" dxfId="8" text="Falso">
      <formula>NOT(ISERROR(SEARCH("Falso",K713)))</formula>
    </cfRule>
  </conditionalFormatting>
  <conditionalFormatting sqref="K720">
    <cfRule type="containsText" priority="22" operator="containsText" dxfId="8" text="Falso">
      <formula>NOT(ISERROR(SEARCH("Falso",K720)))</formula>
    </cfRule>
  </conditionalFormatting>
  <conditionalFormatting sqref="K727">
    <cfRule type="containsText" priority="21" operator="containsText" dxfId="8" text="Falso">
      <formula>NOT(ISERROR(SEARCH("Falso",K727)))</formula>
    </cfRule>
  </conditionalFormatting>
  <conditionalFormatting sqref="K734">
    <cfRule type="containsText" priority="20" operator="containsText" dxfId="8" text="Falso">
      <formula>NOT(ISERROR(SEARCH("Falso",K734)))</formula>
    </cfRule>
  </conditionalFormatting>
  <conditionalFormatting sqref="K741">
    <cfRule type="containsText" priority="19" operator="containsText" dxfId="8" text="Falso">
      <formula>NOT(ISERROR(SEARCH("Falso",K741)))</formula>
    </cfRule>
  </conditionalFormatting>
  <conditionalFormatting sqref="K748">
    <cfRule type="containsText" priority="18" operator="containsText" dxfId="8" text="Falso">
      <formula>NOT(ISERROR(SEARCH("Falso",K748)))</formula>
    </cfRule>
  </conditionalFormatting>
  <conditionalFormatting sqref="K755">
    <cfRule type="containsText" priority="17" operator="containsText" dxfId="8" text="Falso">
      <formula>NOT(ISERROR(SEARCH("Falso",K755)))</formula>
    </cfRule>
  </conditionalFormatting>
  <conditionalFormatting sqref="K762">
    <cfRule type="containsText" priority="16" operator="containsText" dxfId="8" text="Falso">
      <formula>NOT(ISERROR(SEARCH("Falso",K762)))</formula>
    </cfRule>
  </conditionalFormatting>
  <conditionalFormatting sqref="K769">
    <cfRule type="containsText" priority="15" operator="containsText" dxfId="8" text="Falso">
      <formula>NOT(ISERROR(SEARCH("Falso",K769)))</formula>
    </cfRule>
  </conditionalFormatting>
  <conditionalFormatting sqref="K776">
    <cfRule type="containsText" priority="14" operator="containsText" dxfId="8" text="Falso">
      <formula>NOT(ISERROR(SEARCH("Falso",K776)))</formula>
    </cfRule>
  </conditionalFormatting>
  <conditionalFormatting sqref="K793">
    <cfRule type="containsText" priority="13" operator="containsText" dxfId="8" text="Falso">
      <formula>NOT(ISERROR(SEARCH("Falso",K793)))</formula>
    </cfRule>
  </conditionalFormatting>
  <conditionalFormatting sqref="K798">
    <cfRule type="containsText" priority="12" operator="containsText" dxfId="8" text="Falso">
      <formula>NOT(ISERROR(SEARCH("Falso",K798)))</formula>
    </cfRule>
  </conditionalFormatting>
  <conditionalFormatting sqref="K803">
    <cfRule type="containsText" priority="11" operator="containsText" dxfId="8" text="Falso">
      <formula>NOT(ISERROR(SEARCH("Falso",K803)))</formula>
    </cfRule>
  </conditionalFormatting>
  <conditionalFormatting sqref="K808">
    <cfRule type="containsText" priority="10" operator="containsText" dxfId="8" text="Falso">
      <formula>NOT(ISERROR(SEARCH("Falso",K808)))</formula>
    </cfRule>
  </conditionalFormatting>
  <conditionalFormatting sqref="K813">
    <cfRule type="containsText" priority="9" operator="containsText" dxfId="8" text="Falso">
      <formula>NOT(ISERROR(SEARCH("Falso",K813)))</formula>
    </cfRule>
  </conditionalFormatting>
  <conditionalFormatting sqref="O858:O869">
    <cfRule type="cellIs" priority="8" operator="lessThan" dxfId="0" stopIfTrue="1">
      <formula>0</formula>
    </cfRule>
  </conditionalFormatting>
  <conditionalFormatting sqref="O871:O887">
    <cfRule type="cellIs" priority="7" operator="lessThan" dxfId="0" stopIfTrue="1">
      <formula>0</formula>
    </cfRule>
  </conditionalFormatting>
  <conditionalFormatting sqref="O893:O897">
    <cfRule type="cellIs" priority="6" operator="lessThan" dxfId="0" stopIfTrue="1">
      <formula>0</formula>
    </cfRule>
  </conditionalFormatting>
  <conditionalFormatting sqref="L888">
    <cfRule type="cellIs" priority="5" operator="lessThan" dxfId="0" stopIfTrue="1">
      <formula>0</formula>
    </cfRule>
  </conditionalFormatting>
  <conditionalFormatting sqref="L821:L856">
    <cfRule type="cellIs" priority="4" operator="lessThan" dxfId="0" stopIfTrue="1">
      <formula>0</formula>
    </cfRule>
  </conditionalFormatting>
  <conditionalFormatting sqref="L858:L869">
    <cfRule type="cellIs" priority="3" operator="lessThan" dxfId="0" stopIfTrue="1">
      <formula>0</formula>
    </cfRule>
  </conditionalFormatting>
  <conditionalFormatting sqref="L871:L887">
    <cfRule type="cellIs" priority="2" operator="lessThan" dxfId="0" stopIfTrue="1">
      <formula>0</formula>
    </cfRule>
  </conditionalFormatting>
  <conditionalFormatting sqref="L893:L897">
    <cfRule type="cellIs" priority="1" operator="lessThan" dxfId="0" stopIfTrue="1">
      <formula>0</formula>
    </cfRule>
  </conditionalFormatting>
  <dataValidations count="3">
    <dataValidation sqref="C903:C907 C912:C913" showDropDown="0" showInputMessage="1" showErrorMessage="1" allowBlank="1" type="list">
      <formula1>"SI,NO"</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O278:O279 O284:O285 O292" showDropDown="0" showInputMessage="1" showErrorMessage="1" allowBlank="1" errorTitle="INGRESE LA FECHA" error="FECHA DE VENCIMIENTO" type="date" operator="greaterThan">
      <formula1>39083</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user</dc:creator>
  <dcterms:created xmlns:dcterms="http://purl.org/dc/terms/" xmlns:xsi="http://www.w3.org/2001/XMLSchema-instance" xsi:type="dcterms:W3CDTF">2022-10-10T15:56:50Z</dcterms:created>
  <dcterms:modified xmlns:dcterms="http://purl.org/dc/terms/" xmlns:xsi="http://www.w3.org/2001/XMLSchema-instance" xsi:type="dcterms:W3CDTF">2026-09-29T04:10:34Z</dcterms:modified>
  <cp:lastModifiedBy>Farid Romero</cp:lastModifiedBy>
  <cp:lastPrinted>2024-06-17T23:09:25Z</cp:lastPrinted>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0x010100501898A108CCE74CACE961DECD00718D</vt:lpwstr>
  </property>
</Properties>
</file>