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University of Nottingham\Management science for decision support\"/>
    </mc:Choice>
  </mc:AlternateContent>
  <xr:revisionPtr revIDLastSave="0" documentId="8_{D41AE9E5-9CF2-4A15-94EA-9B6F3E507C76}" xr6:coauthVersionLast="47" xr6:coauthVersionMax="47" xr10:uidLastSave="{00000000-0000-0000-0000-000000000000}"/>
  <bookViews>
    <workbookView xWindow="-110" yWindow="-110" windowWidth="19420" windowHeight="10420" activeTab="4" xr2:uid="{00000000-000D-0000-FFFF-FFFF00000000}"/>
  </bookViews>
  <sheets>
    <sheet name="MMS q2" sheetId="7" r:id="rId1"/>
    <sheet name="MMs" sheetId="2" r:id="rId2"/>
    <sheet name="MD1" sheetId="4" r:id="rId3"/>
    <sheet name="MG1" sheetId="5" r:id="rId4"/>
    <sheet name="MMS-n" sheetId="6" r:id="rId5"/>
  </sheets>
  <definedNames>
    <definedName name="_Fill" hidden="1">#REF!</definedName>
    <definedName name="_Regression_Out" hidden="1">#REF!</definedName>
    <definedName name="_Regression_X" hidden="1">#REF!</definedName>
    <definedName name="_Regression_Y" hidden="1">#REF!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5" i="5" l="1"/>
  <c r="H14" i="5"/>
  <c r="H13" i="5"/>
  <c r="B11" i="5"/>
  <c r="H23" i="7" l="1"/>
  <c r="H24" i="7"/>
  <c r="H22" i="7"/>
  <c r="O14" i="7"/>
  <c r="N14" i="7"/>
  <c r="M14" i="7"/>
  <c r="O13" i="7"/>
  <c r="N13" i="7"/>
  <c r="M13" i="7"/>
  <c r="N12" i="7"/>
  <c r="F74" i="7"/>
  <c r="B74" i="7"/>
  <c r="D74" i="7" s="1"/>
  <c r="F73" i="7"/>
  <c r="B73" i="7"/>
  <c r="D73" i="7" s="1"/>
  <c r="F72" i="7"/>
  <c r="B72" i="7"/>
  <c r="D72" i="7" s="1"/>
  <c r="F71" i="7"/>
  <c r="B71" i="7"/>
  <c r="D71" i="7" s="1"/>
  <c r="F70" i="7"/>
  <c r="B70" i="7"/>
  <c r="D70" i="7" s="1"/>
  <c r="F69" i="7"/>
  <c r="B69" i="7"/>
  <c r="D69" i="7" s="1"/>
  <c r="F68" i="7"/>
  <c r="B68" i="7"/>
  <c r="D68" i="7" s="1"/>
  <c r="F67" i="7"/>
  <c r="B67" i="7"/>
  <c r="D67" i="7" s="1"/>
  <c r="F66" i="7"/>
  <c r="B66" i="7"/>
  <c r="D66" i="7" s="1"/>
  <c r="F65" i="7"/>
  <c r="B65" i="7"/>
  <c r="D65" i="7" s="1"/>
  <c r="F64" i="7"/>
  <c r="B64" i="7"/>
  <c r="D64" i="7" s="1"/>
  <c r="F63" i="7"/>
  <c r="B63" i="7"/>
  <c r="D63" i="7" s="1"/>
  <c r="F62" i="7"/>
  <c r="B62" i="7"/>
  <c r="D62" i="7" s="1"/>
  <c r="F61" i="7"/>
  <c r="B61" i="7"/>
  <c r="D61" i="7" s="1"/>
  <c r="F60" i="7"/>
  <c r="B60" i="7"/>
  <c r="D60" i="7" s="1"/>
  <c r="F59" i="7"/>
  <c r="B59" i="7"/>
  <c r="D59" i="7" s="1"/>
  <c r="F58" i="7"/>
  <c r="B58" i="7"/>
  <c r="D58" i="7" s="1"/>
  <c r="F57" i="7"/>
  <c r="B57" i="7"/>
  <c r="D57" i="7" s="1"/>
  <c r="F56" i="7"/>
  <c r="B56" i="7"/>
  <c r="D56" i="7" s="1"/>
  <c r="F55" i="7"/>
  <c r="D55" i="7"/>
  <c r="B55" i="7"/>
  <c r="F54" i="7"/>
  <c r="B54" i="7"/>
  <c r="D54" i="7" s="1"/>
  <c r="F53" i="7"/>
  <c r="B53" i="7"/>
  <c r="D53" i="7" s="1"/>
  <c r="F52" i="7"/>
  <c r="B52" i="7"/>
  <c r="D52" i="7" s="1"/>
  <c r="F51" i="7"/>
  <c r="B51" i="7"/>
  <c r="D51" i="7" s="1"/>
  <c r="F50" i="7"/>
  <c r="B50" i="7"/>
  <c r="D50" i="7" s="1"/>
  <c r="F49" i="7"/>
  <c r="B49" i="7"/>
  <c r="F48" i="7"/>
  <c r="B48" i="7"/>
  <c r="D48" i="7" s="1"/>
  <c r="F47" i="7"/>
  <c r="B47" i="7"/>
  <c r="D47" i="7" s="1"/>
  <c r="F46" i="7"/>
  <c r="B46" i="7"/>
  <c r="D46" i="7" s="1"/>
  <c r="F45" i="7"/>
  <c r="C45" i="7"/>
  <c r="B45" i="7"/>
  <c r="A22" i="7"/>
  <c r="A21" i="7"/>
  <c r="A16" i="7"/>
  <c r="E9" i="7"/>
  <c r="H10" i="7" s="1"/>
  <c r="A16" i="2"/>
  <c r="K50" i="6"/>
  <c r="H50" i="6"/>
  <c r="F50" i="6"/>
  <c r="E50" i="6"/>
  <c r="D50" i="6"/>
  <c r="K49" i="6"/>
  <c r="H49" i="6"/>
  <c r="F49" i="6"/>
  <c r="E49" i="6"/>
  <c r="D49" i="6"/>
  <c r="K48" i="6"/>
  <c r="H48" i="6"/>
  <c r="F48" i="6"/>
  <c r="E48" i="6"/>
  <c r="D48" i="6"/>
  <c r="K47" i="6"/>
  <c r="H47" i="6"/>
  <c r="F47" i="6"/>
  <c r="E47" i="6"/>
  <c r="D47" i="6"/>
  <c r="K46" i="6"/>
  <c r="H46" i="6"/>
  <c r="F46" i="6"/>
  <c r="E46" i="6"/>
  <c r="D46" i="6"/>
  <c r="K45" i="6"/>
  <c r="H45" i="6"/>
  <c r="F45" i="6"/>
  <c r="E45" i="6"/>
  <c r="D45" i="6"/>
  <c r="K44" i="6"/>
  <c r="H44" i="6"/>
  <c r="F44" i="6"/>
  <c r="E44" i="6"/>
  <c r="D44" i="6"/>
  <c r="K43" i="6"/>
  <c r="H43" i="6"/>
  <c r="F43" i="6"/>
  <c r="E43" i="6"/>
  <c r="D43" i="6"/>
  <c r="K42" i="6"/>
  <c r="H42" i="6"/>
  <c r="F42" i="6"/>
  <c r="E42" i="6"/>
  <c r="D42" i="6"/>
  <c r="K41" i="6"/>
  <c r="H41" i="6"/>
  <c r="F41" i="6"/>
  <c r="E41" i="6"/>
  <c r="D41" i="6"/>
  <c r="K40" i="6"/>
  <c r="H40" i="6"/>
  <c r="F40" i="6"/>
  <c r="E40" i="6"/>
  <c r="D40" i="6"/>
  <c r="K39" i="6"/>
  <c r="H39" i="6"/>
  <c r="F39" i="6"/>
  <c r="E39" i="6"/>
  <c r="D39" i="6"/>
  <c r="K38" i="6"/>
  <c r="H38" i="6"/>
  <c r="F38" i="6"/>
  <c r="E38" i="6"/>
  <c r="D38" i="6"/>
  <c r="K37" i="6"/>
  <c r="H37" i="6"/>
  <c r="F37" i="6"/>
  <c r="E37" i="6"/>
  <c r="D37" i="6"/>
  <c r="K36" i="6"/>
  <c r="H36" i="6"/>
  <c r="F36" i="6"/>
  <c r="E36" i="6"/>
  <c r="D36" i="6"/>
  <c r="K35" i="6"/>
  <c r="H35" i="6"/>
  <c r="F35" i="6"/>
  <c r="E35" i="6"/>
  <c r="D35" i="6"/>
  <c r="K34" i="6"/>
  <c r="H34" i="6"/>
  <c r="F34" i="6"/>
  <c r="E34" i="6"/>
  <c r="D34" i="6"/>
  <c r="K33" i="6"/>
  <c r="H33" i="6"/>
  <c r="F33" i="6"/>
  <c r="E33" i="6"/>
  <c r="D33" i="6"/>
  <c r="K32" i="6"/>
  <c r="H32" i="6"/>
  <c r="F32" i="6"/>
  <c r="E32" i="6"/>
  <c r="D32" i="6"/>
  <c r="K31" i="6"/>
  <c r="H31" i="6"/>
  <c r="F31" i="6"/>
  <c r="E31" i="6"/>
  <c r="D31" i="6"/>
  <c r="K30" i="6"/>
  <c r="H30" i="6"/>
  <c r="F30" i="6"/>
  <c r="E30" i="6"/>
  <c r="D30" i="6"/>
  <c r="H29" i="6"/>
  <c r="F29" i="6"/>
  <c r="E29" i="6"/>
  <c r="D29" i="6"/>
  <c r="K28" i="6"/>
  <c r="H28" i="6"/>
  <c r="F28" i="6"/>
  <c r="E28" i="6"/>
  <c r="D28" i="6"/>
  <c r="K27" i="6"/>
  <c r="H27" i="6"/>
  <c r="F27" i="6"/>
  <c r="E27" i="6"/>
  <c r="D27" i="6"/>
  <c r="K26" i="6"/>
  <c r="H26" i="6"/>
  <c r="F26" i="6"/>
  <c r="E26" i="6"/>
  <c r="D26" i="6"/>
  <c r="K25" i="6"/>
  <c r="H25" i="6"/>
  <c r="F25" i="6"/>
  <c r="E25" i="6"/>
  <c r="D25" i="6"/>
  <c r="H24" i="6"/>
  <c r="F24" i="6"/>
  <c r="G25" i="6" s="1"/>
  <c r="E24" i="6"/>
  <c r="D24" i="6"/>
  <c r="K23" i="6"/>
  <c r="H23" i="6"/>
  <c r="F23" i="6"/>
  <c r="E23" i="6"/>
  <c r="D23" i="6"/>
  <c r="H22" i="6"/>
  <c r="F22" i="6"/>
  <c r="E22" i="6"/>
  <c r="D22" i="6"/>
  <c r="H21" i="6"/>
  <c r="F21" i="6"/>
  <c r="E21" i="6"/>
  <c r="D21" i="6"/>
  <c r="H20" i="6"/>
  <c r="F20" i="6"/>
  <c r="E20" i="6"/>
  <c r="D20" i="6"/>
  <c r="H19" i="6"/>
  <c r="I19" i="6" s="1"/>
  <c r="I50" i="6"/>
  <c r="F19" i="6"/>
  <c r="G19" i="6" s="1"/>
  <c r="G50" i="6"/>
  <c r="E19" i="6"/>
  <c r="D19" i="6"/>
  <c r="A16" i="5"/>
  <c r="E9" i="5"/>
  <c r="E10" i="5" s="1"/>
  <c r="E12" i="5" s="1"/>
  <c r="E13" i="5" s="1"/>
  <c r="A17" i="4"/>
  <c r="E13" i="4"/>
  <c r="E14" i="4"/>
  <c r="E11" i="4"/>
  <c r="E12" i="4" s="1"/>
  <c r="E10" i="4"/>
  <c r="E15" i="4"/>
  <c r="F74" i="2"/>
  <c r="B74" i="2"/>
  <c r="D74" i="2" s="1"/>
  <c r="F73" i="2"/>
  <c r="B73" i="2"/>
  <c r="D73" i="2" s="1"/>
  <c r="F72" i="2"/>
  <c r="B72" i="2"/>
  <c r="D72" i="2" s="1"/>
  <c r="F71" i="2"/>
  <c r="B71" i="2"/>
  <c r="D71" i="2" s="1"/>
  <c r="F70" i="2"/>
  <c r="B70" i="2"/>
  <c r="D70" i="2" s="1"/>
  <c r="F69" i="2"/>
  <c r="B69" i="2"/>
  <c r="D69" i="2" s="1"/>
  <c r="F68" i="2"/>
  <c r="B68" i="2"/>
  <c r="D68" i="2" s="1"/>
  <c r="F67" i="2"/>
  <c r="B67" i="2"/>
  <c r="D67" i="2" s="1"/>
  <c r="F66" i="2"/>
  <c r="B66" i="2"/>
  <c r="D66" i="2" s="1"/>
  <c r="F65" i="2"/>
  <c r="B65" i="2"/>
  <c r="D65" i="2" s="1"/>
  <c r="F64" i="2"/>
  <c r="B64" i="2"/>
  <c r="D64" i="2" s="1"/>
  <c r="F63" i="2"/>
  <c r="B63" i="2"/>
  <c r="D63" i="2" s="1"/>
  <c r="F62" i="2"/>
  <c r="B62" i="2"/>
  <c r="D62" i="2" s="1"/>
  <c r="F61" i="2"/>
  <c r="B61" i="2"/>
  <c r="D61" i="2" s="1"/>
  <c r="F60" i="2"/>
  <c r="B60" i="2"/>
  <c r="D60" i="2" s="1"/>
  <c r="F59" i="2"/>
  <c r="B59" i="2"/>
  <c r="D59" i="2" s="1"/>
  <c r="F58" i="2"/>
  <c r="B58" i="2"/>
  <c r="D58" i="2" s="1"/>
  <c r="F57" i="2"/>
  <c r="B57" i="2"/>
  <c r="D57" i="2" s="1"/>
  <c r="F56" i="2"/>
  <c r="B56" i="2"/>
  <c r="D56" i="2" s="1"/>
  <c r="F55" i="2"/>
  <c r="B55" i="2"/>
  <c r="D55" i="2" s="1"/>
  <c r="F54" i="2"/>
  <c r="B54" i="2"/>
  <c r="D54" i="2" s="1"/>
  <c r="F53" i="2"/>
  <c r="B53" i="2"/>
  <c r="D53" i="2" s="1"/>
  <c r="F52" i="2"/>
  <c r="B52" i="2"/>
  <c r="D52" i="2" s="1"/>
  <c r="F51" i="2"/>
  <c r="B51" i="2"/>
  <c r="D51" i="2" s="1"/>
  <c r="F50" i="2"/>
  <c r="B50" i="2"/>
  <c r="D50" i="2" s="1"/>
  <c r="F49" i="2"/>
  <c r="B49" i="2"/>
  <c r="D49" i="2" s="1"/>
  <c r="F48" i="2"/>
  <c r="B48" i="2"/>
  <c r="D48" i="2" s="1"/>
  <c r="F47" i="2"/>
  <c r="B47" i="2"/>
  <c r="D47" i="2" s="1"/>
  <c r="F46" i="2"/>
  <c r="B46" i="2"/>
  <c r="D46" i="2" s="1"/>
  <c r="F45" i="2"/>
  <c r="C45" i="2"/>
  <c r="B45" i="2"/>
  <c r="C46" i="2"/>
  <c r="A21" i="2"/>
  <c r="A22" i="2" s="1"/>
  <c r="A23" i="2" s="1"/>
  <c r="E9" i="2"/>
  <c r="H10" i="2" s="1"/>
  <c r="G23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I45" i="6"/>
  <c r="J45" i="6"/>
  <c r="G46" i="6"/>
  <c r="I46" i="6"/>
  <c r="G47" i="6"/>
  <c r="I47" i="6"/>
  <c r="J47" i="6"/>
  <c r="G48" i="6"/>
  <c r="I48" i="6"/>
  <c r="G49" i="6"/>
  <c r="I49" i="6"/>
  <c r="J49" i="6"/>
  <c r="J50" i="6"/>
  <c r="J48" i="6"/>
  <c r="J46" i="6"/>
  <c r="E14" i="5"/>
  <c r="B48" i="6"/>
  <c r="B46" i="6"/>
  <c r="B47" i="6"/>
  <c r="B49" i="6"/>
  <c r="B45" i="6"/>
  <c r="B50" i="6"/>
  <c r="C45" i="6"/>
  <c r="C46" i="6"/>
  <c r="C47" i="6"/>
  <c r="C48" i="6"/>
  <c r="C49" i="6"/>
  <c r="C50" i="6"/>
  <c r="K24" i="6"/>
  <c r="D45" i="2"/>
  <c r="E45" i="2" s="1"/>
  <c r="I22" i="6" l="1"/>
  <c r="I23" i="6"/>
  <c r="I38" i="6"/>
  <c r="I21" i="6"/>
  <c r="I30" i="6"/>
  <c r="I36" i="6"/>
  <c r="I27" i="6"/>
  <c r="I40" i="6"/>
  <c r="I32" i="6"/>
  <c r="I42" i="6"/>
  <c r="I34" i="6"/>
  <c r="I26" i="6"/>
  <c r="I44" i="6"/>
  <c r="I17" i="6" s="1"/>
  <c r="I24" i="6"/>
  <c r="I28" i="6"/>
  <c r="I25" i="6"/>
  <c r="I29" i="6"/>
  <c r="I43" i="6"/>
  <c r="I41" i="6"/>
  <c r="I39" i="6"/>
  <c r="I37" i="6"/>
  <c r="I35" i="6"/>
  <c r="I33" i="6"/>
  <c r="I31" i="6"/>
  <c r="G29" i="6"/>
  <c r="G21" i="6"/>
  <c r="G20" i="6"/>
  <c r="G27" i="6"/>
  <c r="G28" i="6"/>
  <c r="G24" i="6"/>
  <c r="G26" i="6"/>
  <c r="G22" i="6"/>
  <c r="I20" i="6"/>
  <c r="E11" i="5"/>
  <c r="C48" i="7"/>
  <c r="E48" i="7" s="1"/>
  <c r="G48" i="7" s="1"/>
  <c r="C51" i="7"/>
  <c r="E51" i="7" s="1"/>
  <c r="G51" i="7" s="1"/>
  <c r="H51" i="7" s="1"/>
  <c r="D49" i="7"/>
  <c r="C56" i="7"/>
  <c r="E56" i="7" s="1"/>
  <c r="G56" i="7" s="1"/>
  <c r="A23" i="7"/>
  <c r="I51" i="7"/>
  <c r="J51" i="7" s="1"/>
  <c r="H48" i="7"/>
  <c r="I48" i="7"/>
  <c r="J48" i="7" s="1"/>
  <c r="C73" i="7"/>
  <c r="E73" i="7" s="1"/>
  <c r="G73" i="7" s="1"/>
  <c r="C69" i="7"/>
  <c r="E69" i="7" s="1"/>
  <c r="G69" i="7" s="1"/>
  <c r="C65" i="7"/>
  <c r="E65" i="7" s="1"/>
  <c r="G65" i="7" s="1"/>
  <c r="C61" i="7"/>
  <c r="E61" i="7" s="1"/>
  <c r="G61" i="7" s="1"/>
  <c r="C57" i="7"/>
  <c r="E57" i="7" s="1"/>
  <c r="G57" i="7" s="1"/>
  <c r="C53" i="7"/>
  <c r="E53" i="7" s="1"/>
  <c r="G53" i="7" s="1"/>
  <c r="C49" i="7"/>
  <c r="E49" i="7" s="1"/>
  <c r="G49" i="7" s="1"/>
  <c r="C72" i="7"/>
  <c r="E72" i="7" s="1"/>
  <c r="G72" i="7" s="1"/>
  <c r="C74" i="7"/>
  <c r="E74" i="7" s="1"/>
  <c r="G74" i="7" s="1"/>
  <c r="C70" i="7"/>
  <c r="E70" i="7" s="1"/>
  <c r="G70" i="7" s="1"/>
  <c r="C66" i="7"/>
  <c r="E66" i="7" s="1"/>
  <c r="G66" i="7" s="1"/>
  <c r="C62" i="7"/>
  <c r="E62" i="7" s="1"/>
  <c r="G62" i="7" s="1"/>
  <c r="C58" i="7"/>
  <c r="E58" i="7" s="1"/>
  <c r="G58" i="7" s="1"/>
  <c r="C54" i="7"/>
  <c r="E54" i="7" s="1"/>
  <c r="G54" i="7" s="1"/>
  <c r="C50" i="7"/>
  <c r="E50" i="7" s="1"/>
  <c r="G50" i="7" s="1"/>
  <c r="C46" i="7"/>
  <c r="E46" i="7" s="1"/>
  <c r="G46" i="7" s="1"/>
  <c r="D45" i="7"/>
  <c r="E45" i="7" s="1"/>
  <c r="G45" i="7" s="1"/>
  <c r="C68" i="7"/>
  <c r="E68" i="7" s="1"/>
  <c r="G68" i="7" s="1"/>
  <c r="C64" i="7"/>
  <c r="E64" i="7" s="1"/>
  <c r="G64" i="7" s="1"/>
  <c r="C60" i="7"/>
  <c r="E60" i="7" s="1"/>
  <c r="G60" i="7" s="1"/>
  <c r="C59" i="7"/>
  <c r="E59" i="7" s="1"/>
  <c r="G59" i="7" s="1"/>
  <c r="C63" i="7"/>
  <c r="E63" i="7" s="1"/>
  <c r="G63" i="7" s="1"/>
  <c r="C67" i="7"/>
  <c r="E67" i="7" s="1"/>
  <c r="G67" i="7" s="1"/>
  <c r="C71" i="7"/>
  <c r="E71" i="7" s="1"/>
  <c r="G71" i="7" s="1"/>
  <c r="C47" i="7"/>
  <c r="E47" i="7" s="1"/>
  <c r="C52" i="7"/>
  <c r="E52" i="7" s="1"/>
  <c r="G52" i="7" s="1"/>
  <c r="C55" i="7"/>
  <c r="E55" i="7" s="1"/>
  <c r="G55" i="7" s="1"/>
  <c r="C60" i="2"/>
  <c r="E60" i="2" s="1"/>
  <c r="C73" i="2"/>
  <c r="C48" i="2"/>
  <c r="E48" i="2" s="1"/>
  <c r="G48" i="2" s="1"/>
  <c r="C68" i="2"/>
  <c r="E68" i="2" s="1"/>
  <c r="G68" i="2" s="1"/>
  <c r="C49" i="2"/>
  <c r="C47" i="2"/>
  <c r="E47" i="2" s="1"/>
  <c r="C66" i="2"/>
  <c r="E66" i="2" s="1"/>
  <c r="G66" i="2" s="1"/>
  <c r="H66" i="2" s="1"/>
  <c r="C54" i="2"/>
  <c r="E54" i="2" s="1"/>
  <c r="G54" i="2" s="1"/>
  <c r="C56" i="2"/>
  <c r="C67" i="2"/>
  <c r="E67" i="2" s="1"/>
  <c r="G67" i="2" s="1"/>
  <c r="H67" i="2" s="1"/>
  <c r="C58" i="2"/>
  <c r="E58" i="2" s="1"/>
  <c r="G58" i="2" s="1"/>
  <c r="E46" i="2"/>
  <c r="G46" i="2" s="1"/>
  <c r="I46" i="2" s="1"/>
  <c r="J46" i="2" s="1"/>
  <c r="G45" i="2"/>
  <c r="I45" i="2" s="1"/>
  <c r="J45" i="2" s="1"/>
  <c r="E49" i="2"/>
  <c r="G49" i="2" s="1"/>
  <c r="H49" i="2" s="1"/>
  <c r="E56" i="2"/>
  <c r="G56" i="2" s="1"/>
  <c r="I56" i="2" s="1"/>
  <c r="J56" i="2" s="1"/>
  <c r="C70" i="2"/>
  <c r="E70" i="2" s="1"/>
  <c r="G70" i="2" s="1"/>
  <c r="H70" i="2" s="1"/>
  <c r="C51" i="2"/>
  <c r="E51" i="2" s="1"/>
  <c r="G51" i="2" s="1"/>
  <c r="C72" i="2"/>
  <c r="E72" i="2" s="1"/>
  <c r="G72" i="2" s="1"/>
  <c r="C65" i="2"/>
  <c r="E65" i="2" s="1"/>
  <c r="G65" i="2" s="1"/>
  <c r="I65" i="2" s="1"/>
  <c r="J65" i="2" s="1"/>
  <c r="C61" i="2"/>
  <c r="E61" i="2" s="1"/>
  <c r="G61" i="2" s="1"/>
  <c r="C63" i="2"/>
  <c r="E63" i="2" s="1"/>
  <c r="G63" i="2" s="1"/>
  <c r="H63" i="2" s="1"/>
  <c r="C69" i="2"/>
  <c r="E69" i="2" s="1"/>
  <c r="G69" i="2" s="1"/>
  <c r="H69" i="2" s="1"/>
  <c r="C53" i="2"/>
  <c r="E53" i="2" s="1"/>
  <c r="G53" i="2" s="1"/>
  <c r="C59" i="2"/>
  <c r="E59" i="2" s="1"/>
  <c r="G59" i="2" s="1"/>
  <c r="C55" i="2"/>
  <c r="E55" i="2" s="1"/>
  <c r="G55" i="2" s="1"/>
  <c r="H55" i="2" s="1"/>
  <c r="C64" i="2"/>
  <c r="E64" i="2" s="1"/>
  <c r="G64" i="2" s="1"/>
  <c r="H64" i="2" s="1"/>
  <c r="C62" i="2"/>
  <c r="E62" i="2" s="1"/>
  <c r="G62" i="2" s="1"/>
  <c r="H62" i="2" s="1"/>
  <c r="C50" i="2"/>
  <c r="E50" i="2" s="1"/>
  <c r="G50" i="2" s="1"/>
  <c r="C52" i="2"/>
  <c r="E52" i="2" s="1"/>
  <c r="G52" i="2" s="1"/>
  <c r="I52" i="2" s="1"/>
  <c r="J52" i="2" s="1"/>
  <c r="C71" i="2"/>
  <c r="E71" i="2" s="1"/>
  <c r="G71" i="2" s="1"/>
  <c r="C57" i="2"/>
  <c r="E57" i="2" s="1"/>
  <c r="G57" i="2" s="1"/>
  <c r="C74" i="2"/>
  <c r="E74" i="2" s="1"/>
  <c r="G74" i="2" s="1"/>
  <c r="H74" i="2" s="1"/>
  <c r="E73" i="2"/>
  <c r="G73" i="2" s="1"/>
  <c r="H73" i="2" s="1"/>
  <c r="H65" i="2"/>
  <c r="G60" i="2"/>
  <c r="A24" i="2"/>
  <c r="H56" i="2" l="1"/>
  <c r="J19" i="6"/>
  <c r="K19" i="6" s="1"/>
  <c r="J41" i="6"/>
  <c r="J44" i="6"/>
  <c r="J27" i="6"/>
  <c r="J26" i="6"/>
  <c r="J36" i="6"/>
  <c r="J38" i="6"/>
  <c r="J31" i="6"/>
  <c r="J21" i="6"/>
  <c r="K21" i="6" s="1"/>
  <c r="J43" i="6"/>
  <c r="J42" i="6"/>
  <c r="J22" i="6"/>
  <c r="K22" i="6" s="1"/>
  <c r="J32" i="6"/>
  <c r="J34" i="6"/>
  <c r="J28" i="6"/>
  <c r="J24" i="6"/>
  <c r="J39" i="6"/>
  <c r="J37" i="6"/>
  <c r="J30" i="6"/>
  <c r="J40" i="6"/>
  <c r="J25" i="6"/>
  <c r="J35" i="6"/>
  <c r="J33" i="6"/>
  <c r="J29" i="6"/>
  <c r="K29" i="6" s="1"/>
  <c r="J20" i="6"/>
  <c r="K20" i="6" s="1"/>
  <c r="J23" i="6"/>
  <c r="I71" i="7"/>
  <c r="J71" i="7" s="1"/>
  <c r="H71" i="7"/>
  <c r="H46" i="7"/>
  <c r="I46" i="7"/>
  <c r="J46" i="7" s="1"/>
  <c r="I62" i="7"/>
  <c r="J62" i="7" s="1"/>
  <c r="H62" i="7"/>
  <c r="H61" i="7"/>
  <c r="I61" i="7"/>
  <c r="J61" i="7" s="1"/>
  <c r="I55" i="7"/>
  <c r="J55" i="7" s="1"/>
  <c r="H55" i="7"/>
  <c r="H64" i="7"/>
  <c r="I64" i="7"/>
  <c r="J64" i="7" s="1"/>
  <c r="I66" i="7"/>
  <c r="J66" i="7" s="1"/>
  <c r="H66" i="7"/>
  <c r="H65" i="7"/>
  <c r="I65" i="7"/>
  <c r="J65" i="7" s="1"/>
  <c r="A24" i="7"/>
  <c r="H52" i="7"/>
  <c r="I52" i="7"/>
  <c r="J52" i="7" s="1"/>
  <c r="I63" i="7"/>
  <c r="J63" i="7" s="1"/>
  <c r="H63" i="7"/>
  <c r="H68" i="7"/>
  <c r="I68" i="7"/>
  <c r="J68" i="7" s="1"/>
  <c r="H54" i="7"/>
  <c r="I54" i="7"/>
  <c r="J54" i="7" s="1"/>
  <c r="I70" i="7"/>
  <c r="J70" i="7" s="1"/>
  <c r="H70" i="7"/>
  <c r="H53" i="7"/>
  <c r="I53" i="7"/>
  <c r="J53" i="7" s="1"/>
  <c r="H69" i="7"/>
  <c r="I69" i="7"/>
  <c r="J69" i="7" s="1"/>
  <c r="H56" i="7"/>
  <c r="I56" i="7"/>
  <c r="J56" i="7" s="1"/>
  <c r="H60" i="7"/>
  <c r="I60" i="7"/>
  <c r="J60" i="7" s="1"/>
  <c r="H72" i="7"/>
  <c r="I72" i="7"/>
  <c r="J72" i="7" s="1"/>
  <c r="I67" i="7"/>
  <c r="J67" i="7" s="1"/>
  <c r="H67" i="7"/>
  <c r="I50" i="7"/>
  <c r="J50" i="7" s="1"/>
  <c r="H50" i="7"/>
  <c r="H49" i="7"/>
  <c r="I49" i="7"/>
  <c r="J49" i="7" s="1"/>
  <c r="B20" i="7"/>
  <c r="G47" i="7"/>
  <c r="E14" i="7"/>
  <c r="F16" i="7" s="1"/>
  <c r="I59" i="7"/>
  <c r="J59" i="7" s="1"/>
  <c r="H59" i="7"/>
  <c r="H45" i="7"/>
  <c r="I45" i="7"/>
  <c r="J45" i="7" s="1"/>
  <c r="I58" i="7"/>
  <c r="J58" i="7" s="1"/>
  <c r="H58" i="7"/>
  <c r="I74" i="7"/>
  <c r="J74" i="7" s="1"/>
  <c r="H74" i="7"/>
  <c r="H57" i="7"/>
  <c r="I57" i="7"/>
  <c r="J57" i="7" s="1"/>
  <c r="H73" i="7"/>
  <c r="I73" i="7"/>
  <c r="J73" i="7" s="1"/>
  <c r="I54" i="2"/>
  <c r="J54" i="2" s="1"/>
  <c r="H54" i="2"/>
  <c r="I67" i="2"/>
  <c r="J67" i="2" s="1"/>
  <c r="H48" i="2"/>
  <c r="I48" i="2"/>
  <c r="J48" i="2" s="1"/>
  <c r="I63" i="2"/>
  <c r="J63" i="2" s="1"/>
  <c r="G47" i="2"/>
  <c r="H47" i="2" s="1"/>
  <c r="E14" i="2"/>
  <c r="H12" i="2" s="1"/>
  <c r="B20" i="2"/>
  <c r="I72" i="2"/>
  <c r="J72" i="2" s="1"/>
  <c r="H72" i="2"/>
  <c r="I68" i="2"/>
  <c r="J68" i="2" s="1"/>
  <c r="H68" i="2"/>
  <c r="H45" i="2"/>
  <c r="H46" i="2"/>
  <c r="I64" i="2"/>
  <c r="J64" i="2" s="1"/>
  <c r="H58" i="2"/>
  <c r="I58" i="2"/>
  <c r="J58" i="2" s="1"/>
  <c r="I66" i="2"/>
  <c r="J66" i="2" s="1"/>
  <c r="I49" i="2"/>
  <c r="J49" i="2" s="1"/>
  <c r="I62" i="2"/>
  <c r="J62" i="2" s="1"/>
  <c r="I73" i="2"/>
  <c r="J73" i="2" s="1"/>
  <c r="H52" i="2"/>
  <c r="I55" i="2"/>
  <c r="J55" i="2" s="1"/>
  <c r="I50" i="2"/>
  <c r="J50" i="2" s="1"/>
  <c r="H50" i="2"/>
  <c r="H59" i="2"/>
  <c r="I59" i="2"/>
  <c r="J59" i="2" s="1"/>
  <c r="I61" i="2"/>
  <c r="J61" i="2" s="1"/>
  <c r="H61" i="2"/>
  <c r="I69" i="2"/>
  <c r="J69" i="2" s="1"/>
  <c r="I57" i="2"/>
  <c r="J57" i="2" s="1"/>
  <c r="H57" i="2"/>
  <c r="I74" i="2"/>
  <c r="J74" i="2" s="1"/>
  <c r="H51" i="2"/>
  <c r="I51" i="2"/>
  <c r="J51" i="2" s="1"/>
  <c r="I70" i="2"/>
  <c r="J70" i="2" s="1"/>
  <c r="H71" i="2"/>
  <c r="I71" i="2"/>
  <c r="J71" i="2" s="1"/>
  <c r="I60" i="2"/>
  <c r="J60" i="2" s="1"/>
  <c r="H60" i="2"/>
  <c r="H53" i="2"/>
  <c r="I53" i="2"/>
  <c r="J53" i="2" s="1"/>
  <c r="A25" i="2"/>
  <c r="B24" i="2" l="1"/>
  <c r="C20" i="2"/>
  <c r="H11" i="2"/>
  <c r="E14" i="6"/>
  <c r="B19" i="6" s="1"/>
  <c r="H12" i="7"/>
  <c r="B22" i="7"/>
  <c r="B21" i="7"/>
  <c r="I47" i="7"/>
  <c r="J47" i="7" s="1"/>
  <c r="H47" i="7"/>
  <c r="E10" i="7"/>
  <c r="M12" i="7" s="1"/>
  <c r="O12" i="7" s="1"/>
  <c r="B23" i="7"/>
  <c r="C20" i="7"/>
  <c r="C21" i="7" s="1"/>
  <c r="H11" i="7"/>
  <c r="B24" i="7"/>
  <c r="A25" i="7"/>
  <c r="B23" i="2"/>
  <c r="B21" i="2"/>
  <c r="B22" i="2"/>
  <c r="I47" i="2"/>
  <c r="J47" i="2" s="1"/>
  <c r="E10" i="2"/>
  <c r="A26" i="2"/>
  <c r="B25" i="2"/>
  <c r="C21" i="2" l="1"/>
  <c r="B28" i="6"/>
  <c r="B35" i="6"/>
  <c r="B39" i="6"/>
  <c r="B36" i="6"/>
  <c r="B38" i="6"/>
  <c r="B23" i="6"/>
  <c r="B25" i="6"/>
  <c r="B43" i="6"/>
  <c r="B30" i="6"/>
  <c r="B31" i="6"/>
  <c r="B20" i="6"/>
  <c r="B34" i="6"/>
  <c r="B41" i="6"/>
  <c r="B21" i="6"/>
  <c r="B26" i="6"/>
  <c r="B24" i="6"/>
  <c r="B32" i="6"/>
  <c r="B42" i="6"/>
  <c r="B22" i="6"/>
  <c r="B44" i="6"/>
  <c r="B37" i="6"/>
  <c r="B33" i="6"/>
  <c r="B27" i="6"/>
  <c r="B40" i="6"/>
  <c r="B29" i="6"/>
  <c r="C19" i="6"/>
  <c r="C22" i="7"/>
  <c r="C23" i="7" s="1"/>
  <c r="C24" i="7" s="1"/>
  <c r="B25" i="7"/>
  <c r="A26" i="7"/>
  <c r="E11" i="7"/>
  <c r="H13" i="7" s="1"/>
  <c r="E12" i="7"/>
  <c r="F12" i="7" s="1"/>
  <c r="C22" i="2"/>
  <c r="C23" i="2" s="1"/>
  <c r="C24" i="2" s="1"/>
  <c r="C25" i="2" s="1"/>
  <c r="E12" i="2"/>
  <c r="E13" i="2" s="1"/>
  <c r="E11" i="2"/>
  <c r="H13" i="2" s="1"/>
  <c r="A27" i="2"/>
  <c r="B26" i="2"/>
  <c r="C20" i="6" l="1"/>
  <c r="C21" i="6" s="1"/>
  <c r="C22" i="6" s="1"/>
  <c r="C23" i="6" s="1"/>
  <c r="C24" i="6" s="1"/>
  <c r="C25" i="6" s="1"/>
  <c r="C26" i="6" s="1"/>
  <c r="C27" i="6" s="1"/>
  <c r="C28" i="6" s="1"/>
  <c r="C29" i="6" s="1"/>
  <c r="C30" i="6" s="1"/>
  <c r="C31" i="6" s="1"/>
  <c r="C32" i="6" s="1"/>
  <c r="C33" i="6" s="1"/>
  <c r="C34" i="6" s="1"/>
  <c r="C35" i="6" s="1"/>
  <c r="C36" i="6" s="1"/>
  <c r="C37" i="6" s="1"/>
  <c r="C38" i="6" s="1"/>
  <c r="C39" i="6" s="1"/>
  <c r="C40" i="6" s="1"/>
  <c r="C41" i="6" s="1"/>
  <c r="C42" i="6" s="1"/>
  <c r="C43" i="6" s="1"/>
  <c r="C44" i="6" s="1"/>
  <c r="E11" i="6"/>
  <c r="E15" i="6"/>
  <c r="E9" i="6" s="1"/>
  <c r="E10" i="6"/>
  <c r="E13" i="7"/>
  <c r="J11" i="7"/>
  <c r="C25" i="7"/>
  <c r="A27" i="7"/>
  <c r="B26" i="7"/>
  <c r="C26" i="2"/>
  <c r="B27" i="2"/>
  <c r="C27" i="2" s="1"/>
  <c r="A28" i="2"/>
  <c r="E13" i="6" l="1"/>
  <c r="E12" i="6"/>
  <c r="J12" i="7"/>
  <c r="F13" i="7"/>
  <c r="C26" i="7"/>
  <c r="A28" i="7"/>
  <c r="B27" i="7"/>
  <c r="A29" i="2"/>
  <c r="B28" i="2"/>
  <c r="C28" i="2" s="1"/>
  <c r="C27" i="7" l="1"/>
  <c r="B28" i="7"/>
  <c r="A29" i="7"/>
  <c r="A30" i="2"/>
  <c r="B29" i="2"/>
  <c r="C29" i="2" s="1"/>
  <c r="C28" i="7" l="1"/>
  <c r="B29" i="7"/>
  <c r="C29" i="7" s="1"/>
  <c r="A30" i="7"/>
  <c r="A31" i="2"/>
  <c r="B30" i="2"/>
  <c r="C30" i="2" s="1"/>
  <c r="A31" i="7" l="1"/>
  <c r="B30" i="7"/>
  <c r="C30" i="7" s="1"/>
  <c r="A32" i="2"/>
  <c r="B31" i="2"/>
  <c r="C31" i="2" s="1"/>
  <c r="A32" i="7" l="1"/>
  <c r="B31" i="7"/>
  <c r="C31" i="7" s="1"/>
  <c r="A33" i="2"/>
  <c r="B32" i="2"/>
  <c r="C32" i="2" s="1"/>
  <c r="B32" i="7" l="1"/>
  <c r="C32" i="7" s="1"/>
  <c r="A33" i="7"/>
  <c r="A34" i="2"/>
  <c r="B33" i="2"/>
  <c r="C33" i="2" s="1"/>
  <c r="B33" i="7" l="1"/>
  <c r="C33" i="7" s="1"/>
  <c r="A34" i="7"/>
  <c r="A35" i="2"/>
  <c r="B34" i="2"/>
  <c r="C34" i="2" s="1"/>
  <c r="A35" i="7" l="1"/>
  <c r="B34" i="7"/>
  <c r="C34" i="7" s="1"/>
  <c r="A36" i="2"/>
  <c r="B35" i="2"/>
  <c r="C35" i="2" s="1"/>
  <c r="A36" i="7" l="1"/>
  <c r="B35" i="7"/>
  <c r="C35" i="7" s="1"/>
  <c r="A37" i="2"/>
  <c r="B36" i="2"/>
  <c r="C36" i="2" s="1"/>
  <c r="B36" i="7" l="1"/>
  <c r="C36" i="7" s="1"/>
  <c r="A37" i="7"/>
  <c r="A38" i="2"/>
  <c r="B37" i="2"/>
  <c r="C37" i="2" s="1"/>
  <c r="B37" i="7" l="1"/>
  <c r="C37" i="7" s="1"/>
  <c r="A38" i="7"/>
  <c r="A39" i="2"/>
  <c r="B38" i="2"/>
  <c r="C38" i="2" s="1"/>
  <c r="A39" i="7" l="1"/>
  <c r="B38" i="7"/>
  <c r="C38" i="7" s="1"/>
  <c r="A40" i="2"/>
  <c r="B40" i="2" s="1"/>
  <c r="B39" i="2"/>
  <c r="C39" i="2" s="1"/>
  <c r="A40" i="7" l="1"/>
  <c r="B40" i="7" s="1"/>
  <c r="B39" i="7"/>
  <c r="C39" i="7" s="1"/>
  <c r="C40" i="2"/>
  <c r="C40" i="7" l="1"/>
</calcChain>
</file>

<file path=xl/sharedStrings.xml><?xml version="1.0" encoding="utf-8"?>
<sst xmlns="http://schemas.openxmlformats.org/spreadsheetml/2006/main" count="126" uniqueCount="55">
  <si>
    <t>Queuing Model</t>
  </si>
  <si>
    <t>M/M/s (Exponential Service Times)</t>
  </si>
  <si>
    <t>Input Data</t>
  </si>
  <si>
    <r>
      <t>Arrival rate (</t>
    </r>
    <r>
      <rPr>
        <sz val="10"/>
        <rFont val="Symbol"/>
        <family val="1"/>
        <charset val="2"/>
      </rPr>
      <t>l</t>
    </r>
    <r>
      <rPr>
        <sz val="10"/>
        <rFont val="Arial"/>
        <family val="2"/>
      </rPr>
      <t>)</t>
    </r>
  </si>
  <si>
    <r>
      <t>Average server utilization (</t>
    </r>
    <r>
      <rPr>
        <sz val="10"/>
        <rFont val="Symbol"/>
        <family val="1"/>
        <charset val="2"/>
      </rPr>
      <t>r</t>
    </r>
    <r>
      <rPr>
        <sz val="10"/>
        <rFont val="Arial"/>
        <family val="2"/>
      </rPr>
      <t>)</t>
    </r>
  </si>
  <si>
    <r>
      <t>Service rate (</t>
    </r>
    <r>
      <rPr>
        <sz val="10"/>
        <rFont val="Symbol"/>
        <family val="1"/>
        <charset val="2"/>
      </rPr>
      <t>m</t>
    </r>
    <r>
      <rPr>
        <sz val="10"/>
        <rFont val="Arial"/>
        <family val="2"/>
      </rPr>
      <t>)</t>
    </r>
  </si>
  <si>
    <r>
      <t>Average number of customers in the queue (L</t>
    </r>
    <r>
      <rPr>
        <vertAlign val="subscript"/>
        <sz val="10"/>
        <rFont val="Arial"/>
        <family val="2"/>
      </rPr>
      <t>q</t>
    </r>
    <r>
      <rPr>
        <sz val="10"/>
        <rFont val="Arial"/>
        <family val="2"/>
      </rPr>
      <t>)</t>
    </r>
  </si>
  <si>
    <t>Number of servers (s)</t>
  </si>
  <si>
    <t>Average number of customers in the system (L)</t>
  </si>
  <si>
    <r>
      <t>Average waiting time in the queue (W</t>
    </r>
    <r>
      <rPr>
        <vertAlign val="subscript"/>
        <sz val="10"/>
        <rFont val="Arial"/>
        <family val="2"/>
      </rPr>
      <t>q</t>
    </r>
    <r>
      <rPr>
        <sz val="10"/>
        <rFont val="Arial"/>
        <family val="2"/>
      </rPr>
      <t>)</t>
    </r>
  </si>
  <si>
    <t>Average time in the system (W)</t>
  </si>
  <si>
    <r>
      <t>Probability (% of time) system is empty (P</t>
    </r>
    <r>
      <rPr>
        <vertAlign val="subscript"/>
        <sz val="10"/>
        <rFont val="Arial"/>
        <family val="2"/>
      </rPr>
      <t>0</t>
    </r>
    <r>
      <rPr>
        <sz val="10"/>
        <rFont val="Arial"/>
        <family val="2"/>
      </rPr>
      <t>)</t>
    </r>
  </si>
  <si>
    <t>Number of Units</t>
  </si>
  <si>
    <t>Probability</t>
  </si>
  <si>
    <t>Cumulative Probability</t>
  </si>
  <si>
    <t>n or s</t>
  </si>
  <si>
    <t>Cumsum(n-1)</t>
  </si>
  <si>
    <t>term2</t>
  </si>
  <si>
    <t>P0(s)</t>
  </si>
  <si>
    <t>Rho(s)</t>
  </si>
  <si>
    <t>Lq(s)</t>
  </si>
  <si>
    <t>L(s)</t>
  </si>
  <si>
    <t>Wq(s)</t>
  </si>
  <si>
    <t>W(S)</t>
  </si>
  <si>
    <t>Problem Title</t>
  </si>
  <si>
    <t>M/D/1 (Constant Service Times)</t>
  </si>
  <si>
    <t>M/G/1 (General Service Times)</t>
  </si>
  <si>
    <r>
      <t>Standard deviation (</t>
    </r>
    <r>
      <rPr>
        <sz val="10"/>
        <rFont val="Symbol"/>
        <family val="1"/>
        <charset val="2"/>
      </rPr>
      <t>s</t>
    </r>
    <r>
      <rPr>
        <sz val="10"/>
        <rFont val="Arial"/>
        <family val="2"/>
      </rPr>
      <t>)</t>
    </r>
  </si>
  <si>
    <t>M/M/s with a finite population</t>
  </si>
  <si>
    <r>
      <t>Arrival rate per customer (</t>
    </r>
    <r>
      <rPr>
        <sz val="10"/>
        <rFont val="Symbol"/>
        <family val="1"/>
        <charset val="2"/>
      </rPr>
      <t>l</t>
    </r>
    <r>
      <rPr>
        <sz val="10"/>
        <rFont val="Arial"/>
        <family val="2"/>
      </rPr>
      <t xml:space="preserve">) </t>
    </r>
  </si>
  <si>
    <t>Population size (N)</t>
  </si>
  <si>
    <t>Effective arrival rate</t>
  </si>
  <si>
    <t>Number waiting</t>
  </si>
  <si>
    <t>Arrival rate(n)</t>
  </si>
  <si>
    <t>Term 1</t>
  </si>
  <si>
    <t>Sum term 1</t>
  </si>
  <si>
    <t>Term 2</t>
  </si>
  <si>
    <t>Sum term 2</t>
  </si>
  <si>
    <t>Decum term 2</t>
  </si>
  <si>
    <t>Outputs</t>
  </si>
  <si>
    <t>Calculation scratchpad</t>
  </si>
  <si>
    <t>(lambda/mu)^n/n!</t>
  </si>
  <si>
    <t>Probabilities of number in system</t>
  </si>
  <si>
    <t>Q1</t>
  </si>
  <si>
    <t>Agents</t>
  </si>
  <si>
    <t>W in minutes(X60)</t>
  </si>
  <si>
    <t>Number of Servers(s)</t>
  </si>
  <si>
    <t>λ</t>
  </si>
  <si>
    <t>μ</t>
  </si>
  <si>
    <t>NA bec λ &gt; 7*μ</t>
  </si>
  <si>
    <t>Average time in the system(W) hour</t>
  </si>
  <si>
    <t xml:space="preserve">Queue cost (Wq *5) </t>
  </si>
  <si>
    <t>Agent cost(s x 12)</t>
  </si>
  <si>
    <t>Customer in queue(Wq)</t>
  </si>
  <si>
    <t xml:space="preserve">Total Cost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</si>
</sst>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000"/>
    <numFmt numFmtId="166" formatCode="_-[$£-809]* #,##0.00_-;\-[$£-809]* #,##0.00_-;_-[$£-809]* &quot;-&quot;??_-;_-@_-"/>
  </numFmts>
  <fonts count="16" x14ac:knownFonts="1">
    <font>
      <sz val="10"/>
      <color theme="1"/>
      <name val="Arial"/>
      <family val="2"/>
    </font>
    <font>
      <sz val="10"/>
      <name val="Arial"/>
      <family val="2"/>
    </font>
    <font>
      <b/>
      <sz val="14"/>
      <color indexed="16"/>
      <name val="Arial"/>
      <family val="2"/>
    </font>
    <font>
      <sz val="10"/>
      <color indexed="12"/>
      <name val="Arial"/>
      <family val="2"/>
    </font>
    <font>
      <b/>
      <sz val="10"/>
      <color indexed="21"/>
      <name val="Arial"/>
      <family val="2"/>
    </font>
    <font>
      <b/>
      <sz val="10"/>
      <color indexed="20"/>
      <name val="Arial"/>
      <family val="2"/>
    </font>
    <font>
      <sz val="10"/>
      <name val="Symbol"/>
      <family val="1"/>
      <charset val="2"/>
    </font>
    <font>
      <vertAlign val="subscript"/>
      <sz val="10"/>
      <name val="Arial"/>
      <family val="2"/>
    </font>
    <font>
      <sz val="10"/>
      <color indexed="10"/>
      <name val="Arial"/>
      <family val="2"/>
    </font>
    <font>
      <sz val="1"/>
      <color indexed="8"/>
      <name val="Courier"/>
      <family val="3"/>
    </font>
    <font>
      <i/>
      <sz val="1"/>
      <color indexed="8"/>
      <name val="Courier"/>
      <family val="3"/>
    </font>
    <font>
      <b/>
      <sz val="10"/>
      <color indexed="10"/>
      <name val="Arial"/>
      <family val="2"/>
    </font>
    <font>
      <sz val="10"/>
      <color theme="0"/>
      <name val="Arial"/>
      <family val="2"/>
    </font>
    <font>
      <b/>
      <sz val="10"/>
      <color theme="6" tint="-0.249977111117893"/>
      <name val="Arial"/>
      <family val="2"/>
    </font>
    <font>
      <sz val="10"/>
      <color theme="6" tint="-0.249977111117893"/>
      <name val="Arial"/>
      <family val="2"/>
    </font>
    <font>
      <sz val="10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</fills>
  <borders count="39">
    <border>
      <left/>
      <right/>
      <top/>
      <bottom/>
      <diagonal/>
    </border>
    <border>
      <left style="medium">
        <color indexed="21"/>
      </left>
      <right/>
      <top style="medium">
        <color indexed="21"/>
      </top>
      <bottom/>
      <diagonal/>
    </border>
    <border>
      <left style="thin">
        <color indexed="64"/>
      </left>
      <right style="medium">
        <color indexed="21"/>
      </right>
      <top style="medium">
        <color indexed="21"/>
      </top>
      <bottom style="thin">
        <color indexed="64"/>
      </bottom>
      <diagonal/>
    </border>
    <border>
      <left style="medium">
        <color indexed="20"/>
      </left>
      <right/>
      <top style="medium">
        <color indexed="20"/>
      </top>
      <bottom/>
      <diagonal/>
    </border>
    <border>
      <left/>
      <right style="medium">
        <color indexed="20"/>
      </right>
      <top style="medium">
        <color indexed="20"/>
      </top>
      <bottom/>
      <diagonal/>
    </border>
    <border>
      <left style="medium">
        <color indexed="21"/>
      </left>
      <right/>
      <top/>
      <bottom/>
      <diagonal/>
    </border>
    <border>
      <left style="thin">
        <color indexed="64"/>
      </left>
      <right style="medium">
        <color indexed="21"/>
      </right>
      <top style="thin">
        <color indexed="64"/>
      </top>
      <bottom style="thin">
        <color indexed="64"/>
      </bottom>
      <diagonal/>
    </border>
    <border>
      <left style="medium">
        <color indexed="20"/>
      </left>
      <right/>
      <top/>
      <bottom/>
      <diagonal/>
    </border>
    <border>
      <left/>
      <right style="medium">
        <color indexed="20"/>
      </right>
      <top/>
      <bottom/>
      <diagonal/>
    </border>
    <border>
      <left style="medium">
        <color indexed="21"/>
      </left>
      <right/>
      <top/>
      <bottom style="medium">
        <color indexed="21"/>
      </bottom>
      <diagonal/>
    </border>
    <border>
      <left style="thin">
        <color indexed="64"/>
      </left>
      <right style="medium">
        <color indexed="21"/>
      </right>
      <top style="thin">
        <color indexed="64"/>
      </top>
      <bottom style="medium">
        <color indexed="21"/>
      </bottom>
      <diagonal/>
    </border>
    <border>
      <left style="medium">
        <color indexed="20"/>
      </left>
      <right/>
      <top/>
      <bottom style="medium">
        <color indexed="20"/>
      </bottom>
      <diagonal/>
    </border>
    <border>
      <left/>
      <right style="medium">
        <color indexed="20"/>
      </right>
      <top/>
      <bottom style="medium">
        <color indexed="20"/>
      </bottom>
      <diagonal/>
    </border>
    <border>
      <left/>
      <right/>
      <top style="medium">
        <color indexed="20"/>
      </top>
      <bottom/>
      <diagonal/>
    </border>
    <border>
      <left/>
      <right/>
      <top/>
      <bottom style="medium">
        <color indexed="2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9">
    <xf numFmtId="0" fontId="0" fillId="0" borderId="0"/>
    <xf numFmtId="0" fontId="9" fillId="0" borderId="0">
      <protection locked="0"/>
    </xf>
    <xf numFmtId="0" fontId="9" fillId="0" borderId="0">
      <protection locked="0"/>
    </xf>
    <xf numFmtId="0" fontId="10" fillId="0" borderId="0">
      <protection locked="0"/>
    </xf>
    <xf numFmtId="0" fontId="9" fillId="0" borderId="0">
      <protection locked="0"/>
    </xf>
    <xf numFmtId="0" fontId="9" fillId="0" borderId="0">
      <protection locked="0"/>
    </xf>
    <xf numFmtId="0" fontId="9" fillId="0" borderId="0">
      <protection locked="0"/>
    </xf>
    <xf numFmtId="0" fontId="10" fillId="0" borderId="0">
      <protection locked="0"/>
    </xf>
    <xf numFmtId="0" fontId="1" fillId="0" borderId="0"/>
  </cellStyleXfs>
  <cellXfs count="77">
    <xf numFmtId="0" fontId="0" fillId="0" borderId="0" xfId="0"/>
    <xf numFmtId="0" fontId="2" fillId="0" borderId="0" xfId="8" applyFont="1"/>
    <xf numFmtId="0" fontId="1" fillId="0" borderId="0" xfId="8" applyFont="1"/>
    <xf numFmtId="0" fontId="3" fillId="0" borderId="0" xfId="8" applyFont="1"/>
    <xf numFmtId="0" fontId="4" fillId="0" borderId="0" xfId="8" applyFont="1"/>
    <xf numFmtId="0" fontId="5" fillId="0" borderId="0" xfId="8" applyFont="1"/>
    <xf numFmtId="0" fontId="1" fillId="0" borderId="1" xfId="8" applyFont="1" applyBorder="1"/>
    <xf numFmtId="0" fontId="1" fillId="2" borderId="2" xfId="8" applyNumberFormat="1" applyFont="1" applyFill="1" applyBorder="1" applyAlignment="1">
      <alignment horizontal="right"/>
    </xf>
    <xf numFmtId="0" fontId="1" fillId="0" borderId="3" xfId="8" applyFont="1" applyBorder="1"/>
    <xf numFmtId="164" fontId="1" fillId="3" borderId="4" xfId="8" applyNumberFormat="1" applyFont="1" applyFill="1" applyBorder="1" applyAlignment="1">
      <alignment horizontal="right"/>
    </xf>
    <xf numFmtId="0" fontId="1" fillId="0" borderId="5" xfId="8" applyFont="1" applyBorder="1"/>
    <xf numFmtId="0" fontId="1" fillId="2" borderId="6" xfId="8" applyNumberFormat="1" applyFont="1" applyFill="1" applyBorder="1" applyAlignment="1">
      <alignment horizontal="right"/>
    </xf>
    <xf numFmtId="0" fontId="1" fillId="0" borderId="7" xfId="8" applyFont="1" applyBorder="1"/>
    <xf numFmtId="164" fontId="1" fillId="3" borderId="8" xfId="8" applyNumberFormat="1" applyFont="1" applyFill="1" applyBorder="1" applyAlignment="1">
      <alignment horizontal="right"/>
    </xf>
    <xf numFmtId="0" fontId="1" fillId="0" borderId="9" xfId="8" applyFont="1" applyBorder="1"/>
    <xf numFmtId="0" fontId="1" fillId="2" borderId="10" xfId="8" applyNumberFormat="1" applyFont="1" applyFill="1" applyBorder="1" applyAlignment="1">
      <alignment horizontal="right"/>
    </xf>
    <xf numFmtId="0" fontId="1" fillId="0" borderId="11" xfId="8" applyFont="1" applyBorder="1"/>
    <xf numFmtId="164" fontId="1" fillId="3" borderId="12" xfId="8" applyNumberFormat="1" applyFont="1" applyFill="1" applyBorder="1" applyAlignment="1">
      <alignment horizontal="right"/>
    </xf>
    <xf numFmtId="0" fontId="1" fillId="0" borderId="0" xfId="8" applyFont="1" applyBorder="1"/>
    <xf numFmtId="0" fontId="8" fillId="0" borderId="0" xfId="8" applyFont="1"/>
    <xf numFmtId="0" fontId="5" fillId="0" borderId="0" xfId="8" applyFont="1" applyAlignment="1">
      <alignment wrapText="1"/>
    </xf>
    <xf numFmtId="0" fontId="1" fillId="0" borderId="0" xfId="8" applyFont="1" applyAlignment="1">
      <alignment wrapText="1"/>
    </xf>
    <xf numFmtId="0" fontId="1" fillId="0" borderId="3" xfId="8" applyFont="1" applyBorder="1" applyAlignment="1">
      <alignment horizontal="center"/>
    </xf>
    <xf numFmtId="0" fontId="1" fillId="0" borderId="13" xfId="8" applyFont="1" applyBorder="1" applyAlignment="1">
      <alignment horizontal="center"/>
    </xf>
    <xf numFmtId="0" fontId="1" fillId="0" borderId="4" xfId="8" applyFont="1" applyBorder="1" applyAlignment="1">
      <alignment horizontal="center" wrapText="1"/>
    </xf>
    <xf numFmtId="0" fontId="1" fillId="0" borderId="7" xfId="8" applyFont="1" applyBorder="1" applyAlignment="1">
      <alignment horizontal="center"/>
    </xf>
    <xf numFmtId="164" fontId="1" fillId="3" borderId="0" xfId="8" applyNumberFormat="1" applyFont="1" applyFill="1" applyBorder="1" applyAlignment="1">
      <alignment horizontal="right"/>
    </xf>
    <xf numFmtId="0" fontId="1" fillId="0" borderId="11" xfId="8" applyFont="1" applyBorder="1" applyAlignment="1">
      <alignment horizontal="center"/>
    </xf>
    <xf numFmtId="164" fontId="1" fillId="3" borderId="14" xfId="8" applyNumberFormat="1" applyFont="1" applyFill="1" applyBorder="1" applyAlignment="1">
      <alignment horizontal="right"/>
    </xf>
    <xf numFmtId="165" fontId="1" fillId="0" borderId="0" xfId="8" applyNumberFormat="1" applyFont="1"/>
    <xf numFmtId="0" fontId="1" fillId="0" borderId="0" xfId="8" applyFont="1" applyAlignment="1">
      <alignment horizontal="right"/>
    </xf>
    <xf numFmtId="0" fontId="5" fillId="0" borderId="14" xfId="8" applyFont="1" applyBorder="1"/>
    <xf numFmtId="0" fontId="1" fillId="2" borderId="2" xfId="8" applyFont="1" applyFill="1" applyBorder="1" applyAlignment="1">
      <alignment horizontal="right"/>
    </xf>
    <xf numFmtId="0" fontId="1" fillId="2" borderId="10" xfId="8" applyFont="1" applyFill="1" applyBorder="1" applyAlignment="1">
      <alignment horizontal="right"/>
    </xf>
    <xf numFmtId="164" fontId="1" fillId="0" borderId="0" xfId="8" applyNumberFormat="1" applyFont="1" applyBorder="1" applyAlignment="1">
      <alignment horizontal="center"/>
    </xf>
    <xf numFmtId="0" fontId="1" fillId="2" borderId="6" xfId="8" applyFont="1" applyFill="1" applyBorder="1" applyAlignment="1">
      <alignment horizontal="right"/>
    </xf>
    <xf numFmtId="164" fontId="1" fillId="2" borderId="10" xfId="8" applyNumberFormat="1" applyFont="1" applyFill="1" applyBorder="1" applyAlignment="1">
      <alignment horizontal="right"/>
    </xf>
    <xf numFmtId="0" fontId="1" fillId="0" borderId="1" xfId="8" applyFont="1" applyBorder="1" applyAlignment="1">
      <alignment wrapText="1"/>
    </xf>
    <xf numFmtId="0" fontId="1" fillId="0" borderId="3" xfId="8" applyFont="1" applyBorder="1" applyAlignment="1">
      <alignment horizontal="center" wrapText="1"/>
    </xf>
    <xf numFmtId="0" fontId="1" fillId="0" borderId="13" xfId="8" applyFont="1" applyBorder="1" applyAlignment="1">
      <alignment horizontal="center" wrapText="1"/>
    </xf>
    <xf numFmtId="0" fontId="1" fillId="0" borderId="0" xfId="8" applyFont="1" applyBorder="1" applyAlignment="1">
      <alignment horizontal="center"/>
    </xf>
    <xf numFmtId="0" fontId="13" fillId="0" borderId="0" xfId="8" applyFont="1"/>
    <xf numFmtId="0" fontId="14" fillId="0" borderId="0" xfId="8" applyFont="1"/>
    <xf numFmtId="0" fontId="12" fillId="0" borderId="0" xfId="8" applyFont="1"/>
    <xf numFmtId="0" fontId="12" fillId="0" borderId="0" xfId="8" applyFont="1" applyAlignment="1">
      <alignment horizontal="center" wrapText="1"/>
    </xf>
    <xf numFmtId="0" fontId="12" fillId="0" borderId="0" xfId="8" applyFont="1" applyAlignment="1">
      <alignment horizontal="right"/>
    </xf>
    <xf numFmtId="0" fontId="11" fillId="0" borderId="0" xfId="8" applyFont="1"/>
    <xf numFmtId="164" fontId="1" fillId="0" borderId="0" xfId="8" applyNumberFormat="1" applyFont="1"/>
    <xf numFmtId="0" fontId="1" fillId="0" borderId="15" xfId="8" applyFont="1" applyBorder="1"/>
    <xf numFmtId="0" fontId="1" fillId="0" borderId="16" xfId="8" applyFont="1" applyBorder="1"/>
    <xf numFmtId="0" fontId="1" fillId="0" borderId="17" xfId="8" applyFont="1" applyBorder="1"/>
    <xf numFmtId="0" fontId="1" fillId="0" borderId="18" xfId="8" applyFont="1" applyBorder="1"/>
    <xf numFmtId="0" fontId="1" fillId="0" borderId="19" xfId="8" applyFont="1" applyBorder="1"/>
    <xf numFmtId="0" fontId="1" fillId="0" borderId="20" xfId="8" applyFont="1" applyBorder="1"/>
    <xf numFmtId="0" fontId="1" fillId="0" borderId="21" xfId="8" applyFont="1" applyBorder="1"/>
    <xf numFmtId="0" fontId="1" fillId="0" borderId="22" xfId="8" applyFont="1" applyBorder="1"/>
    <xf numFmtId="0" fontId="1" fillId="0" borderId="23" xfId="8" applyFont="1" applyBorder="1"/>
    <xf numFmtId="164" fontId="1" fillId="0" borderId="8" xfId="8" applyNumberFormat="1" applyFont="1" applyFill="1" applyBorder="1" applyAlignment="1">
      <alignment horizontal="right"/>
    </xf>
    <xf numFmtId="0" fontId="15" fillId="0" borderId="0" xfId="0" applyFont="1" applyAlignment="1">
      <alignment horizontal="justify" vertical="center"/>
    </xf>
    <xf numFmtId="166" fontId="1" fillId="0" borderId="24" xfId="8" applyNumberFormat="1" applyFont="1" applyFill="1" applyBorder="1"/>
    <xf numFmtId="166" fontId="1" fillId="0" borderId="26" xfId="8" applyNumberFormat="1" applyFont="1" applyFill="1" applyBorder="1"/>
    <xf numFmtId="0" fontId="1" fillId="0" borderId="28" xfId="8" applyFont="1" applyFill="1" applyBorder="1"/>
    <xf numFmtId="166" fontId="1" fillId="0" borderId="28" xfId="8" applyNumberFormat="1" applyFont="1" applyFill="1" applyBorder="1"/>
    <xf numFmtId="0" fontId="1" fillId="0" borderId="29" xfId="8" applyFont="1" applyFill="1" applyBorder="1"/>
    <xf numFmtId="0" fontId="1" fillId="0" borderId="30" xfId="8" applyFont="1" applyFill="1" applyBorder="1"/>
    <xf numFmtId="0" fontId="1" fillId="0" borderId="31" xfId="8" applyFont="1" applyFill="1" applyBorder="1"/>
    <xf numFmtId="166" fontId="1" fillId="0" borderId="31" xfId="8" applyNumberFormat="1" applyFont="1" applyFill="1" applyBorder="1"/>
    <xf numFmtId="0" fontId="1" fillId="0" borderId="32" xfId="8" applyFont="1" applyFill="1" applyBorder="1"/>
    <xf numFmtId="0" fontId="1" fillId="0" borderId="33" xfId="8" applyFont="1" applyFill="1" applyBorder="1"/>
    <xf numFmtId="164" fontId="1" fillId="0" borderId="34" xfId="8" applyNumberFormat="1" applyFont="1" applyFill="1" applyBorder="1" applyAlignment="1">
      <alignment horizontal="right"/>
    </xf>
    <xf numFmtId="0" fontId="1" fillId="0" borderId="34" xfId="8" applyFont="1" applyFill="1" applyBorder="1"/>
    <xf numFmtId="0" fontId="1" fillId="0" borderId="35" xfId="8" applyFont="1" applyFill="1" applyBorder="1"/>
    <xf numFmtId="0" fontId="1" fillId="0" borderId="36" xfId="8" applyFont="1" applyFill="1" applyBorder="1"/>
    <xf numFmtId="0" fontId="1" fillId="0" borderId="37" xfId="8" applyFont="1" applyFill="1" applyBorder="1"/>
    <xf numFmtId="0" fontId="1" fillId="0" borderId="38" xfId="8" applyFont="1" applyFill="1" applyBorder="1"/>
    <xf numFmtId="166" fontId="1" fillId="0" borderId="25" xfId="8" applyNumberFormat="1" applyFont="1" applyFill="1" applyBorder="1"/>
    <xf numFmtId="166" fontId="1" fillId="0" borderId="27" xfId="8" applyNumberFormat="1" applyFont="1" applyFill="1" applyBorder="1"/>
  </cellXfs>
  <cellStyles count="9">
    <cellStyle name="F2" xfId="1" xr:uid="{00000000-0005-0000-0000-000000000000}"/>
    <cellStyle name="F3" xfId="2" xr:uid="{00000000-0005-0000-0000-000001000000}"/>
    <cellStyle name="F4" xfId="3" xr:uid="{00000000-0005-0000-0000-000002000000}"/>
    <cellStyle name="F5" xfId="4" xr:uid="{00000000-0005-0000-0000-000003000000}"/>
    <cellStyle name="F6" xfId="5" xr:uid="{00000000-0005-0000-0000-000004000000}"/>
    <cellStyle name="F7" xfId="6" xr:uid="{00000000-0005-0000-0000-000005000000}"/>
    <cellStyle name="F8" xfId="7" xr:uid="{00000000-0005-0000-0000-000006000000}"/>
    <cellStyle name="Normal" xfId="0" builtinId="0"/>
    <cellStyle name="Normal 2" xfId="8" xr:uid="{00000000-0005-0000-0000-000008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144778</xdr:colOff>
      <xdr:row>2</xdr:row>
      <xdr:rowOff>127635</xdr:rowOff>
    </xdr:from>
    <xdr:to>
      <xdr:col>4</xdr:col>
      <xdr:colOff>465044</xdr:colOff>
      <xdr:row>6</xdr:row>
      <xdr:rowOff>117662</xdr:rowOff>
    </xdr:to>
    <xdr:sp macro="" textlink="">
      <xdr:nvSpPr>
        <xdr:cNvPr id="2" name="messageTextbox">
          <a:extLst>
            <a:ext uri="{FF2B5EF4-FFF2-40B4-BE49-F238E27FC236}">
              <a16:creationId xmlns:a16="http://schemas.microsoft.com/office/drawing/2014/main" id="{2B5A1CC2-4C1A-48C6-B1AD-9E58C5686A68}"/>
            </a:ext>
          </a:extLst>
        </xdr:cNvPr>
        <xdr:cNvSpPr txBox="1">
          <a:spLocks noChangeArrowheads="1"/>
        </xdr:cNvSpPr>
      </xdr:nvSpPr>
      <xdr:spPr bwMode="auto">
        <a:xfrm>
          <a:off x="144778" y="521335"/>
          <a:ext cx="6162266" cy="625027"/>
        </a:xfrm>
        <a:prstGeom prst="rect">
          <a:avLst/>
        </a:prstGeom>
        <a:solidFill>
          <a:schemeClr val="bg1"/>
        </a:solidFill>
        <a:ln w="1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GB" sz="1000" b="0" i="0" u="none" strike="noStrike" baseline="0">
              <a:solidFill>
                <a:srgbClr val="FF0000"/>
              </a:solidFill>
              <a:latin typeface="Arial"/>
              <a:cs typeface="Arial"/>
            </a:rPr>
            <a:t>1. Both </a:t>
          </a:r>
          <a:r>
            <a:rPr lang="en-GB" sz="1000" b="0" i="0" u="none" strike="noStrike" baseline="0">
              <a:solidFill>
                <a:srgbClr val="FF0000"/>
              </a:solidFill>
              <a:latin typeface="Symbol"/>
            </a:rPr>
            <a:t>l</a:t>
          </a:r>
          <a:r>
            <a:rPr lang="en-GB" sz="1000" b="0" i="0" u="none" strike="noStrike" baseline="0">
              <a:solidFill>
                <a:srgbClr val="FF0000"/>
              </a:solidFill>
              <a:latin typeface="Arial"/>
              <a:cs typeface="Arial"/>
            </a:rPr>
            <a:t> and </a:t>
          </a:r>
          <a:r>
            <a:rPr lang="en-GB" sz="1000" b="0" i="0" u="none" strike="noStrike" baseline="0">
              <a:solidFill>
                <a:srgbClr val="FF0000"/>
              </a:solidFill>
              <a:latin typeface="Symbol"/>
            </a:rPr>
            <a:t>m</a:t>
          </a:r>
          <a:r>
            <a:rPr lang="en-GB" sz="1000" b="0" i="0" u="none" strike="noStrike" baseline="0">
              <a:solidFill>
                <a:srgbClr val="FF0000"/>
              </a:solidFill>
              <a:latin typeface="Arial"/>
              <a:cs typeface="Arial"/>
            </a:rPr>
            <a:t> must be </a:t>
          </a:r>
          <a:r>
            <a:rPr lang="en-GB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rates</a:t>
          </a:r>
          <a:r>
            <a:rPr lang="en-GB" sz="1000" b="0" i="0" u="none" strike="noStrike" baseline="0">
              <a:solidFill>
                <a:srgbClr val="FF0000"/>
              </a:solidFill>
              <a:latin typeface="Arial"/>
              <a:cs typeface="Arial"/>
            </a:rPr>
            <a:t> rather than times, </a:t>
          </a:r>
          <a:r>
            <a:rPr lang="en-GB" sz="1000" b="1" i="1" u="none" strike="noStrike" baseline="0">
              <a:solidFill>
                <a:srgbClr val="FF0000"/>
              </a:solidFill>
              <a:latin typeface="Arial"/>
              <a:cs typeface="Arial"/>
            </a:rPr>
            <a:t>and must use the same time unit</a:t>
          </a:r>
          <a:r>
            <a:rPr lang="en-GB" sz="1000" b="0" i="0" u="none" strike="noStrike" baseline="0">
              <a:solidFill>
                <a:srgbClr val="FF0000"/>
              </a:solidFill>
              <a:latin typeface="Arial"/>
              <a:cs typeface="Arial"/>
            </a:rPr>
            <a:t>.  For example, given a service time such as 10 minutes per customer, it must be converted to a service rate such (i.e. 6 per hour).</a:t>
          </a:r>
        </a:p>
        <a:p>
          <a:pPr algn="l" rtl="0">
            <a:defRPr sz="1000"/>
          </a:pPr>
          <a:r>
            <a:rPr lang="en-GB" sz="1000" b="0" i="0" u="none" strike="noStrike" baseline="0">
              <a:solidFill>
                <a:srgbClr val="FF0000"/>
              </a:solidFill>
              <a:latin typeface="Arial"/>
              <a:cs typeface="Arial"/>
            </a:rPr>
            <a:t>2. The total service rate (rate multiplied by number of servers) must be greater than the arrival rate.</a:t>
          </a:r>
        </a:p>
      </xdr:txBody>
    </xdr: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144778</xdr:colOff>
      <xdr:row>2</xdr:row>
      <xdr:rowOff>127635</xdr:rowOff>
    </xdr:from>
    <xdr:to>
      <xdr:col>4</xdr:col>
      <xdr:colOff>465044</xdr:colOff>
      <xdr:row>6</xdr:row>
      <xdr:rowOff>117662</xdr:rowOff>
    </xdr:to>
    <xdr:sp macro="" textlink="">
      <xdr:nvSpPr>
        <xdr:cNvPr id="2" name="messageTextbox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44778" y="519841"/>
          <a:ext cx="5906398" cy="639968"/>
        </a:xfrm>
        <a:prstGeom prst="rect">
          <a:avLst/>
        </a:prstGeom>
        <a:solidFill>
          <a:schemeClr val="bg1"/>
        </a:solidFill>
        <a:ln w="1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GB" sz="1000" b="0" i="0" u="none" strike="noStrike" baseline="0">
              <a:solidFill>
                <a:srgbClr val="FF0000"/>
              </a:solidFill>
              <a:latin typeface="Arial"/>
              <a:cs typeface="Arial"/>
            </a:rPr>
            <a:t>1. Both </a:t>
          </a:r>
          <a:r>
            <a:rPr lang="en-GB" sz="1000" b="0" i="0" u="none" strike="noStrike" baseline="0">
              <a:solidFill>
                <a:srgbClr val="FF0000"/>
              </a:solidFill>
              <a:latin typeface="Symbol"/>
            </a:rPr>
            <a:t>l</a:t>
          </a:r>
          <a:r>
            <a:rPr lang="en-GB" sz="1000" b="0" i="0" u="none" strike="noStrike" baseline="0">
              <a:solidFill>
                <a:srgbClr val="FF0000"/>
              </a:solidFill>
              <a:latin typeface="Arial"/>
              <a:cs typeface="Arial"/>
            </a:rPr>
            <a:t> and </a:t>
          </a:r>
          <a:r>
            <a:rPr lang="en-GB" sz="1000" b="0" i="0" u="none" strike="noStrike" baseline="0">
              <a:solidFill>
                <a:srgbClr val="FF0000"/>
              </a:solidFill>
              <a:latin typeface="Symbol"/>
            </a:rPr>
            <a:t>m</a:t>
          </a:r>
          <a:r>
            <a:rPr lang="en-GB" sz="1000" b="0" i="0" u="none" strike="noStrike" baseline="0">
              <a:solidFill>
                <a:srgbClr val="FF0000"/>
              </a:solidFill>
              <a:latin typeface="Arial"/>
              <a:cs typeface="Arial"/>
            </a:rPr>
            <a:t> must be </a:t>
          </a:r>
          <a:r>
            <a:rPr lang="en-GB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rates</a:t>
          </a:r>
          <a:r>
            <a:rPr lang="en-GB" sz="1000" b="0" i="0" u="none" strike="noStrike" baseline="0">
              <a:solidFill>
                <a:srgbClr val="FF0000"/>
              </a:solidFill>
              <a:latin typeface="Arial"/>
              <a:cs typeface="Arial"/>
            </a:rPr>
            <a:t> rather than times, </a:t>
          </a:r>
          <a:r>
            <a:rPr lang="en-GB" sz="1000" b="1" i="1" u="none" strike="noStrike" baseline="0">
              <a:solidFill>
                <a:srgbClr val="FF0000"/>
              </a:solidFill>
              <a:latin typeface="Arial"/>
              <a:cs typeface="Arial"/>
            </a:rPr>
            <a:t>and must use the same time unit</a:t>
          </a:r>
          <a:r>
            <a:rPr lang="en-GB" sz="1000" b="0" i="0" u="none" strike="noStrike" baseline="0">
              <a:solidFill>
                <a:srgbClr val="FF0000"/>
              </a:solidFill>
              <a:latin typeface="Arial"/>
              <a:cs typeface="Arial"/>
            </a:rPr>
            <a:t>.  For example, given a service time such as 10 minutes per customer, it must be converted to a service rate such (i.e. 6 per hour).</a:t>
          </a:r>
        </a:p>
        <a:p>
          <a:pPr algn="l" rtl="0">
            <a:defRPr sz="1000"/>
          </a:pPr>
          <a:r>
            <a:rPr lang="en-GB" sz="1000" b="0" i="0" u="none" strike="noStrike" baseline="0">
              <a:solidFill>
                <a:srgbClr val="FF0000"/>
              </a:solidFill>
              <a:latin typeface="Arial"/>
              <a:cs typeface="Arial"/>
            </a:rPr>
            <a:t>2. The total service rate (rate multiplied by number of servers) must be greater than the arrival rate.</a:t>
          </a:r>
        </a:p>
      </xdr:txBody>
    </xdr:sp>
    <xdr:clientData fPrint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150495</xdr:colOff>
      <xdr:row>2</xdr:row>
      <xdr:rowOff>150496</xdr:rowOff>
    </xdr:from>
    <xdr:to>
      <xdr:col>4</xdr:col>
      <xdr:colOff>560064</xdr:colOff>
      <xdr:row>6</xdr:row>
      <xdr:rowOff>116417</xdr:rowOff>
    </xdr:to>
    <xdr:sp macro="" textlink="">
      <xdr:nvSpPr>
        <xdr:cNvPr id="2" name="messageTextbox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>
          <a:spLocks noChangeArrowheads="1"/>
        </xdr:cNvSpPr>
      </xdr:nvSpPr>
      <xdr:spPr bwMode="auto">
        <a:xfrm>
          <a:off x="150495" y="542079"/>
          <a:ext cx="5346694" cy="622088"/>
        </a:xfrm>
        <a:prstGeom prst="rect">
          <a:avLst/>
        </a:prstGeom>
        <a:solidFill>
          <a:srgbClr val="FFCC00"/>
        </a:solidFill>
        <a:ln w="1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GB" sz="1000" b="0" i="0" u="none" strike="noStrike" baseline="0">
              <a:solidFill>
                <a:srgbClr val="0000FF"/>
              </a:solidFill>
              <a:latin typeface="Arial"/>
              <a:cs typeface="Arial"/>
            </a:rPr>
            <a:t>1. Both </a:t>
          </a:r>
          <a:r>
            <a:rPr lang="en-GB" sz="1000" b="0" i="0" u="none" strike="noStrike" baseline="0">
              <a:solidFill>
                <a:srgbClr val="0000FF"/>
              </a:solidFill>
              <a:latin typeface="Symbol"/>
            </a:rPr>
            <a:t>l</a:t>
          </a:r>
          <a:r>
            <a:rPr lang="en-GB" sz="1000" b="0" i="0" u="none" strike="noStrike" baseline="0">
              <a:solidFill>
                <a:srgbClr val="0000FF"/>
              </a:solidFill>
              <a:latin typeface="Arial"/>
              <a:cs typeface="Arial"/>
            </a:rPr>
            <a:t> and </a:t>
          </a:r>
          <a:r>
            <a:rPr lang="en-GB" sz="1000" b="0" i="0" u="none" strike="noStrike" baseline="0">
              <a:solidFill>
                <a:srgbClr val="0000FF"/>
              </a:solidFill>
              <a:latin typeface="Symbol"/>
            </a:rPr>
            <a:t>m</a:t>
          </a:r>
          <a:r>
            <a:rPr lang="en-GB" sz="1000" b="0" i="0" u="none" strike="noStrike" baseline="0">
              <a:solidFill>
                <a:srgbClr val="0000FF"/>
              </a:solidFill>
              <a:latin typeface="Arial"/>
              <a:cs typeface="Arial"/>
            </a:rPr>
            <a:t> must be RATES, and use the same time unit.  For example, given a service time such as 10 minutes per customer, convert it to a service rate such as 6 per hour.</a:t>
          </a:r>
        </a:p>
        <a:p>
          <a:pPr algn="l" rtl="0">
            <a:defRPr sz="1000"/>
          </a:pPr>
          <a:r>
            <a:rPr lang="en-GB" sz="1000" b="0" i="0" u="none" strike="noStrike" baseline="0">
              <a:solidFill>
                <a:srgbClr val="0000FF"/>
              </a:solidFill>
              <a:latin typeface="Arial"/>
              <a:cs typeface="Arial"/>
            </a:rPr>
            <a:t>2. The service rate must be greater than the arrival rate.</a:t>
          </a:r>
        </a:p>
      </xdr:txBody>
    </xdr:sp>
    <xdr:clientData fPrintsWithSheet="0"/>
  </xdr:twoCellAnchor>
  <xdr:twoCellAnchor>
    <xdr:from>
      <xdr:col>0</xdr:col>
      <xdr:colOff>150495</xdr:colOff>
      <xdr:row>2</xdr:row>
      <xdr:rowOff>149648</xdr:rowOff>
    </xdr:from>
    <xdr:to>
      <xdr:col>5</xdr:col>
      <xdr:colOff>11</xdr:colOff>
      <xdr:row>6</xdr:row>
      <xdr:rowOff>79375</xdr:rowOff>
    </xdr:to>
    <xdr:sp macro="" textlink="">
      <xdr:nvSpPr>
        <xdr:cNvPr id="3" name="messageTextbox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>
          <a:spLocks noChangeArrowheads="1"/>
        </xdr:cNvSpPr>
      </xdr:nvSpPr>
      <xdr:spPr bwMode="auto">
        <a:xfrm>
          <a:off x="150495" y="541231"/>
          <a:ext cx="5463974" cy="585894"/>
        </a:xfrm>
        <a:prstGeom prst="rect">
          <a:avLst/>
        </a:prstGeom>
        <a:solidFill>
          <a:schemeClr val="bg1"/>
        </a:solidFill>
        <a:ln w="1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GB" sz="1000" b="0" i="0" u="none" strike="noStrike" baseline="0">
              <a:solidFill>
                <a:srgbClr val="FF0000"/>
              </a:solidFill>
              <a:latin typeface="Arial"/>
              <a:cs typeface="Arial"/>
            </a:rPr>
            <a:t>1. Both </a:t>
          </a:r>
          <a:r>
            <a:rPr lang="en-GB" sz="1000" b="0" i="0" u="none" strike="noStrike" baseline="0">
              <a:solidFill>
                <a:srgbClr val="FF0000"/>
              </a:solidFill>
              <a:latin typeface="Symbol"/>
            </a:rPr>
            <a:t>l</a:t>
          </a:r>
          <a:r>
            <a:rPr lang="en-GB" sz="1000" b="0" i="0" u="none" strike="noStrike" baseline="0">
              <a:solidFill>
                <a:srgbClr val="FF0000"/>
              </a:solidFill>
              <a:latin typeface="Arial"/>
              <a:cs typeface="Arial"/>
            </a:rPr>
            <a:t> and </a:t>
          </a:r>
          <a:r>
            <a:rPr lang="en-GB" sz="1000" b="0" i="0" u="none" strike="noStrike" baseline="0">
              <a:solidFill>
                <a:srgbClr val="FF0000"/>
              </a:solidFill>
              <a:latin typeface="Symbol"/>
            </a:rPr>
            <a:t>m</a:t>
          </a:r>
          <a:r>
            <a:rPr lang="en-GB" sz="1000" b="0" i="0" u="none" strike="noStrike" baseline="0">
              <a:solidFill>
                <a:srgbClr val="FF0000"/>
              </a:solidFill>
              <a:latin typeface="Arial"/>
              <a:cs typeface="Arial"/>
            </a:rPr>
            <a:t> must be </a:t>
          </a:r>
          <a:r>
            <a:rPr lang="en-GB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rates</a:t>
          </a:r>
          <a:r>
            <a:rPr lang="en-GB" sz="1000" b="0" i="0" u="none" strike="noStrike" baseline="0">
              <a:solidFill>
                <a:srgbClr val="FF0000"/>
              </a:solidFill>
              <a:latin typeface="Arial"/>
              <a:cs typeface="Arial"/>
            </a:rPr>
            <a:t> rather than times, </a:t>
          </a:r>
          <a:r>
            <a:rPr lang="en-GB" sz="1000" b="1" i="1" u="none" strike="noStrike" baseline="0">
              <a:solidFill>
                <a:srgbClr val="FF0000"/>
              </a:solidFill>
              <a:latin typeface="Arial"/>
              <a:cs typeface="Arial"/>
            </a:rPr>
            <a:t>and must use the same time unit</a:t>
          </a:r>
          <a:r>
            <a:rPr lang="en-GB" sz="1000" b="0" i="0" u="none" strike="noStrike" baseline="0">
              <a:solidFill>
                <a:srgbClr val="FF0000"/>
              </a:solidFill>
              <a:latin typeface="Arial"/>
              <a:cs typeface="Arial"/>
            </a:rPr>
            <a:t>.  For example, given a service time such as 10 minutes per customer, it must be converted to a service rate such (i.e. 6 per hour).</a:t>
          </a:r>
        </a:p>
        <a:p>
          <a:pPr algn="l" rtl="0">
            <a:defRPr sz="1000"/>
          </a:pPr>
          <a:r>
            <a:rPr lang="en-GB" sz="1000" b="0" i="0" u="none" strike="noStrike" baseline="0">
              <a:solidFill>
                <a:srgbClr val="FF0000"/>
              </a:solidFill>
              <a:latin typeface="Arial"/>
              <a:cs typeface="Arial"/>
            </a:rPr>
            <a:t>.</a:t>
          </a:r>
        </a:p>
      </xdr:txBody>
    </xdr:sp>
    <xdr:clientData fPrint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182880</xdr:colOff>
      <xdr:row>2</xdr:row>
      <xdr:rowOff>106680</xdr:rowOff>
    </xdr:from>
    <xdr:to>
      <xdr:col>4</xdr:col>
      <xdr:colOff>552446</xdr:colOff>
      <xdr:row>5</xdr:row>
      <xdr:rowOff>137160</xdr:rowOff>
    </xdr:to>
    <xdr:sp macro="" textlink="">
      <xdr:nvSpPr>
        <xdr:cNvPr id="2" name="messageTextbox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>
          <a:spLocks noChangeArrowheads="1"/>
        </xdr:cNvSpPr>
      </xdr:nvSpPr>
      <xdr:spPr bwMode="auto">
        <a:xfrm>
          <a:off x="182880" y="495300"/>
          <a:ext cx="5821680" cy="533400"/>
        </a:xfrm>
        <a:prstGeom prst="rect">
          <a:avLst/>
        </a:prstGeom>
        <a:solidFill>
          <a:srgbClr val="FFCC00"/>
        </a:solidFill>
        <a:ln w="1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GB" sz="1000" b="0" i="0" u="none" strike="noStrike" baseline="0">
              <a:solidFill>
                <a:srgbClr val="0000FF"/>
              </a:solidFill>
              <a:latin typeface="Arial"/>
              <a:cs typeface="Arial"/>
            </a:rPr>
            <a:t>1. Both </a:t>
          </a:r>
          <a:r>
            <a:rPr lang="en-GB" sz="1000" b="0" i="0" u="none" strike="noStrike" baseline="0">
              <a:solidFill>
                <a:srgbClr val="0000FF"/>
              </a:solidFill>
              <a:latin typeface="Symbol"/>
            </a:rPr>
            <a:t>l</a:t>
          </a:r>
          <a:r>
            <a:rPr lang="en-GB" sz="1000" b="0" i="0" u="none" strike="noStrike" baseline="0">
              <a:solidFill>
                <a:srgbClr val="0000FF"/>
              </a:solidFill>
              <a:latin typeface="Arial"/>
              <a:cs typeface="Arial"/>
            </a:rPr>
            <a:t> and </a:t>
          </a:r>
          <a:r>
            <a:rPr lang="en-GB" sz="1000" b="0" i="0" u="none" strike="noStrike" baseline="0">
              <a:solidFill>
                <a:srgbClr val="0000FF"/>
              </a:solidFill>
              <a:latin typeface="Symbol"/>
            </a:rPr>
            <a:t>m</a:t>
          </a:r>
          <a:r>
            <a:rPr lang="en-GB" sz="1000" b="0" i="0" u="none" strike="noStrike" baseline="0">
              <a:solidFill>
                <a:srgbClr val="0000FF"/>
              </a:solidFill>
              <a:latin typeface="Arial"/>
              <a:cs typeface="Arial"/>
            </a:rPr>
            <a:t> must be RATES, and use the same time unit.  However, the standard deviation (</a:t>
          </a:r>
          <a:r>
            <a:rPr lang="en-GB" sz="1000" b="0" i="0" u="none" strike="noStrike" baseline="0">
              <a:solidFill>
                <a:srgbClr val="0000FF"/>
              </a:solidFill>
              <a:latin typeface="Symbol"/>
            </a:rPr>
            <a:t>s</a:t>
          </a:r>
          <a:r>
            <a:rPr lang="en-GB" sz="1000" b="0" i="0" u="none" strike="noStrike" baseline="0">
              <a:solidFill>
                <a:srgbClr val="0000FF"/>
              </a:solidFill>
              <a:latin typeface="Arial"/>
              <a:cs typeface="Arial"/>
            </a:rPr>
            <a:t>) must be for the service TIME, not the service rate.</a:t>
          </a:r>
        </a:p>
        <a:p>
          <a:pPr algn="l" rtl="0">
            <a:defRPr sz="1000"/>
          </a:pPr>
          <a:r>
            <a:rPr lang="en-GB" sz="1000" b="0" i="0" u="none" strike="noStrike" baseline="0">
              <a:solidFill>
                <a:srgbClr val="0000FF"/>
              </a:solidFill>
              <a:latin typeface="Arial"/>
              <a:cs typeface="Arial"/>
            </a:rPr>
            <a:t>2. The service rate must be greater than the arrival rate.</a:t>
          </a:r>
        </a:p>
      </xdr:txBody>
    </xdr:sp>
    <xdr:clientData fPrintsWithSheet="0"/>
  </xdr:twoCellAnchor>
  <xdr:twoCellAnchor>
    <xdr:from>
      <xdr:col>0</xdr:col>
      <xdr:colOff>182880</xdr:colOff>
      <xdr:row>2</xdr:row>
      <xdr:rowOff>105832</xdr:rowOff>
    </xdr:from>
    <xdr:to>
      <xdr:col>5</xdr:col>
      <xdr:colOff>147114</xdr:colOff>
      <xdr:row>6</xdr:row>
      <xdr:rowOff>148166</xdr:rowOff>
    </xdr:to>
    <xdr:sp macro="" textlink="">
      <xdr:nvSpPr>
        <xdr:cNvPr id="3" name="messageTextbox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>
          <a:spLocks noChangeArrowheads="1"/>
        </xdr:cNvSpPr>
      </xdr:nvSpPr>
      <xdr:spPr bwMode="auto">
        <a:xfrm>
          <a:off x="182880" y="497415"/>
          <a:ext cx="5901484" cy="698501"/>
        </a:xfrm>
        <a:prstGeom prst="rect">
          <a:avLst/>
        </a:prstGeom>
        <a:solidFill>
          <a:schemeClr val="bg1"/>
        </a:solidFill>
        <a:ln w="1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GB" sz="1000" b="0" i="0" u="none" strike="noStrike" baseline="0">
              <a:solidFill>
                <a:srgbClr val="FF0000"/>
              </a:solidFill>
              <a:latin typeface="Arial"/>
              <a:cs typeface="Arial"/>
            </a:rPr>
            <a:t>1. Both </a:t>
          </a:r>
          <a:r>
            <a:rPr lang="en-GB" sz="1000" b="0" i="0" u="none" strike="noStrike" baseline="0">
              <a:solidFill>
                <a:srgbClr val="FF0000"/>
              </a:solidFill>
              <a:latin typeface="Symbol"/>
            </a:rPr>
            <a:t>l</a:t>
          </a:r>
          <a:r>
            <a:rPr lang="en-GB" sz="1000" b="0" i="0" u="none" strike="noStrike" baseline="0">
              <a:solidFill>
                <a:srgbClr val="FF0000"/>
              </a:solidFill>
              <a:latin typeface="Arial"/>
              <a:cs typeface="Arial"/>
            </a:rPr>
            <a:t> and </a:t>
          </a:r>
          <a:r>
            <a:rPr lang="en-GB" sz="1000" b="0" i="0" u="none" strike="noStrike" baseline="0">
              <a:solidFill>
                <a:srgbClr val="FF0000"/>
              </a:solidFill>
              <a:latin typeface="Symbol"/>
            </a:rPr>
            <a:t>m</a:t>
          </a:r>
          <a:r>
            <a:rPr lang="en-GB" sz="1000" b="0" i="0" u="none" strike="noStrike" baseline="0">
              <a:solidFill>
                <a:srgbClr val="FF0000"/>
              </a:solidFill>
              <a:latin typeface="Arial"/>
              <a:cs typeface="Arial"/>
            </a:rPr>
            <a:t> must be </a:t>
          </a:r>
          <a:r>
            <a:rPr lang="en-GB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rates</a:t>
          </a:r>
          <a:r>
            <a:rPr lang="en-GB" sz="1000" b="0" i="0" u="none" strike="noStrike" baseline="0">
              <a:solidFill>
                <a:srgbClr val="FF0000"/>
              </a:solidFill>
              <a:latin typeface="Arial"/>
              <a:cs typeface="Arial"/>
            </a:rPr>
            <a:t> rather than times, </a:t>
          </a:r>
          <a:r>
            <a:rPr lang="en-GB" sz="1000" b="1" i="1" u="none" strike="noStrike" baseline="0">
              <a:solidFill>
                <a:srgbClr val="FF0000"/>
              </a:solidFill>
              <a:latin typeface="Arial"/>
              <a:cs typeface="Arial"/>
            </a:rPr>
            <a:t>and must use the same time unit</a:t>
          </a:r>
          <a:r>
            <a:rPr lang="en-GB" sz="1000" b="0" i="0" u="none" strike="noStrike" baseline="0">
              <a:solidFill>
                <a:srgbClr val="FF0000"/>
              </a:solidFill>
              <a:latin typeface="Arial"/>
              <a:cs typeface="Arial"/>
            </a:rPr>
            <a:t>.  For example, given a service time such as 10 minutes per customer, it must be converted to a service rate such (i.e. 6 per hour).</a:t>
          </a:r>
        </a:p>
        <a:p>
          <a:pPr algn="l" rtl="0">
            <a:defRPr sz="1000"/>
          </a:pPr>
          <a:r>
            <a:rPr lang="en-GB" sz="1000" b="0" i="0" u="none" strike="noStrike" baseline="0">
              <a:solidFill>
                <a:srgbClr val="FF0000"/>
              </a:solidFill>
              <a:latin typeface="Arial"/>
              <a:cs typeface="Arial"/>
            </a:rPr>
            <a:t>2. Standard deviation must be in units of time (hours, minutes etc)</a:t>
          </a:r>
        </a:p>
        <a:p>
          <a:pPr algn="l" rtl="0">
            <a:defRPr sz="1000"/>
          </a:pPr>
          <a:r>
            <a:rPr lang="en-GB" sz="1000" b="0" i="0" u="none" strike="noStrike" baseline="0">
              <a:solidFill>
                <a:srgbClr val="FF0000"/>
              </a:solidFill>
              <a:latin typeface="Arial"/>
              <a:cs typeface="Arial"/>
            </a:rPr>
            <a:t>.</a:t>
          </a:r>
        </a:p>
      </xdr:txBody>
    </xdr:sp>
    <xdr:clientData fPrintsWithSheet="0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106680</xdr:colOff>
      <xdr:row>2</xdr:row>
      <xdr:rowOff>106680</xdr:rowOff>
    </xdr:from>
    <xdr:to>
      <xdr:col>4</xdr:col>
      <xdr:colOff>13346</xdr:colOff>
      <xdr:row>6</xdr:row>
      <xdr:rowOff>7620</xdr:rowOff>
    </xdr:to>
    <xdr:sp macro="" textlink="">
      <xdr:nvSpPr>
        <xdr:cNvPr id="2" name="messageTextbox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>
          <a:spLocks noChangeArrowheads="1"/>
        </xdr:cNvSpPr>
      </xdr:nvSpPr>
      <xdr:spPr bwMode="auto">
        <a:xfrm>
          <a:off x="106680" y="495300"/>
          <a:ext cx="5654040" cy="571500"/>
        </a:xfrm>
        <a:prstGeom prst="rect">
          <a:avLst/>
        </a:prstGeom>
        <a:solidFill>
          <a:srgbClr val="FFCC00"/>
        </a:solidFill>
        <a:ln w="1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GB" sz="1000" b="0" i="0" u="none" strike="noStrike" baseline="0">
              <a:solidFill>
                <a:srgbClr val="0000FF"/>
              </a:solidFill>
              <a:latin typeface="Arial"/>
              <a:cs typeface="Arial"/>
            </a:rPr>
            <a:t>1. Both </a:t>
          </a:r>
          <a:r>
            <a:rPr lang="en-GB" sz="1000" b="0" i="0" u="none" strike="noStrike" baseline="0">
              <a:solidFill>
                <a:srgbClr val="0000FF"/>
              </a:solidFill>
              <a:latin typeface="Symbol"/>
            </a:rPr>
            <a:t>l</a:t>
          </a:r>
          <a:r>
            <a:rPr lang="en-GB" sz="1000" b="0" i="0" u="none" strike="noStrike" baseline="0">
              <a:solidFill>
                <a:srgbClr val="0000FF"/>
              </a:solidFill>
              <a:latin typeface="Arial"/>
              <a:cs typeface="Arial"/>
            </a:rPr>
            <a:t> and </a:t>
          </a:r>
          <a:r>
            <a:rPr lang="en-GB" sz="1000" b="0" i="0" u="none" strike="noStrike" baseline="0">
              <a:solidFill>
                <a:srgbClr val="0000FF"/>
              </a:solidFill>
              <a:latin typeface="Symbol"/>
            </a:rPr>
            <a:t>m</a:t>
          </a:r>
          <a:r>
            <a:rPr lang="en-GB" sz="1000" b="0" i="0" u="none" strike="noStrike" baseline="0">
              <a:solidFill>
                <a:srgbClr val="0000FF"/>
              </a:solidFill>
              <a:latin typeface="Arial"/>
              <a:cs typeface="Arial"/>
            </a:rPr>
            <a:t> must be RATES, and use the same time unit.</a:t>
          </a:r>
        </a:p>
        <a:p>
          <a:pPr algn="l" rtl="0">
            <a:defRPr sz="1000"/>
          </a:pPr>
          <a:r>
            <a:rPr lang="en-GB" sz="1000" b="0" i="0" u="none" strike="noStrike" baseline="0">
              <a:solidFill>
                <a:srgbClr val="0000FF"/>
              </a:solidFill>
              <a:latin typeface="Arial"/>
              <a:cs typeface="Arial"/>
            </a:rPr>
            <a:t>2. The arrival rate is for each member of the population.  For example, if each member of the population goes for service once every 20 minutes, then enter </a:t>
          </a:r>
          <a:r>
            <a:rPr lang="en-GB" sz="1000" b="0" i="0" u="none" strike="noStrike" baseline="0">
              <a:solidFill>
                <a:srgbClr val="0000FF"/>
              </a:solidFill>
              <a:latin typeface="Symbol"/>
            </a:rPr>
            <a:t>l</a:t>
          </a:r>
          <a:r>
            <a:rPr lang="en-GB" sz="1000" b="0" i="0" u="none" strike="noStrike" baseline="0">
              <a:solidFill>
                <a:srgbClr val="0000FF"/>
              </a:solidFill>
              <a:latin typeface="Arial"/>
              <a:cs typeface="Arial"/>
            </a:rPr>
            <a:t> = 3 (per hour)</a:t>
          </a:r>
          <a:r>
            <a:rPr lang="en-GB" sz="900" b="0" i="0" u="none" strike="noStrike" baseline="0">
              <a:solidFill>
                <a:srgbClr val="0000FF"/>
              </a:solidFill>
              <a:latin typeface="Arial"/>
              <a:cs typeface="Arial"/>
            </a:rPr>
            <a:t>.</a:t>
          </a:r>
        </a:p>
      </xdr:txBody>
    </xdr:sp>
    <xdr:clientData fPrintsWithSheet="0"/>
  </xdr:twoCellAnchor>
  <xdr:twoCellAnchor>
    <xdr:from>
      <xdr:col>0</xdr:col>
      <xdr:colOff>106680</xdr:colOff>
      <xdr:row>2</xdr:row>
      <xdr:rowOff>105833</xdr:rowOff>
    </xdr:from>
    <xdr:to>
      <xdr:col>4</xdr:col>
      <xdr:colOff>13346</xdr:colOff>
      <xdr:row>6</xdr:row>
      <xdr:rowOff>6773</xdr:rowOff>
    </xdr:to>
    <xdr:sp macro="" textlink="">
      <xdr:nvSpPr>
        <xdr:cNvPr id="4" name="messageTextbox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 txBox="1">
          <a:spLocks noChangeArrowheads="1"/>
        </xdr:cNvSpPr>
      </xdr:nvSpPr>
      <xdr:spPr bwMode="auto">
        <a:xfrm>
          <a:off x="106680" y="495300"/>
          <a:ext cx="5656580" cy="578273"/>
        </a:xfrm>
        <a:prstGeom prst="rect">
          <a:avLst/>
        </a:prstGeom>
        <a:solidFill>
          <a:schemeClr val="bg1"/>
        </a:solidFill>
        <a:ln w="1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GB" sz="1000" b="0" i="0" u="none" strike="noStrike" baseline="0">
              <a:solidFill>
                <a:srgbClr val="FF0000"/>
              </a:solidFill>
              <a:latin typeface="Arial"/>
              <a:cs typeface="Arial"/>
            </a:rPr>
            <a:t>1. Both </a:t>
          </a:r>
          <a:r>
            <a:rPr lang="en-GB" sz="1000" b="0" i="0" u="none" strike="noStrike" baseline="0">
              <a:solidFill>
                <a:srgbClr val="FF0000"/>
              </a:solidFill>
              <a:latin typeface="Symbol"/>
            </a:rPr>
            <a:t>l</a:t>
          </a:r>
          <a:r>
            <a:rPr lang="en-GB" sz="1000" b="0" i="0" u="none" strike="noStrike" baseline="0">
              <a:solidFill>
                <a:srgbClr val="FF0000"/>
              </a:solidFill>
              <a:latin typeface="Arial"/>
              <a:cs typeface="Arial"/>
            </a:rPr>
            <a:t> and </a:t>
          </a:r>
          <a:r>
            <a:rPr lang="en-GB" sz="1000" b="0" i="0" u="none" strike="noStrike" baseline="0">
              <a:solidFill>
                <a:srgbClr val="FF0000"/>
              </a:solidFill>
              <a:latin typeface="Symbol"/>
            </a:rPr>
            <a:t>m</a:t>
          </a:r>
          <a:r>
            <a:rPr lang="en-GB" sz="1000" b="0" i="0" u="none" strike="noStrike" baseline="0">
              <a:solidFill>
                <a:srgbClr val="FF0000"/>
              </a:solidFill>
              <a:latin typeface="Arial"/>
              <a:cs typeface="Arial"/>
            </a:rPr>
            <a:t> must be </a:t>
          </a:r>
          <a:r>
            <a:rPr lang="en-GB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rates</a:t>
          </a:r>
          <a:r>
            <a:rPr lang="en-GB" sz="1000" b="0" i="0" u="none" strike="noStrike" baseline="0">
              <a:solidFill>
                <a:srgbClr val="FF0000"/>
              </a:solidFill>
              <a:latin typeface="Arial"/>
              <a:cs typeface="Arial"/>
            </a:rPr>
            <a:t> (rather than times), </a:t>
          </a:r>
          <a:r>
            <a:rPr lang="en-GB" sz="1000" b="1" i="1" u="none" strike="noStrike" baseline="0">
              <a:solidFill>
                <a:srgbClr val="FF0000"/>
              </a:solidFill>
              <a:latin typeface="Arial"/>
              <a:cs typeface="Arial"/>
            </a:rPr>
            <a:t>and must use the same time unit</a:t>
          </a:r>
          <a:r>
            <a:rPr lang="en-GB" sz="1000" b="0" i="0" u="none" strike="noStrike" baseline="0">
              <a:solidFill>
                <a:srgbClr val="FF0000"/>
              </a:solidFill>
              <a:latin typeface="Arial"/>
              <a:cs typeface="Arial"/>
            </a:rPr>
            <a:t>.</a:t>
          </a:r>
        </a:p>
        <a:p>
          <a:pPr algn="l" rtl="0">
            <a:defRPr sz="1000"/>
          </a:pPr>
          <a:r>
            <a:rPr lang="en-GB" sz="1000" b="0" i="0" u="none" strike="noStrike" baseline="0">
              <a:solidFill>
                <a:srgbClr val="FF0000"/>
              </a:solidFill>
              <a:latin typeface="Arial"/>
              <a:cs typeface="Arial"/>
            </a:rPr>
            <a:t>2. The arrival rate is </a:t>
          </a:r>
          <a:r>
            <a:rPr lang="en-GB" sz="1000" b="1" i="1" u="none" strike="noStrike" baseline="0">
              <a:solidFill>
                <a:srgbClr val="FF0000"/>
              </a:solidFill>
              <a:latin typeface="Arial"/>
              <a:cs typeface="Arial"/>
            </a:rPr>
            <a:t>for each member of the population</a:t>
          </a:r>
          <a:r>
            <a:rPr lang="en-GB" sz="1000" b="0" i="0" u="none" strike="noStrike" baseline="0">
              <a:solidFill>
                <a:srgbClr val="FF0000"/>
              </a:solidFill>
              <a:latin typeface="Arial"/>
              <a:cs typeface="Arial"/>
            </a:rPr>
            <a:t>.  For example, if each member of the population goes for service on average once every 20 minutes, then enter </a:t>
          </a:r>
          <a:r>
            <a:rPr lang="en-GB" sz="1000" b="0" i="0" u="none" strike="noStrike" baseline="0">
              <a:solidFill>
                <a:srgbClr val="FF0000"/>
              </a:solidFill>
              <a:latin typeface="Symbol"/>
            </a:rPr>
            <a:t>l</a:t>
          </a:r>
          <a:r>
            <a:rPr lang="en-GB" sz="1000" b="0" i="0" u="none" strike="noStrike" baseline="0">
              <a:solidFill>
                <a:srgbClr val="FF0000"/>
              </a:solidFill>
              <a:latin typeface="Arial"/>
              <a:cs typeface="Arial"/>
            </a:rPr>
            <a:t> = 3 (per hour)</a:t>
          </a:r>
          <a:r>
            <a:rPr lang="en-GB" sz="900" b="0" i="0" u="none" strike="noStrike" baseline="0">
              <a:solidFill>
                <a:srgbClr val="FF0000"/>
              </a:solidFill>
              <a:latin typeface="Arial"/>
              <a:cs typeface="Arial"/>
            </a:rPr>
            <a:t>.</a:t>
          </a:r>
        </a:p>
      </xdr:txBody>
    </xdr:sp>
    <xdr:clientData fPrint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7E467-FAC5-48CD-AD48-0D69DDE03E30}">
  <dimension ref="A1:O77"/>
  <sheetViews>
    <sheetView topLeftCell="A6" zoomScale="70" zoomScaleNormal="70" workbookViewId="0">
      <selection activeCell="B12" sqref="B12"/>
    </sheetView>
  </sheetViews>
  <sheetFormatPr defaultColWidth="9.08984375" defaultRowHeight="12.5" x14ac:dyDescent="0.25"/>
  <cols>
    <col min="1" max="1" width="20" style="2" customWidth="1"/>
    <col min="2" max="2" width="9.6328125" style="2" customWidth="1"/>
    <col min="3" max="3" width="10.6328125" style="2" customWidth="1"/>
    <col min="4" max="4" width="43.36328125" style="2" bestFit="1" customWidth="1"/>
    <col min="5" max="5" width="10.90625" style="2" customWidth="1"/>
    <col min="6" max="6" width="19.36328125" style="2" customWidth="1"/>
    <col min="7" max="7" width="32.08984375" style="2" customWidth="1"/>
    <col min="8" max="8" width="20" style="2" customWidth="1"/>
    <col min="9" max="10" width="9.08984375" style="2"/>
    <col min="11" max="11" width="13.26953125" style="2" customWidth="1"/>
    <col min="12" max="12" width="27.36328125" style="2" customWidth="1"/>
    <col min="13" max="13" width="21.26953125" style="2" customWidth="1"/>
    <col min="14" max="14" width="18.7265625" style="2" customWidth="1"/>
    <col min="15" max="15" width="15.36328125" style="2" customWidth="1"/>
    <col min="16" max="16384" width="9.08984375" style="2"/>
  </cols>
  <sheetData>
    <row r="1" spans="1:15" ht="18" x14ac:dyDescent="0.4">
      <c r="A1" s="1" t="s">
        <v>24</v>
      </c>
    </row>
    <row r="2" spans="1:15" s="42" customFormat="1" ht="13" x14ac:dyDescent="0.3">
      <c r="A2" s="41" t="s">
        <v>0</v>
      </c>
      <c r="B2" s="41" t="s">
        <v>1</v>
      </c>
    </row>
    <row r="3" spans="1:15" x14ac:dyDescent="0.25">
      <c r="A3" s="3"/>
      <c r="B3" s="3"/>
    </row>
    <row r="8" spans="1:15" ht="13.5" thickBot="1" x14ac:dyDescent="0.35">
      <c r="A8" s="4" t="s">
        <v>2</v>
      </c>
      <c r="D8" s="5" t="s">
        <v>39</v>
      </c>
    </row>
    <row r="9" spans="1:15" ht="13" thickBot="1" x14ac:dyDescent="0.3">
      <c r="A9" s="6" t="s">
        <v>3</v>
      </c>
      <c r="B9" s="7">
        <v>135</v>
      </c>
      <c r="D9" s="8" t="s">
        <v>4</v>
      </c>
      <c r="E9" s="9">
        <f>B9/(B10*B11)</f>
        <v>0.75</v>
      </c>
      <c r="G9" s="2" t="s">
        <v>43</v>
      </c>
      <c r="H9" s="47"/>
    </row>
    <row r="10" spans="1:15" ht="16" thickBot="1" x14ac:dyDescent="0.45">
      <c r="A10" s="10" t="s">
        <v>5</v>
      </c>
      <c r="B10" s="11">
        <v>60</v>
      </c>
      <c r="D10" s="12" t="s">
        <v>6</v>
      </c>
      <c r="E10" s="13">
        <f>VLOOKUP($B$11,$A$45:$G$66,7)</f>
        <v>1.7032710280373831</v>
      </c>
      <c r="G10" s="2">
        <v>1</v>
      </c>
      <c r="H10" s="47">
        <f>E9</f>
        <v>0.75</v>
      </c>
      <c r="K10" s="64" t="s">
        <v>44</v>
      </c>
      <c r="L10" s="65" t="s">
        <v>53</v>
      </c>
      <c r="M10" s="66" t="s">
        <v>51</v>
      </c>
      <c r="N10" s="65" t="s">
        <v>52</v>
      </c>
      <c r="O10" s="67" t="s">
        <v>54</v>
      </c>
    </row>
    <row r="11" spans="1:15" ht="13" thickBot="1" x14ac:dyDescent="0.3">
      <c r="A11" s="14" t="s">
        <v>7</v>
      </c>
      <c r="B11" s="15">
        <v>3</v>
      </c>
      <c r="D11" s="12" t="s">
        <v>8</v>
      </c>
      <c r="E11" s="13">
        <f>E10+B9/B10</f>
        <v>3.9532710280373831</v>
      </c>
      <c r="G11" s="2">
        <v>2</v>
      </c>
      <c r="H11" s="47">
        <f>B20</f>
        <v>7.476635514018691E-2</v>
      </c>
      <c r="J11" s="2">
        <f>E12*60</f>
        <v>0.7570093457943925</v>
      </c>
      <c r="K11" s="72">
        <v>7</v>
      </c>
      <c r="L11" s="68"/>
      <c r="M11" s="62"/>
      <c r="N11" s="61"/>
      <c r="O11" s="63"/>
    </row>
    <row r="12" spans="1:15" ht="15.5" x14ac:dyDescent="0.4">
      <c r="D12" s="12" t="s">
        <v>9</v>
      </c>
      <c r="E12" s="13">
        <f>E10/B9</f>
        <v>1.2616822429906541E-2</v>
      </c>
      <c r="F12" s="2">
        <f>E12*60</f>
        <v>0.7570093457943925</v>
      </c>
      <c r="G12" s="2">
        <v>3</v>
      </c>
      <c r="H12" s="47">
        <f>1-E14</f>
        <v>0.92523364485981308</v>
      </c>
      <c r="J12" s="2">
        <f>(E13+E12)*60</f>
        <v>2.5140186915887845</v>
      </c>
      <c r="K12" s="73">
        <v>8</v>
      </c>
      <c r="L12" s="69">
        <v>8.2200000000000006</v>
      </c>
      <c r="M12" s="59">
        <f>L12*5</f>
        <v>41.1</v>
      </c>
      <c r="N12" s="59">
        <f>K12*12</f>
        <v>96</v>
      </c>
      <c r="O12" s="75">
        <f>N12+M12</f>
        <v>137.1</v>
      </c>
    </row>
    <row r="13" spans="1:15" x14ac:dyDescent="0.25">
      <c r="D13" s="12" t="s">
        <v>10</v>
      </c>
      <c r="E13" s="13">
        <f>E12+1/B10</f>
        <v>2.9283489096573207E-2</v>
      </c>
      <c r="F13" s="2">
        <f>E13*60</f>
        <v>1.7570093457943925</v>
      </c>
      <c r="G13" s="2">
        <v>4</v>
      </c>
      <c r="H13" s="47">
        <f>E11</f>
        <v>3.9532710280373831</v>
      </c>
      <c r="K13" s="73">
        <v>9</v>
      </c>
      <c r="L13" s="70">
        <v>2.04</v>
      </c>
      <c r="M13" s="59">
        <f>L13*5</f>
        <v>10.199999999999999</v>
      </c>
      <c r="N13" s="59">
        <f>K13*12</f>
        <v>108</v>
      </c>
      <c r="O13" s="75">
        <f>N13+M13</f>
        <v>118.2</v>
      </c>
    </row>
    <row r="14" spans="1:15" ht="16" thickBot="1" x14ac:dyDescent="0.45">
      <c r="D14" s="16" t="s">
        <v>11</v>
      </c>
      <c r="E14" s="17">
        <f>VLOOKUP($B$11,$A$45:$G$66,5)</f>
        <v>7.476635514018691E-2</v>
      </c>
      <c r="K14" s="74">
        <v>10</v>
      </c>
      <c r="L14" s="71">
        <v>0.76</v>
      </c>
      <c r="M14" s="60">
        <f>L14*5</f>
        <v>3.8</v>
      </c>
      <c r="N14" s="60">
        <f>K14*12</f>
        <v>120</v>
      </c>
      <c r="O14" s="76">
        <f>N14+M14</f>
        <v>123.8</v>
      </c>
    </row>
    <row r="15" spans="1:15" x14ac:dyDescent="0.25">
      <c r="D15" s="18"/>
      <c r="E15" s="18"/>
    </row>
    <row r="16" spans="1:15" ht="13" x14ac:dyDescent="0.3">
      <c r="A16" s="46" t="str">
        <f>IF(B9&gt;=B10*B11,"ERROR. The service rate must be greater than the arrival rate.","")</f>
        <v/>
      </c>
      <c r="D16" s="18"/>
      <c r="E16" s="18"/>
      <c r="F16" s="47">
        <f>1-E14</f>
        <v>0.92523364485981308</v>
      </c>
    </row>
    <row r="17" spans="1:9" x14ac:dyDescent="0.25">
      <c r="A17" s="19"/>
    </row>
    <row r="18" spans="1:9" s="21" customFormat="1" ht="37.25" customHeight="1" thickBot="1" x14ac:dyDescent="0.35">
      <c r="A18" s="20" t="s">
        <v>42</v>
      </c>
    </row>
    <row r="19" spans="1:9" ht="25.5" thickBot="1" x14ac:dyDescent="0.3">
      <c r="A19" s="22" t="s">
        <v>12</v>
      </c>
      <c r="B19" s="23" t="s">
        <v>13</v>
      </c>
      <c r="C19" s="24" t="s">
        <v>14</v>
      </c>
    </row>
    <row r="20" spans="1:9" ht="13" thickBot="1" x14ac:dyDescent="0.3">
      <c r="A20" s="25">
        <v>0</v>
      </c>
      <c r="B20" s="26">
        <f>VLOOKUP(B11,A44:E66,5)</f>
        <v>7.476635514018691E-2</v>
      </c>
      <c r="C20" s="13">
        <f>B20</f>
        <v>7.476635514018691E-2</v>
      </c>
      <c r="F20" s="48" t="s">
        <v>46</v>
      </c>
      <c r="G20" s="49" t="s">
        <v>50</v>
      </c>
      <c r="H20" s="50" t="s">
        <v>45</v>
      </c>
    </row>
    <row r="21" spans="1:9" x14ac:dyDescent="0.25">
      <c r="A21" s="25">
        <f t="shared" ref="A21:A40" si="0">A20+1</f>
        <v>1</v>
      </c>
      <c r="B21" s="26">
        <f t="shared" ref="B21:B40" si="1">IF(A21&lt;=$B$11,($B$9/$B$10)^A21*$E$14/FACT(A21),($B$9/$B$10)^A21*$E$14/(FACT($B$11)*$B$11^(A21-$B$11)))</f>
        <v>0.16822429906542055</v>
      </c>
      <c r="C21" s="13">
        <f t="shared" ref="C21:C40" si="2">C20+B21</f>
        <v>0.24299065420560745</v>
      </c>
      <c r="F21" s="51">
        <v>7</v>
      </c>
      <c r="G21" s="57">
        <v>-0.08</v>
      </c>
      <c r="H21" s="54" t="s">
        <v>49</v>
      </c>
    </row>
    <row r="22" spans="1:9" ht="13" x14ac:dyDescent="0.25">
      <c r="A22" s="25">
        <f t="shared" si="0"/>
        <v>2</v>
      </c>
      <c r="B22" s="26">
        <f t="shared" si="1"/>
        <v>0.18925233644859812</v>
      </c>
      <c r="C22" s="13">
        <f t="shared" si="2"/>
        <v>0.43224299065420557</v>
      </c>
      <c r="F22" s="52">
        <v>8</v>
      </c>
      <c r="G22" s="18">
        <v>7.0699999999999999E-2</v>
      </c>
      <c r="H22" s="54">
        <f>G22*60</f>
        <v>4.242</v>
      </c>
      <c r="I22" s="58" t="s">
        <v>47</v>
      </c>
    </row>
    <row r="23" spans="1:9" ht="13" x14ac:dyDescent="0.25">
      <c r="A23" s="25">
        <f t="shared" si="0"/>
        <v>3</v>
      </c>
      <c r="B23" s="26">
        <f t="shared" si="1"/>
        <v>0.14193925233644858</v>
      </c>
      <c r="C23" s="13">
        <f t="shared" si="2"/>
        <v>0.57418224299065412</v>
      </c>
      <c r="F23" s="52">
        <v>9</v>
      </c>
      <c r="G23" s="18">
        <v>4.2599999999999999E-2</v>
      </c>
      <c r="H23" s="54">
        <f>G23*60</f>
        <v>2.556</v>
      </c>
      <c r="I23" s="58" t="s">
        <v>48</v>
      </c>
    </row>
    <row r="24" spans="1:9" ht="13" thickBot="1" x14ac:dyDescent="0.3">
      <c r="A24" s="25">
        <f t="shared" si="0"/>
        <v>4</v>
      </c>
      <c r="B24" s="26">
        <f t="shared" si="1"/>
        <v>0.10645443925233644</v>
      </c>
      <c r="C24" s="13">
        <f t="shared" si="2"/>
        <v>0.68063668224299056</v>
      </c>
      <c r="F24" s="53">
        <v>10</v>
      </c>
      <c r="G24" s="55">
        <v>3.6799999999999999E-2</v>
      </c>
      <c r="H24" s="56">
        <f>G24*60</f>
        <v>2.2080000000000002</v>
      </c>
    </row>
    <row r="25" spans="1:9" x14ac:dyDescent="0.25">
      <c r="A25" s="25">
        <f t="shared" si="0"/>
        <v>5</v>
      </c>
      <c r="B25" s="26">
        <f t="shared" si="1"/>
        <v>7.9840829439252331E-2</v>
      </c>
      <c r="C25" s="13">
        <f t="shared" si="2"/>
        <v>0.76047751168224287</v>
      </c>
    </row>
    <row r="26" spans="1:9" x14ac:dyDescent="0.25">
      <c r="A26" s="25">
        <f t="shared" si="0"/>
        <v>6</v>
      </c>
      <c r="B26" s="26">
        <f t="shared" si="1"/>
        <v>5.9880622079439248E-2</v>
      </c>
      <c r="C26" s="13">
        <f t="shared" si="2"/>
        <v>0.8203581337616821</v>
      </c>
    </row>
    <row r="27" spans="1:9" x14ac:dyDescent="0.25">
      <c r="A27" s="25">
        <f t="shared" si="0"/>
        <v>7</v>
      </c>
      <c r="B27" s="26">
        <f t="shared" si="1"/>
        <v>4.4910466559579434E-2</v>
      </c>
      <c r="C27" s="13">
        <f t="shared" si="2"/>
        <v>0.86526860032126152</v>
      </c>
    </row>
    <row r="28" spans="1:9" x14ac:dyDescent="0.25">
      <c r="A28" s="25">
        <f t="shared" si="0"/>
        <v>8</v>
      </c>
      <c r="B28" s="26">
        <f t="shared" si="1"/>
        <v>3.3682849919684579E-2</v>
      </c>
      <c r="C28" s="13">
        <f t="shared" si="2"/>
        <v>0.89895145024094614</v>
      </c>
    </row>
    <row r="29" spans="1:9" x14ac:dyDescent="0.25">
      <c r="A29" s="25">
        <f t="shared" si="0"/>
        <v>9</v>
      </c>
      <c r="B29" s="26">
        <f t="shared" si="1"/>
        <v>2.5262137439763431E-2</v>
      </c>
      <c r="C29" s="13">
        <f t="shared" si="2"/>
        <v>0.9242135876807096</v>
      </c>
    </row>
    <row r="30" spans="1:9" x14ac:dyDescent="0.25">
      <c r="A30" s="25">
        <f t="shared" si="0"/>
        <v>10</v>
      </c>
      <c r="B30" s="26">
        <f t="shared" si="1"/>
        <v>1.8946603079822575E-2</v>
      </c>
      <c r="C30" s="13">
        <f t="shared" si="2"/>
        <v>0.94316019076053215</v>
      </c>
    </row>
    <row r="31" spans="1:9" x14ac:dyDescent="0.25">
      <c r="A31" s="25">
        <f t="shared" si="0"/>
        <v>11</v>
      </c>
      <c r="B31" s="26">
        <f t="shared" si="1"/>
        <v>1.420995230986693E-2</v>
      </c>
      <c r="C31" s="13">
        <f t="shared" si="2"/>
        <v>0.95737014307039903</v>
      </c>
    </row>
    <row r="32" spans="1:9" x14ac:dyDescent="0.25">
      <c r="A32" s="25">
        <f t="shared" si="0"/>
        <v>12</v>
      </c>
      <c r="B32" s="26">
        <f t="shared" si="1"/>
        <v>1.0657464232400198E-2</v>
      </c>
      <c r="C32" s="13">
        <f t="shared" si="2"/>
        <v>0.96802760730279924</v>
      </c>
    </row>
    <row r="33" spans="1:10" x14ac:dyDescent="0.25">
      <c r="A33" s="25">
        <f t="shared" si="0"/>
        <v>13</v>
      </c>
      <c r="B33" s="26">
        <f t="shared" si="1"/>
        <v>7.9930981743001495E-3</v>
      </c>
      <c r="C33" s="13">
        <f t="shared" si="2"/>
        <v>0.9760207054770994</v>
      </c>
    </row>
    <row r="34" spans="1:10" x14ac:dyDescent="0.25">
      <c r="A34" s="25">
        <f t="shared" si="0"/>
        <v>14</v>
      </c>
      <c r="B34" s="26">
        <f t="shared" si="1"/>
        <v>5.9948236307251108E-3</v>
      </c>
      <c r="C34" s="13">
        <f t="shared" si="2"/>
        <v>0.98201552910782453</v>
      </c>
    </row>
    <row r="35" spans="1:10" x14ac:dyDescent="0.25">
      <c r="A35" s="25">
        <f t="shared" si="0"/>
        <v>15</v>
      </c>
      <c r="B35" s="26">
        <f t="shared" si="1"/>
        <v>4.4961177230438331E-3</v>
      </c>
      <c r="C35" s="13">
        <f t="shared" si="2"/>
        <v>0.98651164683086834</v>
      </c>
    </row>
    <row r="36" spans="1:10" x14ac:dyDescent="0.25">
      <c r="A36" s="25">
        <f t="shared" si="0"/>
        <v>16</v>
      </c>
      <c r="B36" s="26">
        <f t="shared" si="1"/>
        <v>3.3720882922828755E-3</v>
      </c>
      <c r="C36" s="13">
        <f t="shared" si="2"/>
        <v>0.9898837351231512</v>
      </c>
    </row>
    <row r="37" spans="1:10" x14ac:dyDescent="0.25">
      <c r="A37" s="25">
        <f t="shared" si="0"/>
        <v>17</v>
      </c>
      <c r="B37" s="26">
        <f t="shared" si="1"/>
        <v>2.5290662192121562E-3</v>
      </c>
      <c r="C37" s="13">
        <f t="shared" si="2"/>
        <v>0.99241280134236332</v>
      </c>
    </row>
    <row r="38" spans="1:10" x14ac:dyDescent="0.25">
      <c r="A38" s="25">
        <f t="shared" si="0"/>
        <v>18</v>
      </c>
      <c r="B38" s="26">
        <f t="shared" si="1"/>
        <v>1.8967996644091176E-3</v>
      </c>
      <c r="C38" s="13">
        <f t="shared" si="2"/>
        <v>0.99430960100677246</v>
      </c>
    </row>
    <row r="39" spans="1:10" x14ac:dyDescent="0.25">
      <c r="A39" s="25">
        <f t="shared" si="0"/>
        <v>19</v>
      </c>
      <c r="B39" s="26">
        <f t="shared" si="1"/>
        <v>1.4225997483068378E-3</v>
      </c>
      <c r="C39" s="13">
        <f t="shared" si="2"/>
        <v>0.99573220075507929</v>
      </c>
    </row>
    <row r="40" spans="1:10" ht="13" thickBot="1" x14ac:dyDescent="0.3">
      <c r="A40" s="27">
        <f t="shared" si="0"/>
        <v>20</v>
      </c>
      <c r="B40" s="28">
        <f t="shared" si="1"/>
        <v>1.0669498112301284E-3</v>
      </c>
      <c r="C40" s="17">
        <f t="shared" si="2"/>
        <v>0.99679915056630941</v>
      </c>
    </row>
    <row r="41" spans="1:10" x14ac:dyDescent="0.25">
      <c r="A41" s="40"/>
    </row>
    <row r="42" spans="1:10" hidden="1" x14ac:dyDescent="0.25">
      <c r="A42" s="2" t="s">
        <v>40</v>
      </c>
      <c r="B42" s="29"/>
      <c r="C42" s="29"/>
    </row>
    <row r="43" spans="1:10" hidden="1" x14ac:dyDescent="0.25">
      <c r="A43" s="2" t="s">
        <v>15</v>
      </c>
      <c r="B43" s="2" t="s">
        <v>41</v>
      </c>
      <c r="C43" s="2" t="s">
        <v>16</v>
      </c>
      <c r="D43" s="2" t="s">
        <v>17</v>
      </c>
      <c r="E43" s="2" t="s">
        <v>18</v>
      </c>
      <c r="F43" s="2" t="s">
        <v>19</v>
      </c>
      <c r="G43" s="2" t="s">
        <v>20</v>
      </c>
      <c r="H43" s="2" t="s">
        <v>21</v>
      </c>
      <c r="I43" s="2" t="s">
        <v>22</v>
      </c>
      <c r="J43" s="2" t="s">
        <v>23</v>
      </c>
    </row>
    <row r="44" spans="1:10" hidden="1" x14ac:dyDescent="0.25">
      <c r="A44" s="2">
        <v>0</v>
      </c>
      <c r="B44" s="2">
        <v>1</v>
      </c>
    </row>
    <row r="45" spans="1:10" hidden="1" x14ac:dyDescent="0.25">
      <c r="A45" s="2">
        <v>1</v>
      </c>
      <c r="B45" s="30">
        <f t="shared" ref="B45:B74" si="3">($B$9/$B$10)^A45/FACT(A45)</f>
        <v>2.25</v>
      </c>
      <c r="C45" s="30">
        <f>SUM(B44:$B$44)</f>
        <v>1</v>
      </c>
      <c r="D45" s="30">
        <f t="shared" ref="D45:D74" si="4">+B45/(1-$B$9/(A45*$B$10))</f>
        <v>-1.8</v>
      </c>
      <c r="E45" s="30">
        <f t="shared" ref="E45:E74" si="5">1/(C45+D45)</f>
        <v>-1.25</v>
      </c>
      <c r="F45" s="30">
        <f t="shared" ref="F45:F74" si="6">$B$9/($B$10*A45)</f>
        <v>2.25</v>
      </c>
      <c r="G45" s="30">
        <f t="shared" ref="G45:G74" si="7">+E45*B45*F45/(1-F45)^2</f>
        <v>-4.05</v>
      </c>
      <c r="H45" s="30">
        <f t="shared" ref="H45:H74" si="8">G45+$B$9/$B$10</f>
        <v>-1.7999999999999998</v>
      </c>
      <c r="I45" s="30">
        <f t="shared" ref="I45:I74" si="9">G45/$B$9</f>
        <v>-0.03</v>
      </c>
      <c r="J45" s="30">
        <f t="shared" ref="J45:J74" si="10">I45+1/$B$10</f>
        <v>-1.3333333333333332E-2</v>
      </c>
    </row>
    <row r="46" spans="1:10" hidden="1" x14ac:dyDescent="0.25">
      <c r="A46" s="2">
        <v>2</v>
      </c>
      <c r="B46" s="30">
        <f t="shared" si="3"/>
        <v>2.53125</v>
      </c>
      <c r="C46" s="30">
        <f>SUM(B$44:$B45)</f>
        <v>3.25</v>
      </c>
      <c r="D46" s="30">
        <f t="shared" si="4"/>
        <v>-20.25</v>
      </c>
      <c r="E46" s="30">
        <f t="shared" si="5"/>
        <v>-5.8823529411764705E-2</v>
      </c>
      <c r="F46" s="30">
        <f t="shared" si="6"/>
        <v>1.125</v>
      </c>
      <c r="G46" s="30">
        <f t="shared" si="7"/>
        <v>-10.720588235294118</v>
      </c>
      <c r="H46" s="30">
        <f t="shared" si="8"/>
        <v>-8.4705882352941178</v>
      </c>
      <c r="I46" s="30">
        <f t="shared" si="9"/>
        <v>-7.9411764705882348E-2</v>
      </c>
      <c r="J46" s="30">
        <f t="shared" si="10"/>
        <v>-6.2745098039215685E-2</v>
      </c>
    </row>
    <row r="47" spans="1:10" hidden="1" x14ac:dyDescent="0.25">
      <c r="A47" s="2">
        <v>3</v>
      </c>
      <c r="B47" s="30">
        <f t="shared" si="3"/>
        <v>1.8984375</v>
      </c>
      <c r="C47" s="30">
        <f>SUM(B$44:$B46)</f>
        <v>5.78125</v>
      </c>
      <c r="D47" s="30">
        <f t="shared" si="4"/>
        <v>7.59375</v>
      </c>
      <c r="E47" s="30">
        <f t="shared" si="5"/>
        <v>7.476635514018691E-2</v>
      </c>
      <c r="F47" s="30">
        <f t="shared" si="6"/>
        <v>0.75</v>
      </c>
      <c r="G47" s="30">
        <f t="shared" si="7"/>
        <v>1.7032710280373831</v>
      </c>
      <c r="H47" s="30">
        <f t="shared" si="8"/>
        <v>3.9532710280373831</v>
      </c>
      <c r="I47" s="30">
        <f t="shared" si="9"/>
        <v>1.2616822429906541E-2</v>
      </c>
      <c r="J47" s="30">
        <f t="shared" si="10"/>
        <v>2.9283489096573207E-2</v>
      </c>
    </row>
    <row r="48" spans="1:10" hidden="1" x14ac:dyDescent="0.25">
      <c r="A48" s="2">
        <v>4</v>
      </c>
      <c r="B48" s="30">
        <f t="shared" si="3"/>
        <v>1.06787109375</v>
      </c>
      <c r="C48" s="30">
        <f>SUM(B$44:$B47)</f>
        <v>7.6796875</v>
      </c>
      <c r="D48" s="30">
        <f t="shared" si="4"/>
        <v>2.4408482142857144</v>
      </c>
      <c r="E48" s="30">
        <f t="shared" si="5"/>
        <v>9.8808998676665191E-2</v>
      </c>
      <c r="F48" s="30">
        <f t="shared" si="6"/>
        <v>0.5625</v>
      </c>
      <c r="G48" s="30">
        <f t="shared" si="7"/>
        <v>0.31008570168252569</v>
      </c>
      <c r="H48" s="30">
        <f t="shared" si="8"/>
        <v>2.5600857016825258</v>
      </c>
      <c r="I48" s="30">
        <f t="shared" si="9"/>
        <v>2.2969311235742644E-3</v>
      </c>
      <c r="J48" s="30">
        <f t="shared" si="10"/>
        <v>1.896359779024093E-2</v>
      </c>
    </row>
    <row r="49" spans="1:10" hidden="1" x14ac:dyDescent="0.25">
      <c r="A49" s="2">
        <v>5</v>
      </c>
      <c r="B49" s="30">
        <f t="shared" si="3"/>
        <v>0.48054199218749999</v>
      </c>
      <c r="C49" s="30">
        <f>SUM(B$44:$B48)</f>
        <v>8.74755859375</v>
      </c>
      <c r="D49" s="30">
        <f t="shared" si="4"/>
        <v>0.87371271306818177</v>
      </c>
      <c r="E49" s="30">
        <f t="shared" si="5"/>
        <v>0.10393636850167014</v>
      </c>
      <c r="F49" s="30">
        <f t="shared" si="6"/>
        <v>0.45</v>
      </c>
      <c r="G49" s="30">
        <f t="shared" si="7"/>
        <v>7.4299521690039699E-2</v>
      </c>
      <c r="H49" s="30">
        <f t="shared" si="8"/>
        <v>2.3242995216900395</v>
      </c>
      <c r="I49" s="30">
        <f t="shared" si="9"/>
        <v>5.5036682733362744E-4</v>
      </c>
      <c r="J49" s="30">
        <f t="shared" si="10"/>
        <v>1.7217033494000295E-2</v>
      </c>
    </row>
    <row r="50" spans="1:10" hidden="1" x14ac:dyDescent="0.25">
      <c r="A50" s="2">
        <v>6</v>
      </c>
      <c r="B50" s="30">
        <f t="shared" si="3"/>
        <v>0.18020324707031249</v>
      </c>
      <c r="C50" s="30">
        <f>SUM(B$44:$B49)</f>
        <v>9.2281005859375007</v>
      </c>
      <c r="D50" s="30">
        <f t="shared" si="4"/>
        <v>0.2883251953125</v>
      </c>
      <c r="E50" s="30">
        <f t="shared" si="5"/>
        <v>0.10508146892400269</v>
      </c>
      <c r="F50" s="30">
        <f t="shared" si="6"/>
        <v>0.375</v>
      </c>
      <c r="G50" s="30">
        <f t="shared" si="7"/>
        <v>1.8178581030742484E-2</v>
      </c>
      <c r="H50" s="30">
        <f t="shared" si="8"/>
        <v>2.2681785810307424</v>
      </c>
      <c r="I50" s="30">
        <f t="shared" si="9"/>
        <v>1.3465615578327767E-4</v>
      </c>
      <c r="J50" s="30">
        <f t="shared" si="10"/>
        <v>1.6801322822449945E-2</v>
      </c>
    </row>
    <row r="51" spans="1:10" hidden="1" x14ac:dyDescent="0.25">
      <c r="A51" s="2">
        <v>7</v>
      </c>
      <c r="B51" s="30">
        <f t="shared" si="3"/>
        <v>5.7922472272600445E-2</v>
      </c>
      <c r="C51" s="30">
        <f>SUM(B$44:$B50)</f>
        <v>9.4083038330078139</v>
      </c>
      <c r="D51" s="30">
        <f t="shared" si="4"/>
        <v>8.5359432822779593E-2</v>
      </c>
      <c r="E51" s="30">
        <f t="shared" si="5"/>
        <v>0.10533341788087013</v>
      </c>
      <c r="F51" s="30">
        <f t="shared" si="6"/>
        <v>0.32142857142857145</v>
      </c>
      <c r="G51" s="30">
        <f t="shared" si="7"/>
        <v>4.2589898562296396E-3</v>
      </c>
      <c r="H51" s="30">
        <f t="shared" si="8"/>
        <v>2.2542589898562295</v>
      </c>
      <c r="I51" s="30">
        <f t="shared" si="9"/>
        <v>3.154807300910844E-5</v>
      </c>
      <c r="J51" s="30">
        <f t="shared" si="10"/>
        <v>1.6698214739675775E-2</v>
      </c>
    </row>
    <row r="52" spans="1:10" hidden="1" x14ac:dyDescent="0.25">
      <c r="A52" s="2">
        <v>8</v>
      </c>
      <c r="B52" s="30">
        <f t="shared" si="3"/>
        <v>1.6290695326668877E-2</v>
      </c>
      <c r="C52" s="30">
        <f>SUM(B$44:$B51)</f>
        <v>9.466226305280415</v>
      </c>
      <c r="D52" s="30">
        <f t="shared" si="4"/>
        <v>2.2665315237104525E-2</v>
      </c>
      <c r="E52" s="30">
        <f t="shared" si="5"/>
        <v>0.10538638652355696</v>
      </c>
      <c r="F52" s="30">
        <f t="shared" si="6"/>
        <v>0.28125</v>
      </c>
      <c r="G52" s="30">
        <f t="shared" si="7"/>
        <v>9.3467569783921148E-4</v>
      </c>
      <c r="H52" s="30">
        <f t="shared" si="8"/>
        <v>2.250934675697839</v>
      </c>
      <c r="I52" s="30">
        <f t="shared" si="9"/>
        <v>6.9235236876978627E-6</v>
      </c>
      <c r="J52" s="30">
        <f t="shared" si="10"/>
        <v>1.6673590190354363E-2</v>
      </c>
    </row>
    <row r="53" spans="1:10" hidden="1" x14ac:dyDescent="0.25">
      <c r="A53" s="2">
        <v>9</v>
      </c>
      <c r="B53" s="30">
        <f t="shared" si="3"/>
        <v>4.0726738316672192E-3</v>
      </c>
      <c r="C53" s="30">
        <f>SUM(B$44:$B52)</f>
        <v>9.4825170006070838</v>
      </c>
      <c r="D53" s="30">
        <f t="shared" si="4"/>
        <v>5.4302317755562926E-3</v>
      </c>
      <c r="E53" s="30">
        <f t="shared" si="5"/>
        <v>0.10539687621648769</v>
      </c>
      <c r="F53" s="30">
        <f t="shared" si="6"/>
        <v>0.25</v>
      </c>
      <c r="G53" s="30">
        <f t="shared" si="7"/>
        <v>1.9077648875838156E-4</v>
      </c>
      <c r="H53" s="30">
        <f t="shared" si="8"/>
        <v>2.2501907764887585</v>
      </c>
      <c r="I53" s="30">
        <f t="shared" si="9"/>
        <v>1.4131591759880115E-6</v>
      </c>
      <c r="J53" s="30">
        <f t="shared" si="10"/>
        <v>1.6668079825842654E-2</v>
      </c>
    </row>
    <row r="54" spans="1:10" hidden="1" x14ac:dyDescent="0.25">
      <c r="A54" s="2">
        <v>10</v>
      </c>
      <c r="B54" s="30">
        <f t="shared" si="3"/>
        <v>9.1635161212512428E-4</v>
      </c>
      <c r="C54" s="30">
        <f>SUM(B$44:$B53)</f>
        <v>9.4865896744387506</v>
      </c>
      <c r="D54" s="30">
        <f t="shared" si="4"/>
        <v>1.1823891769356441E-3</v>
      </c>
      <c r="E54" s="30">
        <f t="shared" si="5"/>
        <v>0.10539882211492661</v>
      </c>
      <c r="F54" s="30">
        <f t="shared" si="6"/>
        <v>0.22500000000000001</v>
      </c>
      <c r="G54" s="30">
        <f t="shared" si="7"/>
        <v>3.618070447658355E-5</v>
      </c>
      <c r="H54" s="30">
        <f t="shared" si="8"/>
        <v>2.2500361807044764</v>
      </c>
      <c r="I54" s="30">
        <f t="shared" si="9"/>
        <v>2.6800521834506332E-7</v>
      </c>
      <c r="J54" s="30">
        <f t="shared" si="10"/>
        <v>1.6666934671885011E-2</v>
      </c>
    </row>
    <row r="55" spans="1:10" hidden="1" x14ac:dyDescent="0.25">
      <c r="A55" s="2">
        <v>11</v>
      </c>
      <c r="B55" s="30">
        <f t="shared" si="3"/>
        <v>1.874355570255936E-4</v>
      </c>
      <c r="C55" s="30">
        <f>SUM(B$44:$B54)</f>
        <v>9.487506026050875</v>
      </c>
      <c r="D55" s="30">
        <f t="shared" si="4"/>
        <v>2.3563327168931768E-4</v>
      </c>
      <c r="E55" s="30">
        <f t="shared" si="5"/>
        <v>0.10539915987461669</v>
      </c>
      <c r="F55" s="30">
        <f t="shared" si="6"/>
        <v>0.20454545454545456</v>
      </c>
      <c r="G55" s="30">
        <f t="shared" si="7"/>
        <v>6.386283996315785E-6</v>
      </c>
      <c r="H55" s="30">
        <f t="shared" si="8"/>
        <v>2.2500063862839963</v>
      </c>
      <c r="I55" s="30">
        <f t="shared" si="9"/>
        <v>4.7305807380116929E-8</v>
      </c>
      <c r="J55" s="30">
        <f t="shared" si="10"/>
        <v>1.6666713972474045E-2</v>
      </c>
    </row>
    <row r="56" spans="1:10" hidden="1" x14ac:dyDescent="0.25">
      <c r="A56" s="2">
        <v>12</v>
      </c>
      <c r="B56" s="30">
        <f t="shared" si="3"/>
        <v>3.5144166942298799E-5</v>
      </c>
      <c r="C56" s="30">
        <f>SUM(B$44:$B55)</f>
        <v>9.4876934616079005</v>
      </c>
      <c r="D56" s="30">
        <f t="shared" si="4"/>
        <v>4.3254359313598524E-5</v>
      </c>
      <c r="E56" s="30">
        <f t="shared" si="5"/>
        <v>0.10539921479029536</v>
      </c>
      <c r="F56" s="30">
        <f t="shared" si="6"/>
        <v>0.1875</v>
      </c>
      <c r="G56" s="30">
        <f t="shared" si="7"/>
        <v>1.0520712710562884E-6</v>
      </c>
      <c r="H56" s="30">
        <f t="shared" si="8"/>
        <v>2.250001052071271</v>
      </c>
      <c r="I56" s="30">
        <f t="shared" si="9"/>
        <v>7.7931205263428779E-9</v>
      </c>
      <c r="J56" s="30">
        <f t="shared" si="10"/>
        <v>1.6666674459787194E-2</v>
      </c>
    </row>
    <row r="57" spans="1:10" hidden="1" x14ac:dyDescent="0.25">
      <c r="A57" s="2">
        <v>13</v>
      </c>
      <c r="B57" s="30">
        <f t="shared" si="3"/>
        <v>6.0826442784747924E-6</v>
      </c>
      <c r="C57" s="30">
        <f>SUM(B$44:$B56)</f>
        <v>9.4877286057748424</v>
      </c>
      <c r="D57" s="30">
        <f t="shared" si="4"/>
        <v>7.3557558716439353E-6</v>
      </c>
      <c r="E57" s="30">
        <f t="shared" si="5"/>
        <v>0.10539922317132695</v>
      </c>
      <c r="F57" s="30">
        <f t="shared" si="6"/>
        <v>0.17307692307692307</v>
      </c>
      <c r="G57" s="30">
        <f t="shared" si="7"/>
        <v>1.6227019982285534E-7</v>
      </c>
      <c r="H57" s="30">
        <f t="shared" si="8"/>
        <v>2.2500001622701999</v>
      </c>
      <c r="I57" s="30">
        <f t="shared" si="9"/>
        <v>1.2020014801692988E-9</v>
      </c>
      <c r="J57" s="30">
        <f t="shared" si="10"/>
        <v>1.6666667868668147E-2</v>
      </c>
    </row>
    <row r="58" spans="1:10" hidden="1" x14ac:dyDescent="0.25">
      <c r="A58" s="2">
        <v>14</v>
      </c>
      <c r="B58" s="30">
        <f t="shared" si="3"/>
        <v>9.7756783046916303E-7</v>
      </c>
      <c r="C58" s="30">
        <f>SUM(B$44:$B57)</f>
        <v>9.4877346884191205</v>
      </c>
      <c r="D58" s="30">
        <f t="shared" si="4"/>
        <v>1.1647616703462367E-6</v>
      </c>
      <c r="E58" s="30">
        <f t="shared" si="5"/>
        <v>0.10539922437498585</v>
      </c>
      <c r="F58" s="30">
        <f t="shared" si="6"/>
        <v>0.16071428571428573</v>
      </c>
      <c r="G58" s="30">
        <f t="shared" si="7"/>
        <v>2.3508187015443764E-8</v>
      </c>
      <c r="H58" s="30">
        <f t="shared" si="8"/>
        <v>2.250000023508187</v>
      </c>
      <c r="I58" s="30">
        <f t="shared" si="9"/>
        <v>1.7413471863291677E-10</v>
      </c>
      <c r="J58" s="30">
        <f t="shared" si="10"/>
        <v>1.6666666840801383E-2</v>
      </c>
    </row>
    <row r="59" spans="1:10" hidden="1" x14ac:dyDescent="0.25">
      <c r="A59" s="2">
        <v>15</v>
      </c>
      <c r="B59" s="30">
        <f t="shared" si="3"/>
        <v>1.4663517457037445E-7</v>
      </c>
      <c r="C59" s="30">
        <f>SUM(B$44:$B58)</f>
        <v>9.4877356659869516</v>
      </c>
      <c r="D59" s="30">
        <f t="shared" si="4"/>
        <v>1.7251197008279347E-7</v>
      </c>
      <c r="E59" s="30">
        <f t="shared" si="5"/>
        <v>0.10539922453808667</v>
      </c>
      <c r="F59" s="30">
        <f t="shared" si="6"/>
        <v>0.15</v>
      </c>
      <c r="G59" s="30">
        <f t="shared" si="7"/>
        <v>3.2086990359289485E-9</v>
      </c>
      <c r="H59" s="30">
        <f t="shared" si="8"/>
        <v>2.2500000032086991</v>
      </c>
      <c r="I59" s="30">
        <f t="shared" si="9"/>
        <v>2.3768141006881101E-11</v>
      </c>
      <c r="J59" s="30">
        <f t="shared" si="10"/>
        <v>1.6666666690434807E-2</v>
      </c>
    </row>
    <row r="60" spans="1:10" hidden="1" x14ac:dyDescent="0.25">
      <c r="A60" s="2">
        <v>16</v>
      </c>
      <c r="B60" s="30">
        <f t="shared" si="3"/>
        <v>2.0620571423958908E-8</v>
      </c>
      <c r="C60" s="30">
        <f>SUM(B$44:$B59)</f>
        <v>9.4877358126221267</v>
      </c>
      <c r="D60" s="30">
        <f t="shared" si="4"/>
        <v>2.3994846747879457E-8</v>
      </c>
      <c r="E60" s="30">
        <f t="shared" si="5"/>
        <v>0.10539922455899324</v>
      </c>
      <c r="F60" s="30">
        <f t="shared" si="6"/>
        <v>0.140625</v>
      </c>
      <c r="G60" s="30">
        <f t="shared" si="7"/>
        <v>4.1384262119537062E-10</v>
      </c>
      <c r="H60" s="30">
        <f t="shared" si="8"/>
        <v>2.2500000004138427</v>
      </c>
      <c r="I60" s="30">
        <f t="shared" si="9"/>
        <v>3.065500897743486E-12</v>
      </c>
      <c r="J60" s="30">
        <f t="shared" si="10"/>
        <v>1.6666666669732166E-2</v>
      </c>
    </row>
    <row r="61" spans="1:10" hidden="1" x14ac:dyDescent="0.25">
      <c r="A61" s="2">
        <v>17</v>
      </c>
      <c r="B61" s="30">
        <f t="shared" si="3"/>
        <v>2.7291932767004434E-9</v>
      </c>
      <c r="C61" s="30">
        <f>SUM(B$44:$B60)</f>
        <v>9.4877358332426986</v>
      </c>
      <c r="D61" s="30">
        <f t="shared" si="4"/>
        <v>3.1455108951801721E-9</v>
      </c>
      <c r="E61" s="30">
        <f t="shared" si="5"/>
        <v>0.10539922456153458</v>
      </c>
      <c r="F61" s="30">
        <f t="shared" si="6"/>
        <v>0.13235294117647059</v>
      </c>
      <c r="G61" s="30">
        <f t="shared" si="7"/>
        <v>5.0573045471468431E-11</v>
      </c>
      <c r="H61" s="30">
        <f t="shared" si="8"/>
        <v>2.2500000000505729</v>
      </c>
      <c r="I61" s="30">
        <f t="shared" si="9"/>
        <v>3.7461515164050691E-13</v>
      </c>
      <c r="J61" s="30">
        <f t="shared" si="10"/>
        <v>1.666666666704128E-2</v>
      </c>
    </row>
    <row r="62" spans="1:10" hidden="1" x14ac:dyDescent="0.25">
      <c r="A62" s="2">
        <v>18</v>
      </c>
      <c r="B62" s="30">
        <f t="shared" si="3"/>
        <v>3.4114915958755548E-10</v>
      </c>
      <c r="C62" s="30">
        <f>SUM(B$44:$B61)</f>
        <v>9.4877358359718915</v>
      </c>
      <c r="D62" s="30">
        <f t="shared" si="4"/>
        <v>3.8988475381434913E-10</v>
      </c>
      <c r="E62" s="30">
        <f t="shared" si="5"/>
        <v>0.10539922456182822</v>
      </c>
      <c r="F62" s="30">
        <f t="shared" si="6"/>
        <v>0.125</v>
      </c>
      <c r="G62" s="30">
        <f t="shared" si="7"/>
        <v>5.870507245787385E-12</v>
      </c>
      <c r="H62" s="30">
        <f t="shared" si="8"/>
        <v>2.2500000000058704</v>
      </c>
      <c r="I62" s="30">
        <f t="shared" si="9"/>
        <v>4.3485238857684335E-14</v>
      </c>
      <c r="J62" s="30">
        <f t="shared" si="10"/>
        <v>1.6666666666710152E-2</v>
      </c>
    </row>
    <row r="63" spans="1:10" hidden="1" x14ac:dyDescent="0.25">
      <c r="A63" s="2">
        <v>19</v>
      </c>
      <c r="B63" s="30">
        <f t="shared" si="3"/>
        <v>4.0399242582736831E-11</v>
      </c>
      <c r="C63" s="30">
        <f>SUM(B$44:$B62)</f>
        <v>9.4877358363130408</v>
      </c>
      <c r="D63" s="30">
        <f t="shared" si="4"/>
        <v>4.582600651176118E-11</v>
      </c>
      <c r="E63" s="30">
        <f t="shared" si="5"/>
        <v>0.10539922456186054</v>
      </c>
      <c r="F63" s="30">
        <f t="shared" si="6"/>
        <v>0.11842105263157894</v>
      </c>
      <c r="G63" s="30">
        <f t="shared" si="7"/>
        <v>6.4880940238742692E-13</v>
      </c>
      <c r="H63" s="30">
        <f t="shared" si="8"/>
        <v>2.2500000000006488</v>
      </c>
      <c r="I63" s="30">
        <f t="shared" si="9"/>
        <v>4.8059955732401992E-15</v>
      </c>
      <c r="J63" s="30">
        <f t="shared" si="10"/>
        <v>1.6666666666671472E-2</v>
      </c>
    </row>
    <row r="64" spans="1:10" hidden="1" x14ac:dyDescent="0.25">
      <c r="A64" s="2">
        <v>20</v>
      </c>
      <c r="B64" s="30">
        <f t="shared" si="3"/>
        <v>4.5449147905578931E-12</v>
      </c>
      <c r="C64" s="30">
        <f>SUM(B$44:$B63)</f>
        <v>9.4877358363534405</v>
      </c>
      <c r="D64" s="30">
        <f t="shared" si="4"/>
        <v>5.121030749924387E-12</v>
      </c>
      <c r="E64" s="30">
        <f t="shared" si="5"/>
        <v>0.10539922456186393</v>
      </c>
      <c r="F64" s="30">
        <f t="shared" si="6"/>
        <v>0.1125</v>
      </c>
      <c r="G64" s="30">
        <f t="shared" si="7"/>
        <v>6.8419352535146732E-14</v>
      </c>
      <c r="H64" s="30">
        <f t="shared" si="8"/>
        <v>2.2500000000000684</v>
      </c>
      <c r="I64" s="30">
        <f t="shared" si="9"/>
        <v>5.0681001877886466E-16</v>
      </c>
      <c r="J64" s="30">
        <f t="shared" si="10"/>
        <v>1.6666666666667173E-2</v>
      </c>
    </row>
    <row r="65" spans="1:10" hidden="1" x14ac:dyDescent="0.25">
      <c r="A65" s="2">
        <v>21</v>
      </c>
      <c r="B65" s="30">
        <f t="shared" si="3"/>
        <v>4.8695515613120286E-13</v>
      </c>
      <c r="C65" s="30">
        <f>SUM(B$44:$B64)</f>
        <v>9.4877358363579862</v>
      </c>
      <c r="D65" s="30">
        <f t="shared" si="4"/>
        <v>5.4538977486694714E-13</v>
      </c>
      <c r="E65" s="30">
        <f t="shared" si="5"/>
        <v>0.10539922456186428</v>
      </c>
      <c r="F65" s="30">
        <f t="shared" si="6"/>
        <v>0.10714285714285714</v>
      </c>
      <c r="G65" s="30">
        <f t="shared" si="7"/>
        <v>6.8980391225935156E-15</v>
      </c>
      <c r="H65" s="30">
        <f t="shared" si="8"/>
        <v>2.2500000000000071</v>
      </c>
      <c r="I65" s="30">
        <f t="shared" si="9"/>
        <v>5.1096586093285298E-17</v>
      </c>
      <c r="J65" s="30">
        <f t="shared" si="10"/>
        <v>1.6666666666666718E-2</v>
      </c>
    </row>
    <row r="66" spans="1:10" hidden="1" x14ac:dyDescent="0.25">
      <c r="A66" s="2">
        <v>22</v>
      </c>
      <c r="B66" s="30">
        <f t="shared" si="3"/>
        <v>4.9802231877054837E-14</v>
      </c>
      <c r="C66" s="30">
        <f>SUM(B$44:$B65)</f>
        <v>9.487735836358473</v>
      </c>
      <c r="D66" s="30">
        <f t="shared" si="4"/>
        <v>5.5475903863048426E-14</v>
      </c>
      <c r="E66" s="30">
        <f t="shared" si="5"/>
        <v>0.1053992245618643</v>
      </c>
      <c r="F66" s="30">
        <f t="shared" si="6"/>
        <v>0.10227272727272728</v>
      </c>
      <c r="G66" s="30">
        <f t="shared" si="7"/>
        <v>6.6612728153550033E-16</v>
      </c>
      <c r="H66" s="30">
        <f t="shared" si="8"/>
        <v>2.2500000000000009</v>
      </c>
      <c r="I66" s="30">
        <f t="shared" si="9"/>
        <v>4.9342761595222244E-18</v>
      </c>
      <c r="J66" s="30">
        <f t="shared" si="10"/>
        <v>1.666666666666667E-2</v>
      </c>
    </row>
    <row r="67" spans="1:10" hidden="1" x14ac:dyDescent="0.25">
      <c r="A67" s="2">
        <v>23</v>
      </c>
      <c r="B67" s="30">
        <f t="shared" si="3"/>
        <v>4.8719574662336255E-15</v>
      </c>
      <c r="C67" s="30">
        <f>SUM(B$44:$B66)</f>
        <v>9.4877358363585227</v>
      </c>
      <c r="D67" s="30">
        <f t="shared" si="4"/>
        <v>5.4002420107649821E-15</v>
      </c>
      <c r="E67" s="30">
        <f t="shared" si="5"/>
        <v>0.1053992245618643</v>
      </c>
      <c r="F67" s="30">
        <f t="shared" si="6"/>
        <v>9.7826086956521743E-2</v>
      </c>
      <c r="G67" s="30">
        <f t="shared" si="7"/>
        <v>6.1718456426858894E-17</v>
      </c>
      <c r="H67" s="30">
        <f t="shared" si="8"/>
        <v>2.25</v>
      </c>
      <c r="I67" s="30">
        <f t="shared" si="9"/>
        <v>4.5717375131006586E-19</v>
      </c>
      <c r="J67" s="30">
        <f t="shared" si="10"/>
        <v>1.6666666666666666E-2</v>
      </c>
    </row>
    <row r="68" spans="1:10" hidden="1" x14ac:dyDescent="0.25">
      <c r="A68" s="2">
        <v>24</v>
      </c>
      <c r="B68" s="30">
        <f t="shared" si="3"/>
        <v>4.5674601245940246E-16</v>
      </c>
      <c r="C68" s="30">
        <f>SUM(B$44:$B67)</f>
        <v>9.487735836358528</v>
      </c>
      <c r="D68" s="30">
        <f t="shared" si="4"/>
        <v>5.0399559995520267E-16</v>
      </c>
      <c r="E68" s="30">
        <f t="shared" si="5"/>
        <v>0.1053992245618643</v>
      </c>
      <c r="F68" s="30">
        <f t="shared" si="6"/>
        <v>9.375E-2</v>
      </c>
      <c r="G68" s="30">
        <f t="shared" si="7"/>
        <v>5.4952495259865453E-18</v>
      </c>
      <c r="H68" s="30">
        <f t="shared" si="8"/>
        <v>2.25</v>
      </c>
      <c r="I68" s="30">
        <f t="shared" si="9"/>
        <v>4.0705552044344782E-20</v>
      </c>
      <c r="J68" s="30">
        <f t="shared" si="10"/>
        <v>1.6666666666666666E-2</v>
      </c>
    </row>
    <row r="69" spans="1:10" hidden="1" x14ac:dyDescent="0.25">
      <c r="A69" s="2">
        <v>25</v>
      </c>
      <c r="B69" s="30">
        <f t="shared" si="3"/>
        <v>4.1107141121346223E-17</v>
      </c>
      <c r="C69" s="30">
        <f>SUM(B$44:$B68)</f>
        <v>9.487735836358528</v>
      </c>
      <c r="D69" s="30">
        <f t="shared" si="4"/>
        <v>4.5172682550929914E-17</v>
      </c>
      <c r="E69" s="30">
        <f t="shared" si="5"/>
        <v>0.1053992245618643</v>
      </c>
      <c r="F69" s="30">
        <f t="shared" si="6"/>
        <v>0.09</v>
      </c>
      <c r="G69" s="30">
        <f t="shared" si="7"/>
        <v>4.7088452099148834E-19</v>
      </c>
      <c r="H69" s="30">
        <f t="shared" si="8"/>
        <v>2.25</v>
      </c>
      <c r="I69" s="30">
        <f t="shared" si="9"/>
        <v>3.4880334888258392E-21</v>
      </c>
      <c r="J69" s="30">
        <f t="shared" si="10"/>
        <v>1.6666666666666666E-2</v>
      </c>
    </row>
    <row r="70" spans="1:10" hidden="1" x14ac:dyDescent="0.25">
      <c r="A70" s="2">
        <v>26</v>
      </c>
      <c r="B70" s="30">
        <f t="shared" si="3"/>
        <v>3.557348750885729E-18</v>
      </c>
      <c r="C70" s="30">
        <f>SUM(B$44:$B69)</f>
        <v>9.487735836358528</v>
      </c>
      <c r="D70" s="30">
        <f t="shared" si="4"/>
        <v>3.8943607378117456E-18</v>
      </c>
      <c r="E70" s="30">
        <f t="shared" si="5"/>
        <v>0.1053992245618643</v>
      </c>
      <c r="F70" s="30">
        <f t="shared" si="6"/>
        <v>8.6538461538461536E-2</v>
      </c>
      <c r="G70" s="30">
        <f t="shared" si="7"/>
        <v>3.8885930709113155E-20</v>
      </c>
      <c r="H70" s="30">
        <f t="shared" si="8"/>
        <v>2.25</v>
      </c>
      <c r="I70" s="30">
        <f t="shared" si="9"/>
        <v>2.8804393117861596E-22</v>
      </c>
      <c r="J70" s="30">
        <f t="shared" si="10"/>
        <v>1.6666666666666666E-2</v>
      </c>
    </row>
    <row r="71" spans="1:10" hidden="1" x14ac:dyDescent="0.25">
      <c r="A71" s="2">
        <v>27</v>
      </c>
      <c r="B71" s="30">
        <f t="shared" si="3"/>
        <v>2.9644572924047756E-19</v>
      </c>
      <c r="C71" s="30">
        <f>SUM(B$44:$B70)</f>
        <v>9.487735836358528</v>
      </c>
      <c r="D71" s="30">
        <f t="shared" si="4"/>
        <v>3.233953409896119E-19</v>
      </c>
      <c r="E71" s="30">
        <f t="shared" si="5"/>
        <v>0.1053992245618643</v>
      </c>
      <c r="F71" s="30">
        <f t="shared" si="6"/>
        <v>8.3333333333333329E-2</v>
      </c>
      <c r="G71" s="30">
        <f t="shared" si="7"/>
        <v>3.0986925606567988E-21</v>
      </c>
      <c r="H71" s="30">
        <f t="shared" si="8"/>
        <v>2.25</v>
      </c>
      <c r="I71" s="30">
        <f t="shared" si="9"/>
        <v>2.2953278227087398E-23</v>
      </c>
      <c r="J71" s="30">
        <f t="shared" si="10"/>
        <v>1.6666666666666666E-2</v>
      </c>
    </row>
    <row r="72" spans="1:10" hidden="1" x14ac:dyDescent="0.25">
      <c r="A72" s="2">
        <v>28</v>
      </c>
      <c r="B72" s="30">
        <f t="shared" si="3"/>
        <v>2.382153181396695E-20</v>
      </c>
      <c r="C72" s="30">
        <f>SUM(B$44:$B71)</f>
        <v>9.487735836358528</v>
      </c>
      <c r="D72" s="30">
        <f t="shared" si="4"/>
        <v>2.5903024885090276E-20</v>
      </c>
      <c r="E72" s="30">
        <f t="shared" si="5"/>
        <v>0.1053992245618643</v>
      </c>
      <c r="F72" s="30">
        <f t="shared" si="6"/>
        <v>8.0357142857142863E-2</v>
      </c>
      <c r="G72" s="30">
        <f t="shared" si="7"/>
        <v>2.3855755951705543E-22</v>
      </c>
      <c r="H72" s="30">
        <f t="shared" si="8"/>
        <v>2.25</v>
      </c>
      <c r="I72" s="30">
        <f t="shared" si="9"/>
        <v>1.76709303345967E-24</v>
      </c>
      <c r="J72" s="30">
        <f t="shared" si="10"/>
        <v>1.6666666666666666E-2</v>
      </c>
    </row>
    <row r="73" spans="1:10" hidden="1" x14ac:dyDescent="0.25">
      <c r="A73" s="2">
        <v>29</v>
      </c>
      <c r="B73" s="30">
        <f t="shared" si="3"/>
        <v>1.8482222959112285E-21</v>
      </c>
      <c r="C73" s="30">
        <f>SUM(B$44:$B72)</f>
        <v>9.487735836358528</v>
      </c>
      <c r="D73" s="30">
        <f t="shared" si="4"/>
        <v>2.003680246034603E-21</v>
      </c>
      <c r="E73" s="30">
        <f t="shared" si="5"/>
        <v>0.1053992245618643</v>
      </c>
      <c r="F73" s="30">
        <f t="shared" si="6"/>
        <v>7.7586206896551727E-2</v>
      </c>
      <c r="G73" s="30">
        <f t="shared" si="7"/>
        <v>1.7763337362782747E-23</v>
      </c>
      <c r="H73" s="30">
        <f t="shared" si="8"/>
        <v>2.25</v>
      </c>
      <c r="I73" s="30">
        <f t="shared" si="9"/>
        <v>1.3158027676135368E-25</v>
      </c>
      <c r="J73" s="30">
        <f t="shared" si="10"/>
        <v>1.6666666666666666E-2</v>
      </c>
    </row>
    <row r="74" spans="1:10" hidden="1" x14ac:dyDescent="0.25">
      <c r="A74" s="2">
        <v>30</v>
      </c>
      <c r="B74" s="30">
        <f t="shared" si="3"/>
        <v>1.3861667219334211E-22</v>
      </c>
      <c r="C74" s="30">
        <f>SUM(B$44:$B73)</f>
        <v>9.487735836358528</v>
      </c>
      <c r="D74" s="30">
        <f t="shared" si="4"/>
        <v>1.4985586183064011E-22</v>
      </c>
      <c r="E74" s="30">
        <f t="shared" si="5"/>
        <v>0.1053992245618643</v>
      </c>
      <c r="F74" s="30">
        <f t="shared" si="6"/>
        <v>7.4999999999999997E-2</v>
      </c>
      <c r="G74" s="30">
        <f t="shared" si="7"/>
        <v>1.280650672945893E-24</v>
      </c>
      <c r="H74" s="30">
        <f t="shared" si="8"/>
        <v>2.25</v>
      </c>
      <c r="I74" s="30">
        <f t="shared" si="9"/>
        <v>9.4863012810806889E-27</v>
      </c>
      <c r="J74" s="30">
        <f t="shared" si="10"/>
        <v>1.6666666666666666E-2</v>
      </c>
    </row>
    <row r="75" spans="1:10" hidden="1" x14ac:dyDescent="0.25">
      <c r="B75" s="30"/>
      <c r="C75" s="30"/>
      <c r="D75" s="30"/>
      <c r="E75" s="30"/>
      <c r="F75" s="30"/>
      <c r="G75" s="30"/>
      <c r="H75" s="30"/>
      <c r="I75" s="30"/>
      <c r="J75" s="30"/>
    </row>
    <row r="76" spans="1:10" hidden="1" x14ac:dyDescent="0.25">
      <c r="B76" s="30"/>
      <c r="C76" s="30"/>
      <c r="D76" s="30"/>
      <c r="E76" s="30"/>
      <c r="F76" s="30"/>
      <c r="G76" s="30"/>
      <c r="H76" s="30"/>
      <c r="I76" s="30"/>
      <c r="J76" s="30"/>
    </row>
    <row r="77" spans="1:10" hidden="1" x14ac:dyDescent="0.25"/>
  </sheetData>
  <printOptions headings="1" gridLines="1"/>
  <pageMargins left="0.75" right="0.75" top="1" bottom="1" header="0.5" footer="0.5"/>
  <pageSetup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J77"/>
  <sheetViews>
    <sheetView zoomScale="70" zoomScaleNormal="70" workbookViewId="0">
      <selection sqref="A1:E40"/>
    </sheetView>
  </sheetViews>
  <sheetFormatPr defaultColWidth="9.08984375" defaultRowHeight="12.5" x14ac:dyDescent="0.25"/>
  <cols>
    <col min="1" max="1" width="20" style="2" customWidth="1"/>
    <col min="2" max="2" width="9.6328125" style="2" customWidth="1"/>
    <col min="3" max="3" width="10.6328125" style="2" customWidth="1"/>
    <col min="4" max="4" width="43.36328125" style="2" bestFit="1" customWidth="1"/>
    <col min="5" max="5" width="7.6328125" style="2" customWidth="1"/>
    <col min="6" max="16384" width="9.08984375" style="2"/>
  </cols>
  <sheetData>
    <row r="1" spans="1:8" ht="18" x14ac:dyDescent="0.4">
      <c r="A1" s="1" t="s">
        <v>24</v>
      </c>
    </row>
    <row r="2" spans="1:8" s="42" customFormat="1" ht="13" x14ac:dyDescent="0.3">
      <c r="A2" s="41" t="s">
        <v>0</v>
      </c>
      <c r="B2" s="41" t="s">
        <v>1</v>
      </c>
    </row>
    <row r="3" spans="1:8" x14ac:dyDescent="0.25">
      <c r="A3" s="3"/>
      <c r="B3" s="3"/>
    </row>
    <row r="8" spans="1:8" ht="13.5" thickBot="1" x14ac:dyDescent="0.35">
      <c r="A8" s="4" t="s">
        <v>2</v>
      </c>
      <c r="D8" s="5" t="s">
        <v>39</v>
      </c>
    </row>
    <row r="9" spans="1:8" x14ac:dyDescent="0.25">
      <c r="A9" s="6" t="s">
        <v>3</v>
      </c>
      <c r="B9" s="7">
        <v>135</v>
      </c>
      <c r="D9" s="8" t="s">
        <v>4</v>
      </c>
      <c r="E9" s="9">
        <f>B9/(B10*B11)</f>
        <v>0.75</v>
      </c>
      <c r="G9" s="2" t="s">
        <v>43</v>
      </c>
      <c r="H9" s="47"/>
    </row>
    <row r="10" spans="1:8" ht="15.5" x14ac:dyDescent="0.4">
      <c r="A10" s="10" t="s">
        <v>5</v>
      </c>
      <c r="B10" s="11">
        <v>60</v>
      </c>
      <c r="D10" s="12" t="s">
        <v>6</v>
      </c>
      <c r="E10" s="13">
        <f>VLOOKUP($B$11,$A$45:$G$66,7)</f>
        <v>1.7032710280373831</v>
      </c>
      <c r="G10" s="2">
        <v>1</v>
      </c>
      <c r="H10" s="47">
        <f>E9</f>
        <v>0.75</v>
      </c>
    </row>
    <row r="11" spans="1:8" ht="13" thickBot="1" x14ac:dyDescent="0.3">
      <c r="A11" s="14" t="s">
        <v>7</v>
      </c>
      <c r="B11" s="15">
        <v>3</v>
      </c>
      <c r="D11" s="12" t="s">
        <v>8</v>
      </c>
      <c r="E11" s="13">
        <f>E10+B9/B10</f>
        <v>3.9532710280373831</v>
      </c>
      <c r="G11" s="2">
        <v>2</v>
      </c>
      <c r="H11" s="47">
        <f>B20</f>
        <v>7.476635514018691E-2</v>
      </c>
    </row>
    <row r="12" spans="1:8" ht="15.5" x14ac:dyDescent="0.4">
      <c r="D12" s="12" t="s">
        <v>9</v>
      </c>
      <c r="E12" s="13">
        <f>E10/B9</f>
        <v>1.2616822429906541E-2</v>
      </c>
      <c r="G12" s="2">
        <v>3</v>
      </c>
      <c r="H12" s="47">
        <f>1-E14</f>
        <v>0.92523364485981308</v>
      </c>
    </row>
    <row r="13" spans="1:8" x14ac:dyDescent="0.25">
      <c r="D13" s="12" t="s">
        <v>10</v>
      </c>
      <c r="E13" s="13">
        <f>E12+1/B10</f>
        <v>2.9283489096573207E-2</v>
      </c>
      <c r="G13" s="2">
        <v>4</v>
      </c>
      <c r="H13" s="47">
        <f>E11</f>
        <v>3.9532710280373831</v>
      </c>
    </row>
    <row r="14" spans="1:8" ht="16" thickBot="1" x14ac:dyDescent="0.45">
      <c r="D14" s="16" t="s">
        <v>11</v>
      </c>
      <c r="E14" s="17">
        <f>VLOOKUP($B$11,$A$45:$G$66,5)</f>
        <v>7.476635514018691E-2</v>
      </c>
    </row>
    <row r="15" spans="1:8" x14ac:dyDescent="0.25">
      <c r="D15" s="18"/>
      <c r="E15" s="18"/>
    </row>
    <row r="16" spans="1:8" ht="13" x14ac:dyDescent="0.3">
      <c r="A16" s="46" t="str">
        <f>IF(B9&gt;=B10*B11,"ERROR. The service rate must be greater than the arrival rate.","")</f>
        <v/>
      </c>
      <c r="D16" s="18"/>
      <c r="E16" s="18"/>
    </row>
    <row r="17" spans="1:3" x14ac:dyDescent="0.25">
      <c r="A17" s="19"/>
    </row>
    <row r="18" spans="1:3" s="21" customFormat="1" ht="37.25" customHeight="1" thickBot="1" x14ac:dyDescent="0.35">
      <c r="A18" s="20" t="s">
        <v>42</v>
      </c>
    </row>
    <row r="19" spans="1:3" ht="25" x14ac:dyDescent="0.25">
      <c r="A19" s="22" t="s">
        <v>12</v>
      </c>
      <c r="B19" s="23" t="s">
        <v>13</v>
      </c>
      <c r="C19" s="24" t="s">
        <v>14</v>
      </c>
    </row>
    <row r="20" spans="1:3" x14ac:dyDescent="0.25">
      <c r="A20" s="25">
        <v>0</v>
      </c>
      <c r="B20" s="26">
        <f>VLOOKUP(B11,A44:E66,5)</f>
        <v>7.476635514018691E-2</v>
      </c>
      <c r="C20" s="13">
        <f>B20</f>
        <v>7.476635514018691E-2</v>
      </c>
    </row>
    <row r="21" spans="1:3" x14ac:dyDescent="0.25">
      <c r="A21" s="25">
        <f t="shared" ref="A21:A40" si="0">A20+1</f>
        <v>1</v>
      </c>
      <c r="B21" s="26">
        <f t="shared" ref="B21:B40" si="1">IF(A21&lt;=$B$11,($B$9/$B$10)^A21*$E$14/FACT(A21),($B$9/$B$10)^A21*$E$14/(FACT($B$11)*$B$11^(A21-$B$11)))</f>
        <v>0.16822429906542055</v>
      </c>
      <c r="C21" s="13">
        <f t="shared" ref="C21:C40" si="2">C20+B21</f>
        <v>0.24299065420560745</v>
      </c>
    </row>
    <row r="22" spans="1:3" x14ac:dyDescent="0.25">
      <c r="A22" s="25">
        <f t="shared" si="0"/>
        <v>2</v>
      </c>
      <c r="B22" s="26">
        <f t="shared" si="1"/>
        <v>0.18925233644859812</v>
      </c>
      <c r="C22" s="13">
        <f t="shared" si="2"/>
        <v>0.43224299065420557</v>
      </c>
    </row>
    <row r="23" spans="1:3" x14ac:dyDescent="0.25">
      <c r="A23" s="25">
        <f t="shared" si="0"/>
        <v>3</v>
      </c>
      <c r="B23" s="26">
        <f t="shared" si="1"/>
        <v>0.14193925233644858</v>
      </c>
      <c r="C23" s="13">
        <f t="shared" si="2"/>
        <v>0.57418224299065412</v>
      </c>
    </row>
    <row r="24" spans="1:3" x14ac:dyDescent="0.25">
      <c r="A24" s="25">
        <f t="shared" si="0"/>
        <v>4</v>
      </c>
      <c r="B24" s="26">
        <f t="shared" si="1"/>
        <v>0.10645443925233644</v>
      </c>
      <c r="C24" s="13">
        <f t="shared" si="2"/>
        <v>0.68063668224299056</v>
      </c>
    </row>
    <row r="25" spans="1:3" x14ac:dyDescent="0.25">
      <c r="A25" s="25">
        <f t="shared" si="0"/>
        <v>5</v>
      </c>
      <c r="B25" s="26">
        <f t="shared" si="1"/>
        <v>7.9840829439252331E-2</v>
      </c>
      <c r="C25" s="13">
        <f t="shared" si="2"/>
        <v>0.76047751168224287</v>
      </c>
    </row>
    <row r="26" spans="1:3" x14ac:dyDescent="0.25">
      <c r="A26" s="25">
        <f t="shared" si="0"/>
        <v>6</v>
      </c>
      <c r="B26" s="26">
        <f t="shared" si="1"/>
        <v>5.9880622079439248E-2</v>
      </c>
      <c r="C26" s="13">
        <f t="shared" si="2"/>
        <v>0.8203581337616821</v>
      </c>
    </row>
    <row r="27" spans="1:3" x14ac:dyDescent="0.25">
      <c r="A27" s="25">
        <f t="shared" si="0"/>
        <v>7</v>
      </c>
      <c r="B27" s="26">
        <f t="shared" si="1"/>
        <v>4.4910466559579434E-2</v>
      </c>
      <c r="C27" s="13">
        <f t="shared" si="2"/>
        <v>0.86526860032126152</v>
      </c>
    </row>
    <row r="28" spans="1:3" x14ac:dyDescent="0.25">
      <c r="A28" s="25">
        <f t="shared" si="0"/>
        <v>8</v>
      </c>
      <c r="B28" s="26">
        <f t="shared" si="1"/>
        <v>3.3682849919684579E-2</v>
      </c>
      <c r="C28" s="13">
        <f t="shared" si="2"/>
        <v>0.89895145024094614</v>
      </c>
    </row>
    <row r="29" spans="1:3" x14ac:dyDescent="0.25">
      <c r="A29" s="25">
        <f t="shared" si="0"/>
        <v>9</v>
      </c>
      <c r="B29" s="26">
        <f t="shared" si="1"/>
        <v>2.5262137439763431E-2</v>
      </c>
      <c r="C29" s="13">
        <f t="shared" si="2"/>
        <v>0.9242135876807096</v>
      </c>
    </row>
    <row r="30" spans="1:3" x14ac:dyDescent="0.25">
      <c r="A30" s="25">
        <f t="shared" si="0"/>
        <v>10</v>
      </c>
      <c r="B30" s="26">
        <f t="shared" si="1"/>
        <v>1.8946603079822575E-2</v>
      </c>
      <c r="C30" s="13">
        <f t="shared" si="2"/>
        <v>0.94316019076053215</v>
      </c>
    </row>
    <row r="31" spans="1:3" x14ac:dyDescent="0.25">
      <c r="A31" s="25">
        <f t="shared" si="0"/>
        <v>11</v>
      </c>
      <c r="B31" s="26">
        <f t="shared" si="1"/>
        <v>1.420995230986693E-2</v>
      </c>
      <c r="C31" s="13">
        <f t="shared" si="2"/>
        <v>0.95737014307039903</v>
      </c>
    </row>
    <row r="32" spans="1:3" x14ac:dyDescent="0.25">
      <c r="A32" s="25">
        <f t="shared" si="0"/>
        <v>12</v>
      </c>
      <c r="B32" s="26">
        <f t="shared" si="1"/>
        <v>1.0657464232400198E-2</v>
      </c>
      <c r="C32" s="13">
        <f t="shared" si="2"/>
        <v>0.96802760730279924</v>
      </c>
    </row>
    <row r="33" spans="1:10" x14ac:dyDescent="0.25">
      <c r="A33" s="25">
        <f t="shared" si="0"/>
        <v>13</v>
      </c>
      <c r="B33" s="26">
        <f t="shared" si="1"/>
        <v>7.9930981743001495E-3</v>
      </c>
      <c r="C33" s="13">
        <f t="shared" si="2"/>
        <v>0.9760207054770994</v>
      </c>
    </row>
    <row r="34" spans="1:10" x14ac:dyDescent="0.25">
      <c r="A34" s="25">
        <f t="shared" si="0"/>
        <v>14</v>
      </c>
      <c r="B34" s="26">
        <f t="shared" si="1"/>
        <v>5.9948236307251108E-3</v>
      </c>
      <c r="C34" s="13">
        <f t="shared" si="2"/>
        <v>0.98201552910782453</v>
      </c>
    </row>
    <row r="35" spans="1:10" x14ac:dyDescent="0.25">
      <c r="A35" s="25">
        <f t="shared" si="0"/>
        <v>15</v>
      </c>
      <c r="B35" s="26">
        <f t="shared" si="1"/>
        <v>4.4961177230438331E-3</v>
      </c>
      <c r="C35" s="13">
        <f t="shared" si="2"/>
        <v>0.98651164683086834</v>
      </c>
    </row>
    <row r="36" spans="1:10" x14ac:dyDescent="0.25">
      <c r="A36" s="25">
        <f t="shared" si="0"/>
        <v>16</v>
      </c>
      <c r="B36" s="26">
        <f t="shared" si="1"/>
        <v>3.3720882922828755E-3</v>
      </c>
      <c r="C36" s="13">
        <f t="shared" si="2"/>
        <v>0.9898837351231512</v>
      </c>
    </row>
    <row r="37" spans="1:10" x14ac:dyDescent="0.25">
      <c r="A37" s="25">
        <f t="shared" si="0"/>
        <v>17</v>
      </c>
      <c r="B37" s="26">
        <f t="shared" si="1"/>
        <v>2.5290662192121562E-3</v>
      </c>
      <c r="C37" s="13">
        <f t="shared" si="2"/>
        <v>0.99241280134236332</v>
      </c>
    </row>
    <row r="38" spans="1:10" x14ac:dyDescent="0.25">
      <c r="A38" s="25">
        <f t="shared" si="0"/>
        <v>18</v>
      </c>
      <c r="B38" s="26">
        <f t="shared" si="1"/>
        <v>1.8967996644091176E-3</v>
      </c>
      <c r="C38" s="13">
        <f t="shared" si="2"/>
        <v>0.99430960100677246</v>
      </c>
    </row>
    <row r="39" spans="1:10" x14ac:dyDescent="0.25">
      <c r="A39" s="25">
        <f t="shared" si="0"/>
        <v>19</v>
      </c>
      <c r="B39" s="26">
        <f t="shared" si="1"/>
        <v>1.4225997483068378E-3</v>
      </c>
      <c r="C39" s="13">
        <f t="shared" si="2"/>
        <v>0.99573220075507929</v>
      </c>
    </row>
    <row r="40" spans="1:10" ht="13" thickBot="1" x14ac:dyDescent="0.3">
      <c r="A40" s="27">
        <f t="shared" si="0"/>
        <v>20</v>
      </c>
      <c r="B40" s="28">
        <f t="shared" si="1"/>
        <v>1.0669498112301284E-3</v>
      </c>
      <c r="C40" s="17">
        <f t="shared" si="2"/>
        <v>0.99679915056630941</v>
      </c>
    </row>
    <row r="41" spans="1:10" x14ac:dyDescent="0.25">
      <c r="A41" s="40"/>
    </row>
    <row r="42" spans="1:10" hidden="1" x14ac:dyDescent="0.25">
      <c r="A42" s="2" t="s">
        <v>40</v>
      </c>
      <c r="B42" s="29"/>
      <c r="C42" s="29"/>
    </row>
    <row r="43" spans="1:10" hidden="1" x14ac:dyDescent="0.25">
      <c r="A43" s="2" t="s">
        <v>15</v>
      </c>
      <c r="B43" s="2" t="s">
        <v>41</v>
      </c>
      <c r="C43" s="2" t="s">
        <v>16</v>
      </c>
      <c r="D43" s="2" t="s">
        <v>17</v>
      </c>
      <c r="E43" s="2" t="s">
        <v>18</v>
      </c>
      <c r="F43" s="2" t="s">
        <v>19</v>
      </c>
      <c r="G43" s="2" t="s">
        <v>20</v>
      </c>
      <c r="H43" s="2" t="s">
        <v>21</v>
      </c>
      <c r="I43" s="2" t="s">
        <v>22</v>
      </c>
      <c r="J43" s="2" t="s">
        <v>23</v>
      </c>
    </row>
    <row r="44" spans="1:10" hidden="1" x14ac:dyDescent="0.25">
      <c r="A44" s="2">
        <v>0</v>
      </c>
      <c r="B44" s="2">
        <v>1</v>
      </c>
    </row>
    <row r="45" spans="1:10" hidden="1" x14ac:dyDescent="0.25">
      <c r="A45" s="2">
        <v>1</v>
      </c>
      <c r="B45" s="30">
        <f t="shared" ref="B45:B74" si="3">($B$9/$B$10)^A45/FACT(A45)</f>
        <v>2.25</v>
      </c>
      <c r="C45" s="30">
        <f>SUM(B44:$B$44)</f>
        <v>1</v>
      </c>
      <c r="D45" s="30">
        <f t="shared" ref="D45:D74" si="4">+B45/(1-$B$9/(A45*$B$10))</f>
        <v>-1.8</v>
      </c>
      <c r="E45" s="30">
        <f t="shared" ref="E45:E74" si="5">1/(C45+D45)</f>
        <v>-1.25</v>
      </c>
      <c r="F45" s="30">
        <f t="shared" ref="F45:F74" si="6">$B$9/($B$10*A45)</f>
        <v>2.25</v>
      </c>
      <c r="G45" s="30">
        <f t="shared" ref="G45:G74" si="7">+E45*B45*F45/(1-F45)^2</f>
        <v>-4.05</v>
      </c>
      <c r="H45" s="30">
        <f t="shared" ref="H45:H74" si="8">G45+$B$9/$B$10</f>
        <v>-1.7999999999999998</v>
      </c>
      <c r="I45" s="30">
        <f t="shared" ref="I45:I74" si="9">G45/$B$9</f>
        <v>-0.03</v>
      </c>
      <c r="J45" s="30">
        <f t="shared" ref="J45:J74" si="10">I45+1/$B$10</f>
        <v>-1.3333333333333332E-2</v>
      </c>
    </row>
    <row r="46" spans="1:10" hidden="1" x14ac:dyDescent="0.25">
      <c r="A46" s="2">
        <v>2</v>
      </c>
      <c r="B46" s="30">
        <f t="shared" si="3"/>
        <v>2.53125</v>
      </c>
      <c r="C46" s="30">
        <f>SUM(B$44:$B45)</f>
        <v>3.25</v>
      </c>
      <c r="D46" s="30">
        <f t="shared" si="4"/>
        <v>-20.25</v>
      </c>
      <c r="E46" s="30">
        <f t="shared" si="5"/>
        <v>-5.8823529411764705E-2</v>
      </c>
      <c r="F46" s="30">
        <f t="shared" si="6"/>
        <v>1.125</v>
      </c>
      <c r="G46" s="30">
        <f t="shared" si="7"/>
        <v>-10.720588235294118</v>
      </c>
      <c r="H46" s="30">
        <f t="shared" si="8"/>
        <v>-8.4705882352941178</v>
      </c>
      <c r="I46" s="30">
        <f t="shared" si="9"/>
        <v>-7.9411764705882348E-2</v>
      </c>
      <c r="J46" s="30">
        <f t="shared" si="10"/>
        <v>-6.2745098039215685E-2</v>
      </c>
    </row>
    <row r="47" spans="1:10" hidden="1" x14ac:dyDescent="0.25">
      <c r="A47" s="2">
        <v>3</v>
      </c>
      <c r="B47" s="30">
        <f t="shared" si="3"/>
        <v>1.8984375</v>
      </c>
      <c r="C47" s="30">
        <f>SUM(B$44:$B46)</f>
        <v>5.78125</v>
      </c>
      <c r="D47" s="30">
        <f t="shared" si="4"/>
        <v>7.59375</v>
      </c>
      <c r="E47" s="30">
        <f t="shared" si="5"/>
        <v>7.476635514018691E-2</v>
      </c>
      <c r="F47" s="30">
        <f t="shared" si="6"/>
        <v>0.75</v>
      </c>
      <c r="G47" s="30">
        <f t="shared" si="7"/>
        <v>1.7032710280373831</v>
      </c>
      <c r="H47" s="30">
        <f t="shared" si="8"/>
        <v>3.9532710280373831</v>
      </c>
      <c r="I47" s="30">
        <f t="shared" si="9"/>
        <v>1.2616822429906541E-2</v>
      </c>
      <c r="J47" s="30">
        <f t="shared" si="10"/>
        <v>2.9283489096573207E-2</v>
      </c>
    </row>
    <row r="48" spans="1:10" hidden="1" x14ac:dyDescent="0.25">
      <c r="A48" s="2">
        <v>4</v>
      </c>
      <c r="B48" s="30">
        <f t="shared" si="3"/>
        <v>1.06787109375</v>
      </c>
      <c r="C48" s="30">
        <f>SUM(B$44:$B47)</f>
        <v>7.6796875</v>
      </c>
      <c r="D48" s="30">
        <f t="shared" si="4"/>
        <v>2.4408482142857144</v>
      </c>
      <c r="E48" s="30">
        <f t="shared" si="5"/>
        <v>9.8808998676665191E-2</v>
      </c>
      <c r="F48" s="30">
        <f t="shared" si="6"/>
        <v>0.5625</v>
      </c>
      <c r="G48" s="30">
        <f t="shared" si="7"/>
        <v>0.31008570168252569</v>
      </c>
      <c r="H48" s="30">
        <f t="shared" si="8"/>
        <v>2.5600857016825258</v>
      </c>
      <c r="I48" s="30">
        <f t="shared" si="9"/>
        <v>2.2969311235742644E-3</v>
      </c>
      <c r="J48" s="30">
        <f t="shared" si="10"/>
        <v>1.896359779024093E-2</v>
      </c>
    </row>
    <row r="49" spans="1:10" hidden="1" x14ac:dyDescent="0.25">
      <c r="A49" s="2">
        <v>5</v>
      </c>
      <c r="B49" s="30">
        <f t="shared" si="3"/>
        <v>0.48054199218749999</v>
      </c>
      <c r="C49" s="30">
        <f>SUM(B$44:$B48)</f>
        <v>8.74755859375</v>
      </c>
      <c r="D49" s="30">
        <f t="shared" si="4"/>
        <v>0.87371271306818177</v>
      </c>
      <c r="E49" s="30">
        <f t="shared" si="5"/>
        <v>0.10393636850167014</v>
      </c>
      <c r="F49" s="30">
        <f t="shared" si="6"/>
        <v>0.45</v>
      </c>
      <c r="G49" s="30">
        <f t="shared" si="7"/>
        <v>7.4299521690039699E-2</v>
      </c>
      <c r="H49" s="30">
        <f t="shared" si="8"/>
        <v>2.3242995216900395</v>
      </c>
      <c r="I49" s="30">
        <f t="shared" si="9"/>
        <v>5.5036682733362744E-4</v>
      </c>
      <c r="J49" s="30">
        <f t="shared" si="10"/>
        <v>1.7217033494000295E-2</v>
      </c>
    </row>
    <row r="50" spans="1:10" hidden="1" x14ac:dyDescent="0.25">
      <c r="A50" s="2">
        <v>6</v>
      </c>
      <c r="B50" s="30">
        <f t="shared" si="3"/>
        <v>0.18020324707031249</v>
      </c>
      <c r="C50" s="30">
        <f>SUM(B$44:$B49)</f>
        <v>9.2281005859375007</v>
      </c>
      <c r="D50" s="30">
        <f t="shared" si="4"/>
        <v>0.2883251953125</v>
      </c>
      <c r="E50" s="30">
        <f t="shared" si="5"/>
        <v>0.10508146892400269</v>
      </c>
      <c r="F50" s="30">
        <f t="shared" si="6"/>
        <v>0.375</v>
      </c>
      <c r="G50" s="30">
        <f t="shared" si="7"/>
        <v>1.8178581030742484E-2</v>
      </c>
      <c r="H50" s="30">
        <f t="shared" si="8"/>
        <v>2.2681785810307424</v>
      </c>
      <c r="I50" s="30">
        <f t="shared" si="9"/>
        <v>1.3465615578327767E-4</v>
      </c>
      <c r="J50" s="30">
        <f t="shared" si="10"/>
        <v>1.6801322822449945E-2</v>
      </c>
    </row>
    <row r="51" spans="1:10" hidden="1" x14ac:dyDescent="0.25">
      <c r="A51" s="2">
        <v>7</v>
      </c>
      <c r="B51" s="30">
        <f t="shared" si="3"/>
        <v>5.7922472272600445E-2</v>
      </c>
      <c r="C51" s="30">
        <f>SUM(B$44:$B50)</f>
        <v>9.4083038330078139</v>
      </c>
      <c r="D51" s="30">
        <f t="shared" si="4"/>
        <v>8.5359432822779593E-2</v>
      </c>
      <c r="E51" s="30">
        <f t="shared" si="5"/>
        <v>0.10533341788087013</v>
      </c>
      <c r="F51" s="30">
        <f t="shared" si="6"/>
        <v>0.32142857142857145</v>
      </c>
      <c r="G51" s="30">
        <f t="shared" si="7"/>
        <v>4.2589898562296396E-3</v>
      </c>
      <c r="H51" s="30">
        <f t="shared" si="8"/>
        <v>2.2542589898562295</v>
      </c>
      <c r="I51" s="30">
        <f t="shared" si="9"/>
        <v>3.154807300910844E-5</v>
      </c>
      <c r="J51" s="30">
        <f t="shared" si="10"/>
        <v>1.6698214739675775E-2</v>
      </c>
    </row>
    <row r="52" spans="1:10" hidden="1" x14ac:dyDescent="0.25">
      <c r="A52" s="2">
        <v>8</v>
      </c>
      <c r="B52" s="30">
        <f t="shared" si="3"/>
        <v>1.6290695326668877E-2</v>
      </c>
      <c r="C52" s="30">
        <f>SUM(B$44:$B51)</f>
        <v>9.466226305280415</v>
      </c>
      <c r="D52" s="30">
        <f t="shared" si="4"/>
        <v>2.2665315237104525E-2</v>
      </c>
      <c r="E52" s="30">
        <f t="shared" si="5"/>
        <v>0.10538638652355696</v>
      </c>
      <c r="F52" s="30">
        <f t="shared" si="6"/>
        <v>0.28125</v>
      </c>
      <c r="G52" s="30">
        <f t="shared" si="7"/>
        <v>9.3467569783921148E-4</v>
      </c>
      <c r="H52" s="30">
        <f t="shared" si="8"/>
        <v>2.250934675697839</v>
      </c>
      <c r="I52" s="30">
        <f t="shared" si="9"/>
        <v>6.9235236876978627E-6</v>
      </c>
      <c r="J52" s="30">
        <f t="shared" si="10"/>
        <v>1.6673590190354363E-2</v>
      </c>
    </row>
    <row r="53" spans="1:10" hidden="1" x14ac:dyDescent="0.25">
      <c r="A53" s="2">
        <v>9</v>
      </c>
      <c r="B53" s="30">
        <f t="shared" si="3"/>
        <v>4.0726738316672192E-3</v>
      </c>
      <c r="C53" s="30">
        <f>SUM(B$44:$B52)</f>
        <v>9.4825170006070838</v>
      </c>
      <c r="D53" s="30">
        <f t="shared" si="4"/>
        <v>5.4302317755562926E-3</v>
      </c>
      <c r="E53" s="30">
        <f t="shared" si="5"/>
        <v>0.10539687621648769</v>
      </c>
      <c r="F53" s="30">
        <f t="shared" si="6"/>
        <v>0.25</v>
      </c>
      <c r="G53" s="30">
        <f t="shared" si="7"/>
        <v>1.9077648875838156E-4</v>
      </c>
      <c r="H53" s="30">
        <f t="shared" si="8"/>
        <v>2.2501907764887585</v>
      </c>
      <c r="I53" s="30">
        <f t="shared" si="9"/>
        <v>1.4131591759880115E-6</v>
      </c>
      <c r="J53" s="30">
        <f t="shared" si="10"/>
        <v>1.6668079825842654E-2</v>
      </c>
    </row>
    <row r="54" spans="1:10" hidden="1" x14ac:dyDescent="0.25">
      <c r="A54" s="2">
        <v>10</v>
      </c>
      <c r="B54" s="30">
        <f t="shared" si="3"/>
        <v>9.1635161212512428E-4</v>
      </c>
      <c r="C54" s="30">
        <f>SUM(B$44:$B53)</f>
        <v>9.4865896744387506</v>
      </c>
      <c r="D54" s="30">
        <f t="shared" si="4"/>
        <v>1.1823891769356441E-3</v>
      </c>
      <c r="E54" s="30">
        <f t="shared" si="5"/>
        <v>0.10539882211492661</v>
      </c>
      <c r="F54" s="30">
        <f t="shared" si="6"/>
        <v>0.22500000000000001</v>
      </c>
      <c r="G54" s="30">
        <f t="shared" si="7"/>
        <v>3.618070447658355E-5</v>
      </c>
      <c r="H54" s="30">
        <f t="shared" si="8"/>
        <v>2.2500361807044764</v>
      </c>
      <c r="I54" s="30">
        <f t="shared" si="9"/>
        <v>2.6800521834506332E-7</v>
      </c>
      <c r="J54" s="30">
        <f t="shared" si="10"/>
        <v>1.6666934671885011E-2</v>
      </c>
    </row>
    <row r="55" spans="1:10" hidden="1" x14ac:dyDescent="0.25">
      <c r="A55" s="2">
        <v>11</v>
      </c>
      <c r="B55" s="30">
        <f t="shared" si="3"/>
        <v>1.874355570255936E-4</v>
      </c>
      <c r="C55" s="30">
        <f>SUM(B$44:$B54)</f>
        <v>9.487506026050875</v>
      </c>
      <c r="D55" s="30">
        <f t="shared" si="4"/>
        <v>2.3563327168931768E-4</v>
      </c>
      <c r="E55" s="30">
        <f t="shared" si="5"/>
        <v>0.10539915987461669</v>
      </c>
      <c r="F55" s="30">
        <f t="shared" si="6"/>
        <v>0.20454545454545456</v>
      </c>
      <c r="G55" s="30">
        <f t="shared" si="7"/>
        <v>6.386283996315785E-6</v>
      </c>
      <c r="H55" s="30">
        <f t="shared" si="8"/>
        <v>2.2500063862839963</v>
      </c>
      <c r="I55" s="30">
        <f t="shared" si="9"/>
        <v>4.7305807380116929E-8</v>
      </c>
      <c r="J55" s="30">
        <f t="shared" si="10"/>
        <v>1.6666713972474045E-2</v>
      </c>
    </row>
    <row r="56" spans="1:10" hidden="1" x14ac:dyDescent="0.25">
      <c r="A56" s="2">
        <v>12</v>
      </c>
      <c r="B56" s="30">
        <f t="shared" si="3"/>
        <v>3.5144166942298799E-5</v>
      </c>
      <c r="C56" s="30">
        <f>SUM(B$44:$B55)</f>
        <v>9.4876934616079005</v>
      </c>
      <c r="D56" s="30">
        <f t="shared" si="4"/>
        <v>4.3254359313598524E-5</v>
      </c>
      <c r="E56" s="30">
        <f t="shared" si="5"/>
        <v>0.10539921479029536</v>
      </c>
      <c r="F56" s="30">
        <f t="shared" si="6"/>
        <v>0.1875</v>
      </c>
      <c r="G56" s="30">
        <f t="shared" si="7"/>
        <v>1.0520712710562884E-6</v>
      </c>
      <c r="H56" s="30">
        <f t="shared" si="8"/>
        <v>2.250001052071271</v>
      </c>
      <c r="I56" s="30">
        <f t="shared" si="9"/>
        <v>7.7931205263428779E-9</v>
      </c>
      <c r="J56" s="30">
        <f t="shared" si="10"/>
        <v>1.6666674459787194E-2</v>
      </c>
    </row>
    <row r="57" spans="1:10" hidden="1" x14ac:dyDescent="0.25">
      <c r="A57" s="2">
        <v>13</v>
      </c>
      <c r="B57" s="30">
        <f t="shared" si="3"/>
        <v>6.0826442784747924E-6</v>
      </c>
      <c r="C57" s="30">
        <f>SUM(B$44:$B56)</f>
        <v>9.4877286057748424</v>
      </c>
      <c r="D57" s="30">
        <f t="shared" si="4"/>
        <v>7.3557558716439353E-6</v>
      </c>
      <c r="E57" s="30">
        <f t="shared" si="5"/>
        <v>0.10539922317132695</v>
      </c>
      <c r="F57" s="30">
        <f t="shared" si="6"/>
        <v>0.17307692307692307</v>
      </c>
      <c r="G57" s="30">
        <f t="shared" si="7"/>
        <v>1.6227019982285534E-7</v>
      </c>
      <c r="H57" s="30">
        <f t="shared" si="8"/>
        <v>2.2500001622701999</v>
      </c>
      <c r="I57" s="30">
        <f t="shared" si="9"/>
        <v>1.2020014801692988E-9</v>
      </c>
      <c r="J57" s="30">
        <f t="shared" si="10"/>
        <v>1.6666667868668147E-2</v>
      </c>
    </row>
    <row r="58" spans="1:10" hidden="1" x14ac:dyDescent="0.25">
      <c r="A58" s="2">
        <v>14</v>
      </c>
      <c r="B58" s="30">
        <f t="shared" si="3"/>
        <v>9.7756783046916303E-7</v>
      </c>
      <c r="C58" s="30">
        <f>SUM(B$44:$B57)</f>
        <v>9.4877346884191205</v>
      </c>
      <c r="D58" s="30">
        <f t="shared" si="4"/>
        <v>1.1647616703462367E-6</v>
      </c>
      <c r="E58" s="30">
        <f t="shared" si="5"/>
        <v>0.10539922437498585</v>
      </c>
      <c r="F58" s="30">
        <f t="shared" si="6"/>
        <v>0.16071428571428573</v>
      </c>
      <c r="G58" s="30">
        <f t="shared" si="7"/>
        <v>2.3508187015443764E-8</v>
      </c>
      <c r="H58" s="30">
        <f t="shared" si="8"/>
        <v>2.250000023508187</v>
      </c>
      <c r="I58" s="30">
        <f t="shared" si="9"/>
        <v>1.7413471863291677E-10</v>
      </c>
      <c r="J58" s="30">
        <f t="shared" si="10"/>
        <v>1.6666666840801383E-2</v>
      </c>
    </row>
    <row r="59" spans="1:10" hidden="1" x14ac:dyDescent="0.25">
      <c r="A59" s="2">
        <v>15</v>
      </c>
      <c r="B59" s="30">
        <f t="shared" si="3"/>
        <v>1.4663517457037445E-7</v>
      </c>
      <c r="C59" s="30">
        <f>SUM(B$44:$B58)</f>
        <v>9.4877356659869516</v>
      </c>
      <c r="D59" s="30">
        <f t="shared" si="4"/>
        <v>1.7251197008279347E-7</v>
      </c>
      <c r="E59" s="30">
        <f t="shared" si="5"/>
        <v>0.10539922453808667</v>
      </c>
      <c r="F59" s="30">
        <f t="shared" si="6"/>
        <v>0.15</v>
      </c>
      <c r="G59" s="30">
        <f t="shared" si="7"/>
        <v>3.2086990359289485E-9</v>
      </c>
      <c r="H59" s="30">
        <f t="shared" si="8"/>
        <v>2.2500000032086991</v>
      </c>
      <c r="I59" s="30">
        <f t="shared" si="9"/>
        <v>2.3768141006881101E-11</v>
      </c>
      <c r="J59" s="30">
        <f t="shared" si="10"/>
        <v>1.6666666690434807E-2</v>
      </c>
    </row>
    <row r="60" spans="1:10" hidden="1" x14ac:dyDescent="0.25">
      <c r="A60" s="2">
        <v>16</v>
      </c>
      <c r="B60" s="30">
        <f t="shared" si="3"/>
        <v>2.0620571423958908E-8</v>
      </c>
      <c r="C60" s="30">
        <f>SUM(B$44:$B59)</f>
        <v>9.4877358126221267</v>
      </c>
      <c r="D60" s="30">
        <f t="shared" si="4"/>
        <v>2.3994846747879457E-8</v>
      </c>
      <c r="E60" s="30">
        <f t="shared" si="5"/>
        <v>0.10539922455899324</v>
      </c>
      <c r="F60" s="30">
        <f t="shared" si="6"/>
        <v>0.140625</v>
      </c>
      <c r="G60" s="30">
        <f t="shared" si="7"/>
        <v>4.1384262119537062E-10</v>
      </c>
      <c r="H60" s="30">
        <f t="shared" si="8"/>
        <v>2.2500000004138427</v>
      </c>
      <c r="I60" s="30">
        <f t="shared" si="9"/>
        <v>3.065500897743486E-12</v>
      </c>
      <c r="J60" s="30">
        <f t="shared" si="10"/>
        <v>1.6666666669732166E-2</v>
      </c>
    </row>
    <row r="61" spans="1:10" hidden="1" x14ac:dyDescent="0.25">
      <c r="A61" s="2">
        <v>17</v>
      </c>
      <c r="B61" s="30">
        <f t="shared" si="3"/>
        <v>2.7291932767004434E-9</v>
      </c>
      <c r="C61" s="30">
        <f>SUM(B$44:$B60)</f>
        <v>9.4877358332426986</v>
      </c>
      <c r="D61" s="30">
        <f t="shared" si="4"/>
        <v>3.1455108951801721E-9</v>
      </c>
      <c r="E61" s="30">
        <f t="shared" si="5"/>
        <v>0.10539922456153458</v>
      </c>
      <c r="F61" s="30">
        <f t="shared" si="6"/>
        <v>0.13235294117647059</v>
      </c>
      <c r="G61" s="30">
        <f t="shared" si="7"/>
        <v>5.0573045471468431E-11</v>
      </c>
      <c r="H61" s="30">
        <f t="shared" si="8"/>
        <v>2.2500000000505729</v>
      </c>
      <c r="I61" s="30">
        <f t="shared" si="9"/>
        <v>3.7461515164050691E-13</v>
      </c>
      <c r="J61" s="30">
        <f t="shared" si="10"/>
        <v>1.666666666704128E-2</v>
      </c>
    </row>
    <row r="62" spans="1:10" hidden="1" x14ac:dyDescent="0.25">
      <c r="A62" s="2">
        <v>18</v>
      </c>
      <c r="B62" s="30">
        <f t="shared" si="3"/>
        <v>3.4114915958755548E-10</v>
      </c>
      <c r="C62" s="30">
        <f>SUM(B$44:$B61)</f>
        <v>9.4877358359718915</v>
      </c>
      <c r="D62" s="30">
        <f t="shared" si="4"/>
        <v>3.8988475381434913E-10</v>
      </c>
      <c r="E62" s="30">
        <f t="shared" si="5"/>
        <v>0.10539922456182822</v>
      </c>
      <c r="F62" s="30">
        <f t="shared" si="6"/>
        <v>0.125</v>
      </c>
      <c r="G62" s="30">
        <f t="shared" si="7"/>
        <v>5.870507245787385E-12</v>
      </c>
      <c r="H62" s="30">
        <f t="shared" si="8"/>
        <v>2.2500000000058704</v>
      </c>
      <c r="I62" s="30">
        <f t="shared" si="9"/>
        <v>4.3485238857684335E-14</v>
      </c>
      <c r="J62" s="30">
        <f t="shared" si="10"/>
        <v>1.6666666666710152E-2</v>
      </c>
    </row>
    <row r="63" spans="1:10" hidden="1" x14ac:dyDescent="0.25">
      <c r="A63" s="2">
        <v>19</v>
      </c>
      <c r="B63" s="30">
        <f t="shared" si="3"/>
        <v>4.0399242582736831E-11</v>
      </c>
      <c r="C63" s="30">
        <f>SUM(B$44:$B62)</f>
        <v>9.4877358363130408</v>
      </c>
      <c r="D63" s="30">
        <f t="shared" si="4"/>
        <v>4.582600651176118E-11</v>
      </c>
      <c r="E63" s="30">
        <f t="shared" si="5"/>
        <v>0.10539922456186054</v>
      </c>
      <c r="F63" s="30">
        <f t="shared" si="6"/>
        <v>0.11842105263157894</v>
      </c>
      <c r="G63" s="30">
        <f t="shared" si="7"/>
        <v>6.4880940238742692E-13</v>
      </c>
      <c r="H63" s="30">
        <f t="shared" si="8"/>
        <v>2.2500000000006488</v>
      </c>
      <c r="I63" s="30">
        <f t="shared" si="9"/>
        <v>4.8059955732401992E-15</v>
      </c>
      <c r="J63" s="30">
        <f t="shared" si="10"/>
        <v>1.6666666666671472E-2</v>
      </c>
    </row>
    <row r="64" spans="1:10" hidden="1" x14ac:dyDescent="0.25">
      <c r="A64" s="2">
        <v>20</v>
      </c>
      <c r="B64" s="30">
        <f t="shared" si="3"/>
        <v>4.5449147905578931E-12</v>
      </c>
      <c r="C64" s="30">
        <f>SUM(B$44:$B63)</f>
        <v>9.4877358363534405</v>
      </c>
      <c r="D64" s="30">
        <f t="shared" si="4"/>
        <v>5.121030749924387E-12</v>
      </c>
      <c r="E64" s="30">
        <f t="shared" si="5"/>
        <v>0.10539922456186393</v>
      </c>
      <c r="F64" s="30">
        <f t="shared" si="6"/>
        <v>0.1125</v>
      </c>
      <c r="G64" s="30">
        <f t="shared" si="7"/>
        <v>6.8419352535146732E-14</v>
      </c>
      <c r="H64" s="30">
        <f t="shared" si="8"/>
        <v>2.2500000000000684</v>
      </c>
      <c r="I64" s="30">
        <f t="shared" si="9"/>
        <v>5.0681001877886466E-16</v>
      </c>
      <c r="J64" s="30">
        <f t="shared" si="10"/>
        <v>1.6666666666667173E-2</v>
      </c>
    </row>
    <row r="65" spans="1:10" hidden="1" x14ac:dyDescent="0.25">
      <c r="A65" s="2">
        <v>21</v>
      </c>
      <c r="B65" s="30">
        <f t="shared" si="3"/>
        <v>4.8695515613120286E-13</v>
      </c>
      <c r="C65" s="30">
        <f>SUM(B$44:$B64)</f>
        <v>9.4877358363579862</v>
      </c>
      <c r="D65" s="30">
        <f t="shared" si="4"/>
        <v>5.4538977486694714E-13</v>
      </c>
      <c r="E65" s="30">
        <f t="shared" si="5"/>
        <v>0.10539922456186428</v>
      </c>
      <c r="F65" s="30">
        <f t="shared" si="6"/>
        <v>0.10714285714285714</v>
      </c>
      <c r="G65" s="30">
        <f t="shared" si="7"/>
        <v>6.8980391225935156E-15</v>
      </c>
      <c r="H65" s="30">
        <f t="shared" si="8"/>
        <v>2.2500000000000071</v>
      </c>
      <c r="I65" s="30">
        <f t="shared" si="9"/>
        <v>5.1096586093285298E-17</v>
      </c>
      <c r="J65" s="30">
        <f t="shared" si="10"/>
        <v>1.6666666666666718E-2</v>
      </c>
    </row>
    <row r="66" spans="1:10" hidden="1" x14ac:dyDescent="0.25">
      <c r="A66" s="2">
        <v>22</v>
      </c>
      <c r="B66" s="30">
        <f t="shared" si="3"/>
        <v>4.9802231877054837E-14</v>
      </c>
      <c r="C66" s="30">
        <f>SUM(B$44:$B65)</f>
        <v>9.487735836358473</v>
      </c>
      <c r="D66" s="30">
        <f t="shared" si="4"/>
        <v>5.5475903863048426E-14</v>
      </c>
      <c r="E66" s="30">
        <f t="shared" si="5"/>
        <v>0.1053992245618643</v>
      </c>
      <c r="F66" s="30">
        <f t="shared" si="6"/>
        <v>0.10227272727272728</v>
      </c>
      <c r="G66" s="30">
        <f t="shared" si="7"/>
        <v>6.6612728153550033E-16</v>
      </c>
      <c r="H66" s="30">
        <f t="shared" si="8"/>
        <v>2.2500000000000009</v>
      </c>
      <c r="I66" s="30">
        <f t="shared" si="9"/>
        <v>4.9342761595222244E-18</v>
      </c>
      <c r="J66" s="30">
        <f t="shared" si="10"/>
        <v>1.666666666666667E-2</v>
      </c>
    </row>
    <row r="67" spans="1:10" hidden="1" x14ac:dyDescent="0.25">
      <c r="A67" s="2">
        <v>23</v>
      </c>
      <c r="B67" s="30">
        <f t="shared" si="3"/>
        <v>4.8719574662336255E-15</v>
      </c>
      <c r="C67" s="30">
        <f>SUM(B$44:$B66)</f>
        <v>9.4877358363585227</v>
      </c>
      <c r="D67" s="30">
        <f t="shared" si="4"/>
        <v>5.4002420107649821E-15</v>
      </c>
      <c r="E67" s="30">
        <f t="shared" si="5"/>
        <v>0.1053992245618643</v>
      </c>
      <c r="F67" s="30">
        <f t="shared" si="6"/>
        <v>9.7826086956521743E-2</v>
      </c>
      <c r="G67" s="30">
        <f t="shared" si="7"/>
        <v>6.1718456426858894E-17</v>
      </c>
      <c r="H67" s="30">
        <f t="shared" si="8"/>
        <v>2.25</v>
      </c>
      <c r="I67" s="30">
        <f t="shared" si="9"/>
        <v>4.5717375131006586E-19</v>
      </c>
      <c r="J67" s="30">
        <f t="shared" si="10"/>
        <v>1.6666666666666666E-2</v>
      </c>
    </row>
    <row r="68" spans="1:10" hidden="1" x14ac:dyDescent="0.25">
      <c r="A68" s="2">
        <v>24</v>
      </c>
      <c r="B68" s="30">
        <f t="shared" si="3"/>
        <v>4.5674601245940246E-16</v>
      </c>
      <c r="C68" s="30">
        <f>SUM(B$44:$B67)</f>
        <v>9.487735836358528</v>
      </c>
      <c r="D68" s="30">
        <f t="shared" si="4"/>
        <v>5.0399559995520267E-16</v>
      </c>
      <c r="E68" s="30">
        <f t="shared" si="5"/>
        <v>0.1053992245618643</v>
      </c>
      <c r="F68" s="30">
        <f t="shared" si="6"/>
        <v>9.375E-2</v>
      </c>
      <c r="G68" s="30">
        <f t="shared" si="7"/>
        <v>5.4952495259865453E-18</v>
      </c>
      <c r="H68" s="30">
        <f t="shared" si="8"/>
        <v>2.25</v>
      </c>
      <c r="I68" s="30">
        <f t="shared" si="9"/>
        <v>4.0705552044344782E-20</v>
      </c>
      <c r="J68" s="30">
        <f t="shared" si="10"/>
        <v>1.6666666666666666E-2</v>
      </c>
    </row>
    <row r="69" spans="1:10" hidden="1" x14ac:dyDescent="0.25">
      <c r="A69" s="2">
        <v>25</v>
      </c>
      <c r="B69" s="30">
        <f t="shared" si="3"/>
        <v>4.1107141121346223E-17</v>
      </c>
      <c r="C69" s="30">
        <f>SUM(B$44:$B68)</f>
        <v>9.487735836358528</v>
      </c>
      <c r="D69" s="30">
        <f t="shared" si="4"/>
        <v>4.5172682550929914E-17</v>
      </c>
      <c r="E69" s="30">
        <f t="shared" si="5"/>
        <v>0.1053992245618643</v>
      </c>
      <c r="F69" s="30">
        <f t="shared" si="6"/>
        <v>0.09</v>
      </c>
      <c r="G69" s="30">
        <f t="shared" si="7"/>
        <v>4.7088452099148834E-19</v>
      </c>
      <c r="H69" s="30">
        <f t="shared" si="8"/>
        <v>2.25</v>
      </c>
      <c r="I69" s="30">
        <f t="shared" si="9"/>
        <v>3.4880334888258392E-21</v>
      </c>
      <c r="J69" s="30">
        <f t="shared" si="10"/>
        <v>1.6666666666666666E-2</v>
      </c>
    </row>
    <row r="70" spans="1:10" hidden="1" x14ac:dyDescent="0.25">
      <c r="A70" s="2">
        <v>26</v>
      </c>
      <c r="B70" s="30">
        <f t="shared" si="3"/>
        <v>3.557348750885729E-18</v>
      </c>
      <c r="C70" s="30">
        <f>SUM(B$44:$B69)</f>
        <v>9.487735836358528</v>
      </c>
      <c r="D70" s="30">
        <f t="shared" si="4"/>
        <v>3.8943607378117456E-18</v>
      </c>
      <c r="E70" s="30">
        <f t="shared" si="5"/>
        <v>0.1053992245618643</v>
      </c>
      <c r="F70" s="30">
        <f t="shared" si="6"/>
        <v>8.6538461538461536E-2</v>
      </c>
      <c r="G70" s="30">
        <f t="shared" si="7"/>
        <v>3.8885930709113155E-20</v>
      </c>
      <c r="H70" s="30">
        <f t="shared" si="8"/>
        <v>2.25</v>
      </c>
      <c r="I70" s="30">
        <f t="shared" si="9"/>
        <v>2.8804393117861596E-22</v>
      </c>
      <c r="J70" s="30">
        <f t="shared" si="10"/>
        <v>1.6666666666666666E-2</v>
      </c>
    </row>
    <row r="71" spans="1:10" hidden="1" x14ac:dyDescent="0.25">
      <c r="A71" s="2">
        <v>27</v>
      </c>
      <c r="B71" s="30">
        <f t="shared" si="3"/>
        <v>2.9644572924047756E-19</v>
      </c>
      <c r="C71" s="30">
        <f>SUM(B$44:$B70)</f>
        <v>9.487735836358528</v>
      </c>
      <c r="D71" s="30">
        <f t="shared" si="4"/>
        <v>3.233953409896119E-19</v>
      </c>
      <c r="E71" s="30">
        <f t="shared" si="5"/>
        <v>0.1053992245618643</v>
      </c>
      <c r="F71" s="30">
        <f t="shared" si="6"/>
        <v>8.3333333333333329E-2</v>
      </c>
      <c r="G71" s="30">
        <f t="shared" si="7"/>
        <v>3.0986925606567988E-21</v>
      </c>
      <c r="H71" s="30">
        <f t="shared" si="8"/>
        <v>2.25</v>
      </c>
      <c r="I71" s="30">
        <f t="shared" si="9"/>
        <v>2.2953278227087398E-23</v>
      </c>
      <c r="J71" s="30">
        <f t="shared" si="10"/>
        <v>1.6666666666666666E-2</v>
      </c>
    </row>
    <row r="72" spans="1:10" hidden="1" x14ac:dyDescent="0.25">
      <c r="A72" s="2">
        <v>28</v>
      </c>
      <c r="B72" s="30">
        <f t="shared" si="3"/>
        <v>2.382153181396695E-20</v>
      </c>
      <c r="C72" s="30">
        <f>SUM(B$44:$B71)</f>
        <v>9.487735836358528</v>
      </c>
      <c r="D72" s="30">
        <f t="shared" si="4"/>
        <v>2.5903024885090276E-20</v>
      </c>
      <c r="E72" s="30">
        <f t="shared" si="5"/>
        <v>0.1053992245618643</v>
      </c>
      <c r="F72" s="30">
        <f t="shared" si="6"/>
        <v>8.0357142857142863E-2</v>
      </c>
      <c r="G72" s="30">
        <f t="shared" si="7"/>
        <v>2.3855755951705543E-22</v>
      </c>
      <c r="H72" s="30">
        <f t="shared" si="8"/>
        <v>2.25</v>
      </c>
      <c r="I72" s="30">
        <f t="shared" si="9"/>
        <v>1.76709303345967E-24</v>
      </c>
      <c r="J72" s="30">
        <f t="shared" si="10"/>
        <v>1.6666666666666666E-2</v>
      </c>
    </row>
    <row r="73" spans="1:10" hidden="1" x14ac:dyDescent="0.25">
      <c r="A73" s="2">
        <v>29</v>
      </c>
      <c r="B73" s="30">
        <f t="shared" si="3"/>
        <v>1.8482222959112285E-21</v>
      </c>
      <c r="C73" s="30">
        <f>SUM(B$44:$B72)</f>
        <v>9.487735836358528</v>
      </c>
      <c r="D73" s="30">
        <f t="shared" si="4"/>
        <v>2.003680246034603E-21</v>
      </c>
      <c r="E73" s="30">
        <f t="shared" si="5"/>
        <v>0.1053992245618643</v>
      </c>
      <c r="F73" s="30">
        <f t="shared" si="6"/>
        <v>7.7586206896551727E-2</v>
      </c>
      <c r="G73" s="30">
        <f t="shared" si="7"/>
        <v>1.7763337362782747E-23</v>
      </c>
      <c r="H73" s="30">
        <f t="shared" si="8"/>
        <v>2.25</v>
      </c>
      <c r="I73" s="30">
        <f t="shared" si="9"/>
        <v>1.3158027676135368E-25</v>
      </c>
      <c r="J73" s="30">
        <f t="shared" si="10"/>
        <v>1.6666666666666666E-2</v>
      </c>
    </row>
    <row r="74" spans="1:10" hidden="1" x14ac:dyDescent="0.25">
      <c r="A74" s="2">
        <v>30</v>
      </c>
      <c r="B74" s="30">
        <f t="shared" si="3"/>
        <v>1.3861667219334211E-22</v>
      </c>
      <c r="C74" s="30">
        <f>SUM(B$44:$B73)</f>
        <v>9.487735836358528</v>
      </c>
      <c r="D74" s="30">
        <f t="shared" si="4"/>
        <v>1.4985586183064011E-22</v>
      </c>
      <c r="E74" s="30">
        <f t="shared" si="5"/>
        <v>0.1053992245618643</v>
      </c>
      <c r="F74" s="30">
        <f t="shared" si="6"/>
        <v>7.4999999999999997E-2</v>
      </c>
      <c r="G74" s="30">
        <f t="shared" si="7"/>
        <v>1.280650672945893E-24</v>
      </c>
      <c r="H74" s="30">
        <f t="shared" si="8"/>
        <v>2.25</v>
      </c>
      <c r="I74" s="30">
        <f t="shared" si="9"/>
        <v>9.4863012810806889E-27</v>
      </c>
      <c r="J74" s="30">
        <f t="shared" si="10"/>
        <v>1.6666666666666666E-2</v>
      </c>
    </row>
    <row r="75" spans="1:10" hidden="1" x14ac:dyDescent="0.25">
      <c r="B75" s="30"/>
      <c r="C75" s="30"/>
      <c r="D75" s="30"/>
      <c r="E75" s="30"/>
      <c r="F75" s="30"/>
      <c r="G75" s="30"/>
      <c r="H75" s="30"/>
      <c r="I75" s="30"/>
      <c r="J75" s="30"/>
    </row>
    <row r="76" spans="1:10" hidden="1" x14ac:dyDescent="0.25">
      <c r="B76" s="30"/>
      <c r="C76" s="30"/>
      <c r="D76" s="30"/>
      <c r="E76" s="30"/>
      <c r="F76" s="30"/>
      <c r="G76" s="30"/>
      <c r="H76" s="30"/>
      <c r="I76" s="30"/>
      <c r="J76" s="30"/>
    </row>
    <row r="77" spans="1:10" hidden="1" x14ac:dyDescent="0.25"/>
  </sheetData>
  <printOptions headings="1" gridLines="1"/>
  <pageMargins left="0.75" right="0.75" top="1" bottom="1" header="0.5" footer="0.5"/>
  <pageSetup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5"/>
  <dimension ref="A1:E17"/>
  <sheetViews>
    <sheetView topLeftCell="A3" zoomScale="180" zoomScaleNormal="180" workbookViewId="0">
      <selection activeCell="B8" sqref="B8"/>
    </sheetView>
  </sheetViews>
  <sheetFormatPr defaultColWidth="9.08984375" defaultRowHeight="12.5" x14ac:dyDescent="0.25"/>
  <cols>
    <col min="1" max="1" width="15.90625" style="2" customWidth="1"/>
    <col min="2" max="2" width="9.08984375" style="2"/>
    <col min="3" max="3" width="6.54296875" style="2" customWidth="1"/>
    <col min="4" max="4" width="42.453125" style="2" customWidth="1"/>
    <col min="5" max="5" width="10.08984375" style="2" customWidth="1"/>
    <col min="6" max="16384" width="9.08984375" style="2"/>
  </cols>
  <sheetData>
    <row r="1" spans="1:5" ht="18" x14ac:dyDescent="0.4">
      <c r="A1" s="1" t="s">
        <v>24</v>
      </c>
    </row>
    <row r="2" spans="1:5" s="41" customFormat="1" ht="13" x14ac:dyDescent="0.3">
      <c r="A2" s="41" t="s">
        <v>0</v>
      </c>
      <c r="B2" s="41" t="s">
        <v>25</v>
      </c>
    </row>
    <row r="3" spans="1:5" x14ac:dyDescent="0.25">
      <c r="A3" s="3"/>
      <c r="B3" s="3"/>
    </row>
    <row r="9" spans="1:5" ht="13.5" thickBot="1" x14ac:dyDescent="0.35">
      <c r="A9" s="4" t="s">
        <v>2</v>
      </c>
      <c r="D9" s="31" t="s">
        <v>39</v>
      </c>
    </row>
    <row r="10" spans="1:5" x14ac:dyDescent="0.25">
      <c r="A10" s="6" t="s">
        <v>3</v>
      </c>
      <c r="B10" s="32"/>
      <c r="D10" s="8" t="s">
        <v>4</v>
      </c>
      <c r="E10" s="9" t="e">
        <f>B10/B11</f>
        <v>#DIV/0!</v>
      </c>
    </row>
    <row r="11" spans="1:5" ht="16" thickBot="1" x14ac:dyDescent="0.45">
      <c r="A11" s="14" t="s">
        <v>5</v>
      </c>
      <c r="B11" s="33"/>
      <c r="D11" s="12" t="s">
        <v>6</v>
      </c>
      <c r="E11" s="13" t="e">
        <f>B10^2/(2*(B11*(B11-B10)))</f>
        <v>#DIV/0!</v>
      </c>
    </row>
    <row r="12" spans="1:5" x14ac:dyDescent="0.25">
      <c r="D12" s="12" t="s">
        <v>8</v>
      </c>
      <c r="E12" s="13" t="e">
        <f>E11+B10/B11</f>
        <v>#DIV/0!</v>
      </c>
    </row>
    <row r="13" spans="1:5" ht="15.5" x14ac:dyDescent="0.4">
      <c r="D13" s="12" t="s">
        <v>9</v>
      </c>
      <c r="E13" s="13" t="e">
        <f>B10/(2*(B11*(B11-B10)))</f>
        <v>#DIV/0!</v>
      </c>
    </row>
    <row r="14" spans="1:5" x14ac:dyDescent="0.25">
      <c r="D14" s="12" t="s">
        <v>10</v>
      </c>
      <c r="E14" s="13" t="e">
        <f>E13+1/B11</f>
        <v>#DIV/0!</v>
      </c>
    </row>
    <row r="15" spans="1:5" ht="16" thickBot="1" x14ac:dyDescent="0.45">
      <c r="D15" s="16" t="s">
        <v>11</v>
      </c>
      <c r="E15" s="17" t="e">
        <f>1-E10</f>
        <v>#DIV/0!</v>
      </c>
    </row>
    <row r="16" spans="1:5" x14ac:dyDescent="0.25">
      <c r="D16" s="18"/>
      <c r="E16" s="34"/>
    </row>
    <row r="17" spans="1:1" ht="13" x14ac:dyDescent="0.3">
      <c r="A17" s="46" t="str">
        <f>IF(B10&gt;=B11,"ERROR. The service rate must be greater than the arrival rate.","")</f>
        <v>ERROR. The service rate must be greater than the arrival rate.</v>
      </c>
    </row>
  </sheetData>
  <pageMargins left="0.75" right="0.75" top="1" bottom="1" header="0.5" footer="0.5"/>
  <pageSetup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6"/>
  <dimension ref="A1:H16"/>
  <sheetViews>
    <sheetView zoomScale="80" zoomScaleNormal="80" workbookViewId="0">
      <selection activeCell="B9" sqref="B9"/>
    </sheetView>
  </sheetViews>
  <sheetFormatPr defaultColWidth="9.08984375" defaultRowHeight="12.5" x14ac:dyDescent="0.25"/>
  <cols>
    <col min="1" max="1" width="20.453125" style="2" customWidth="1"/>
    <col min="2" max="2" width="9.08984375" style="2"/>
    <col min="3" max="3" width="6.36328125" style="2" customWidth="1"/>
    <col min="4" max="4" width="43.36328125" style="2" bestFit="1" customWidth="1"/>
    <col min="5" max="5" width="10" style="2" customWidth="1"/>
    <col min="6" max="16384" width="9.08984375" style="2"/>
  </cols>
  <sheetData>
    <row r="1" spans="1:8" ht="18" x14ac:dyDescent="0.4">
      <c r="A1" s="1" t="s">
        <v>24</v>
      </c>
    </row>
    <row r="2" spans="1:8" s="41" customFormat="1" ht="13" x14ac:dyDescent="0.3">
      <c r="A2" s="41" t="s">
        <v>0</v>
      </c>
      <c r="B2" s="41" t="s">
        <v>26</v>
      </c>
    </row>
    <row r="3" spans="1:8" x14ac:dyDescent="0.25">
      <c r="A3" s="3"/>
      <c r="B3" s="3"/>
    </row>
    <row r="8" spans="1:8" ht="13.5" thickBot="1" x14ac:dyDescent="0.35">
      <c r="A8" s="4" t="s">
        <v>2</v>
      </c>
      <c r="D8" s="5" t="s">
        <v>39</v>
      </c>
    </row>
    <row r="9" spans="1:8" x14ac:dyDescent="0.25">
      <c r="A9" s="6" t="s">
        <v>3</v>
      </c>
      <c r="B9" s="32">
        <v>2.7</v>
      </c>
      <c r="D9" s="8" t="s">
        <v>4</v>
      </c>
      <c r="E9" s="9">
        <f>B9/B10</f>
        <v>0.54</v>
      </c>
    </row>
    <row r="10" spans="1:8" ht="15.5" x14ac:dyDescent="0.4">
      <c r="A10" s="10" t="s">
        <v>5</v>
      </c>
      <c r="B10" s="35">
        <v>5</v>
      </c>
      <c r="D10" s="12" t="s">
        <v>6</v>
      </c>
      <c r="E10" s="13">
        <f>(B9^2*B11^2+E9^2)/(2*(1-E9))</f>
        <v>0.37198369565217393</v>
      </c>
    </row>
    <row r="11" spans="1:8" ht="13" thickBot="1" x14ac:dyDescent="0.3">
      <c r="A11" s="14" t="s">
        <v>27</v>
      </c>
      <c r="B11" s="36">
        <f>5/60</f>
        <v>8.3333333333333329E-2</v>
      </c>
      <c r="D11" s="12" t="s">
        <v>8</v>
      </c>
      <c r="E11" s="13">
        <f>E9+E10</f>
        <v>0.91198369565217396</v>
      </c>
    </row>
    <row r="12" spans="1:8" ht="15.5" x14ac:dyDescent="0.4">
      <c r="D12" s="12" t="s">
        <v>9</v>
      </c>
      <c r="E12" s="13">
        <f>E10/B9</f>
        <v>0.13777173913043478</v>
      </c>
    </row>
    <row r="13" spans="1:8" x14ac:dyDescent="0.25">
      <c r="D13" s="12" t="s">
        <v>10</v>
      </c>
      <c r="E13" s="13">
        <f>E12+1/B10</f>
        <v>0.33777173913043479</v>
      </c>
      <c r="H13" s="2">
        <f>0.3378*60</f>
        <v>20.268000000000001</v>
      </c>
    </row>
    <row r="14" spans="1:8" ht="16" thickBot="1" x14ac:dyDescent="0.45">
      <c r="D14" s="16" t="s">
        <v>11</v>
      </c>
      <c r="E14" s="17">
        <f>1-E9</f>
        <v>0.45999999999999996</v>
      </c>
      <c r="H14" s="2">
        <f>0.019*60</f>
        <v>1.1399999999999999</v>
      </c>
    </row>
    <row r="15" spans="1:8" x14ac:dyDescent="0.25">
      <c r="D15" s="18"/>
      <c r="E15" s="34"/>
      <c r="H15" s="2">
        <f>SUM(H13:H14)</f>
        <v>21.408000000000001</v>
      </c>
    </row>
    <row r="16" spans="1:8" ht="13" x14ac:dyDescent="0.3">
      <c r="A16" s="46" t="str">
        <f>IF(B9&gt;=B10,"ERROR. The service rate must be greater than the arrival rate.","")</f>
        <v/>
      </c>
    </row>
  </sheetData>
  <pageMargins left="0.75" right="0.75" top="1" bottom="1" header="0.5" footer="0.5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7"/>
  <dimension ref="A1:K50"/>
  <sheetViews>
    <sheetView tabSelected="1" zoomScale="99" zoomScaleNormal="99" workbookViewId="0">
      <selection sqref="A1:E44"/>
    </sheetView>
  </sheetViews>
  <sheetFormatPr defaultColWidth="9.08984375" defaultRowHeight="12.5" x14ac:dyDescent="0.25"/>
  <cols>
    <col min="1" max="1" width="20" style="2" customWidth="1"/>
    <col min="2" max="2" width="10.08984375" style="2" customWidth="1"/>
    <col min="3" max="3" width="10.90625" style="2" customWidth="1"/>
    <col min="4" max="4" width="42.6328125" style="2" bestFit="1" customWidth="1"/>
    <col min="5" max="16384" width="9.08984375" style="2"/>
  </cols>
  <sheetData>
    <row r="1" spans="1:9" ht="18" x14ac:dyDescent="0.4">
      <c r="A1" s="1" t="s">
        <v>24</v>
      </c>
    </row>
    <row r="2" spans="1:9" s="41" customFormat="1" ht="13" x14ac:dyDescent="0.3">
      <c r="A2" s="41" t="s">
        <v>0</v>
      </c>
      <c r="B2" s="41" t="s">
        <v>28</v>
      </c>
    </row>
    <row r="3" spans="1:9" x14ac:dyDescent="0.25">
      <c r="A3" s="3"/>
      <c r="B3" s="3"/>
    </row>
    <row r="8" spans="1:9" ht="13.5" thickBot="1" x14ac:dyDescent="0.35">
      <c r="A8" s="4" t="s">
        <v>2</v>
      </c>
      <c r="D8" s="5" t="s">
        <v>39</v>
      </c>
    </row>
    <row r="9" spans="1:9" ht="25" x14ac:dyDescent="0.25">
      <c r="A9" s="37" t="s">
        <v>29</v>
      </c>
      <c r="B9" s="32">
        <v>3</v>
      </c>
      <c r="D9" s="8" t="s">
        <v>4</v>
      </c>
      <c r="E9" s="9">
        <f>E15/(B10*B11)</f>
        <v>0.45239041658636797</v>
      </c>
    </row>
    <row r="10" spans="1:9" ht="15.5" x14ac:dyDescent="0.4">
      <c r="A10" s="10" t="s">
        <v>5</v>
      </c>
      <c r="B10" s="35">
        <v>52</v>
      </c>
      <c r="D10" s="12" t="s">
        <v>6</v>
      </c>
      <c r="E10" s="13">
        <f>SUMPRODUCT($B$19:$B$49,D19:D49)</f>
        <v>0.11852708774977826</v>
      </c>
    </row>
    <row r="11" spans="1:9" x14ac:dyDescent="0.25">
      <c r="A11" s="10" t="s">
        <v>7</v>
      </c>
      <c r="B11" s="35">
        <v>3</v>
      </c>
      <c r="D11" s="12" t="s">
        <v>8</v>
      </c>
      <c r="E11" s="13">
        <f>SUMPRODUCT(A19:A50,$B$19:$B$50)</f>
        <v>1.4756983375088819</v>
      </c>
    </row>
    <row r="12" spans="1:9" ht="16" thickBot="1" x14ac:dyDescent="0.45">
      <c r="A12" s="14" t="s">
        <v>30</v>
      </c>
      <c r="B12" s="33">
        <v>25</v>
      </c>
      <c r="D12" s="12" t="s">
        <v>9</v>
      </c>
      <c r="E12" s="13">
        <f>E10/E15</f>
        <v>1.6794984955035739E-3</v>
      </c>
    </row>
    <row r="13" spans="1:9" x14ac:dyDescent="0.25">
      <c r="D13" s="12" t="s">
        <v>10</v>
      </c>
      <c r="E13" s="13">
        <f>E11/E15</f>
        <v>2.0910267726272799E-2</v>
      </c>
    </row>
    <row r="14" spans="1:9" ht="15.5" x14ac:dyDescent="0.4">
      <c r="D14" s="12" t="s">
        <v>11</v>
      </c>
      <c r="E14" s="13">
        <f>INDEX(K19:K49,B11+1)</f>
        <v>0.23867445415062258</v>
      </c>
      <c r="I14" s="2">
        <v>1</v>
      </c>
    </row>
    <row r="15" spans="1:9" ht="13" thickBot="1" x14ac:dyDescent="0.3">
      <c r="D15" s="16" t="s">
        <v>31</v>
      </c>
      <c r="E15" s="17">
        <f>SUMPRODUCT(B19:B49,E19:E49)</f>
        <v>70.572904987473407</v>
      </c>
    </row>
    <row r="17" spans="1:11" ht="26.5" thickBot="1" x14ac:dyDescent="0.35">
      <c r="A17" s="20" t="s">
        <v>42</v>
      </c>
      <c r="D17" s="43"/>
      <c r="E17" s="43"/>
      <c r="F17" s="43"/>
      <c r="G17" s="43"/>
      <c r="H17" s="43"/>
      <c r="I17" s="43">
        <f>INDEX(I19:I49,B12+1)</f>
        <v>8.410961270491434</v>
      </c>
      <c r="J17" s="43"/>
      <c r="K17" s="43"/>
    </row>
    <row r="18" spans="1:11" s="21" customFormat="1" ht="25" x14ac:dyDescent="0.25">
      <c r="A18" s="38" t="s">
        <v>12</v>
      </c>
      <c r="B18" s="39" t="s">
        <v>13</v>
      </c>
      <c r="C18" s="24" t="s">
        <v>14</v>
      </c>
      <c r="D18" s="44" t="s">
        <v>32</v>
      </c>
      <c r="E18" s="44" t="s">
        <v>33</v>
      </c>
      <c r="F18" s="44" t="s">
        <v>34</v>
      </c>
      <c r="G18" s="44" t="s">
        <v>35</v>
      </c>
      <c r="H18" s="44" t="s">
        <v>36</v>
      </c>
      <c r="I18" s="44" t="s">
        <v>37</v>
      </c>
      <c r="J18" s="44" t="s">
        <v>38</v>
      </c>
      <c r="K18" s="44" t="s">
        <v>18</v>
      </c>
    </row>
    <row r="19" spans="1:11" x14ac:dyDescent="0.25">
      <c r="A19" s="25">
        <v>0</v>
      </c>
      <c r="B19" s="26">
        <f>E14</f>
        <v>0.23867445415062258</v>
      </c>
      <c r="C19" s="13">
        <f>E14</f>
        <v>0.23867445415062258</v>
      </c>
      <c r="D19" s="45">
        <f t="shared" ref="D19:D50" si="0">IF(A19&lt;=$B$12,IF($B$11&lt;A19,A19-$B$11,0),"")</f>
        <v>0</v>
      </c>
      <c r="E19" s="45">
        <f t="shared" ref="E19:E50" si="1">IF(A19&lt;=$B$12,$B$9*($B$12-A19),"")</f>
        <v>75</v>
      </c>
      <c r="F19" s="45">
        <f t="shared" ref="F19:F50" si="2">IF(A19&lt;=$B$11,COMBIN($B$12,($B$12-A19))*($B$9/$B$10)^A19,"")</f>
        <v>1</v>
      </c>
      <c r="G19" s="45">
        <f>IF(A19&lt;=$B$11,SUM(F19:$F$19),"")</f>
        <v>1</v>
      </c>
      <c r="H19" s="45">
        <f t="shared" ref="H19:H50" si="3">IF(A19&lt;=$B$12,FACT($B$12)*($B$9/$B$10)^A19/(FACT($B$12-A19)*FACT($B$11)*$B$11^(A19-$B$11)),"")</f>
        <v>4.5</v>
      </c>
      <c r="I19" s="45">
        <f>IF(A19&lt;=$B$12,SUM($H19:H$19),"")</f>
        <v>4.5</v>
      </c>
      <c r="J19" s="45">
        <f t="shared" ref="J19:J50" si="4">IF(A19&lt;=$B$12,$I$17-I19,"")</f>
        <v>3.910961270491434</v>
      </c>
      <c r="K19" s="43" t="str">
        <f t="shared" ref="K19:K50" si="5">IF(A19=$B$11,1/(G19+J19),"")</f>
        <v/>
      </c>
    </row>
    <row r="20" spans="1:11" x14ac:dyDescent="0.25">
      <c r="A20" s="25">
        <v>1</v>
      </c>
      <c r="B20" s="26">
        <f t="shared" ref="B20:B50" si="6">IF(A20&lt;=$B$11,$E$14*COMBIN($B$12,A20)*($B$9/$B$10)^A20,IF(A20&lt;=$B$12,$E$14*COMBIN($B$12,A20)*($B$9/$B$10)^A20*FACT(A20)/FACT($B$11)/$B$11^(A20-$B$11),""))</f>
        <v>0.34424200117878256</v>
      </c>
      <c r="C20" s="13">
        <f t="shared" ref="C20:C50" si="7">IF(A20&lt;=$B$12,C19 + B20,"")</f>
        <v>0.58291645532940517</v>
      </c>
      <c r="D20" s="45">
        <f t="shared" si="0"/>
        <v>0</v>
      </c>
      <c r="E20" s="45">
        <f t="shared" si="1"/>
        <v>72</v>
      </c>
      <c r="F20" s="45">
        <f t="shared" si="2"/>
        <v>1.4423076923076923</v>
      </c>
      <c r="G20" s="45">
        <f>IF(A20&lt;=$B$11,SUM(F$19:$F20),"")</f>
        <v>2.4423076923076925</v>
      </c>
      <c r="H20" s="45">
        <f t="shared" si="3"/>
        <v>2.1634615384615383</v>
      </c>
      <c r="I20" s="45">
        <f>IF(A20&lt;=$B$12,SUM($H$19:H20),"")</f>
        <v>6.6634615384615383</v>
      </c>
      <c r="J20" s="45">
        <f t="shared" si="4"/>
        <v>1.7474997320298957</v>
      </c>
      <c r="K20" s="43" t="str">
        <f t="shared" si="5"/>
        <v/>
      </c>
    </row>
    <row r="21" spans="1:11" x14ac:dyDescent="0.25">
      <c r="A21" s="25">
        <v>2</v>
      </c>
      <c r="B21" s="26">
        <f t="shared" si="6"/>
        <v>0.23832138543146489</v>
      </c>
      <c r="C21" s="13">
        <f t="shared" si="7"/>
        <v>0.82123784076087003</v>
      </c>
      <c r="D21" s="45">
        <f t="shared" si="0"/>
        <v>0</v>
      </c>
      <c r="E21" s="45">
        <f t="shared" si="1"/>
        <v>69</v>
      </c>
      <c r="F21" s="45">
        <f t="shared" si="2"/>
        <v>0.99852071005917176</v>
      </c>
      <c r="G21" s="45">
        <f>IF(A21&lt;=$B$11,SUM(F$19:$F21),"")</f>
        <v>3.440828402366864</v>
      </c>
      <c r="H21" s="45">
        <f t="shared" si="3"/>
        <v>0.99852071005917176</v>
      </c>
      <c r="I21" s="45">
        <f>IF(A21&lt;=$B$12,SUM($H$19:H21),"")</f>
        <v>7.6619822485207099</v>
      </c>
      <c r="J21" s="45">
        <f t="shared" si="4"/>
        <v>0.74897902197072419</v>
      </c>
      <c r="K21" s="43" t="str">
        <f t="shared" si="5"/>
        <v/>
      </c>
    </row>
    <row r="22" spans="1:11" x14ac:dyDescent="0.25">
      <c r="A22" s="25">
        <v>3</v>
      </c>
      <c r="B22" s="26">
        <f t="shared" si="6"/>
        <v>0.10541138201776332</v>
      </c>
      <c r="C22" s="13">
        <f t="shared" si="7"/>
        <v>0.92664922277863337</v>
      </c>
      <c r="D22" s="45">
        <f t="shared" si="0"/>
        <v>0</v>
      </c>
      <c r="E22" s="45">
        <f t="shared" si="1"/>
        <v>66</v>
      </c>
      <c r="F22" s="45">
        <f t="shared" si="2"/>
        <v>0.44165339098771061</v>
      </c>
      <c r="G22" s="45">
        <f>IF(A22&lt;=$B$11,SUM(F$19:$F22),"")</f>
        <v>3.8824817933545748</v>
      </c>
      <c r="H22" s="45">
        <f t="shared" si="3"/>
        <v>0.44165339098771056</v>
      </c>
      <c r="I22" s="45">
        <f>IF(A22&lt;=$B$12,SUM($H$19:H22),"")</f>
        <v>8.1036356395084201</v>
      </c>
      <c r="J22" s="45">
        <f t="shared" si="4"/>
        <v>0.30732563098301391</v>
      </c>
      <c r="K22" s="43">
        <f t="shared" si="5"/>
        <v>0.23867445415062258</v>
      </c>
    </row>
    <row r="23" spans="1:11" x14ac:dyDescent="0.25">
      <c r="A23" s="25">
        <v>4</v>
      </c>
      <c r="B23" s="26">
        <f t="shared" si="6"/>
        <v>4.459712316136142E-2</v>
      </c>
      <c r="C23" s="13">
        <f t="shared" si="7"/>
        <v>0.97124634593999482</v>
      </c>
      <c r="D23" s="45">
        <f t="shared" si="0"/>
        <v>1</v>
      </c>
      <c r="E23" s="45">
        <f t="shared" si="1"/>
        <v>63</v>
      </c>
      <c r="F23" s="45" t="str">
        <f t="shared" si="2"/>
        <v/>
      </c>
      <c r="G23" s="45" t="str">
        <f>IF(A23&lt;=$B$11,SUM(F$19:$F23),"")</f>
        <v/>
      </c>
      <c r="H23" s="45">
        <f t="shared" si="3"/>
        <v>0.18685335772556988</v>
      </c>
      <c r="I23" s="45">
        <f>IF(A23&lt;=$B$12,SUM($H$19:H23),"")</f>
        <v>8.2904889972339895</v>
      </c>
      <c r="J23" s="45">
        <f t="shared" si="4"/>
        <v>0.12047227325744458</v>
      </c>
      <c r="K23" s="43" t="str">
        <f t="shared" si="5"/>
        <v/>
      </c>
    </row>
    <row r="24" spans="1:11" x14ac:dyDescent="0.25">
      <c r="A24" s="25">
        <v>5</v>
      </c>
      <c r="B24" s="26">
        <f t="shared" si="6"/>
        <v>1.8010376661319032E-2</v>
      </c>
      <c r="C24" s="13">
        <f t="shared" si="7"/>
        <v>0.98925672260131381</v>
      </c>
      <c r="D24" s="45">
        <f t="shared" si="0"/>
        <v>2</v>
      </c>
      <c r="E24" s="45">
        <f t="shared" si="1"/>
        <v>60</v>
      </c>
      <c r="F24" s="45" t="str">
        <f t="shared" si="2"/>
        <v/>
      </c>
      <c r="G24" s="45" t="str">
        <f>IF(A24&lt;=$B$11,SUM(F$19:$F24),"")</f>
        <v/>
      </c>
      <c r="H24" s="45">
        <f t="shared" si="3"/>
        <v>7.5460009850710913E-2</v>
      </c>
      <c r="I24" s="45">
        <f>IF(A24&lt;=$B$12,SUM($H$19:H24),"")</f>
        <v>8.3659490070846996</v>
      </c>
      <c r="J24" s="45">
        <f t="shared" si="4"/>
        <v>4.5012263406734476E-2</v>
      </c>
      <c r="K24" s="43" t="str">
        <f t="shared" si="5"/>
        <v/>
      </c>
    </row>
    <row r="25" spans="1:11" x14ac:dyDescent="0.25">
      <c r="A25" s="25">
        <v>6</v>
      </c>
      <c r="B25" s="26">
        <f t="shared" si="6"/>
        <v>6.9270679466611673E-3</v>
      </c>
      <c r="C25" s="13">
        <f t="shared" si="7"/>
        <v>0.99618379054797501</v>
      </c>
      <c r="D25" s="45">
        <f t="shared" si="0"/>
        <v>3</v>
      </c>
      <c r="E25" s="45">
        <f t="shared" si="1"/>
        <v>57</v>
      </c>
      <c r="F25" s="45" t="str">
        <f t="shared" si="2"/>
        <v/>
      </c>
      <c r="G25" s="45" t="str">
        <f>IF(A25&lt;=$B$11,SUM(F$19:$F25),"")</f>
        <v/>
      </c>
      <c r="H25" s="45">
        <f t="shared" si="3"/>
        <v>2.9023080711811894E-2</v>
      </c>
      <c r="I25" s="45">
        <f>IF(A25&lt;=$B$12,SUM($H$19:H25),"")</f>
        <v>8.3949720877965106</v>
      </c>
      <c r="J25" s="45">
        <f t="shared" si="4"/>
        <v>1.5989182694923443E-2</v>
      </c>
      <c r="K25" s="43" t="str">
        <f t="shared" si="5"/>
        <v/>
      </c>
    </row>
    <row r="26" spans="1:11" x14ac:dyDescent="0.25">
      <c r="A26" s="25">
        <v>7</v>
      </c>
      <c r="B26" s="26">
        <f t="shared" si="6"/>
        <v>2.5310440574338889E-3</v>
      </c>
      <c r="C26" s="13">
        <f t="shared" si="7"/>
        <v>0.99871483460540889</v>
      </c>
      <c r="D26" s="45">
        <f t="shared" si="0"/>
        <v>4</v>
      </c>
      <c r="E26" s="45">
        <f t="shared" si="1"/>
        <v>54</v>
      </c>
      <c r="F26" s="45" t="str">
        <f t="shared" si="2"/>
        <v/>
      </c>
      <c r="G26" s="45" t="str">
        <f>IF(A26&lt;=$B$11,SUM(F$19:$F26),"")</f>
        <v/>
      </c>
      <c r="H26" s="45">
        <f t="shared" si="3"/>
        <v>1.0604587183162038E-2</v>
      </c>
      <c r="I26" s="45">
        <f>IF(A26&lt;=$B$12,SUM($H$19:H26),"")</f>
        <v>8.4055766749796721</v>
      </c>
      <c r="J26" s="45">
        <f t="shared" si="4"/>
        <v>5.3845955117619582E-3</v>
      </c>
      <c r="K26" s="43" t="str">
        <f t="shared" si="5"/>
        <v/>
      </c>
    </row>
    <row r="27" spans="1:11" x14ac:dyDescent="0.25">
      <c r="A27" s="25">
        <v>8</v>
      </c>
      <c r="B27" s="26">
        <f t="shared" si="6"/>
        <v>8.7613063526557693E-4</v>
      </c>
      <c r="C27" s="13">
        <f t="shared" si="7"/>
        <v>0.99959096524067448</v>
      </c>
      <c r="D27" s="45">
        <f t="shared" si="0"/>
        <v>5</v>
      </c>
      <c r="E27" s="45">
        <f t="shared" si="1"/>
        <v>51</v>
      </c>
      <c r="F27" s="45" t="str">
        <f t="shared" si="2"/>
        <v/>
      </c>
      <c r="G27" s="45" t="str">
        <f>IF(A27&lt;=$B$11,SUM(F$19:$F27),"")</f>
        <v/>
      </c>
      <c r="H27" s="45">
        <f t="shared" si="3"/>
        <v>3.670818640325322E-3</v>
      </c>
      <c r="I27" s="45">
        <f>IF(A27&lt;=$B$12,SUM($H$19:H27),"")</f>
        <v>8.409247493619997</v>
      </c>
      <c r="J27" s="45">
        <f t="shared" si="4"/>
        <v>1.7137768714370338E-3</v>
      </c>
      <c r="K27" s="43" t="str">
        <f t="shared" si="5"/>
        <v/>
      </c>
    </row>
    <row r="28" spans="1:11" x14ac:dyDescent="0.25">
      <c r="A28" s="25">
        <v>9</v>
      </c>
      <c r="B28" s="26">
        <f t="shared" si="6"/>
        <v>2.8642732306759244E-4</v>
      </c>
      <c r="C28" s="13">
        <f t="shared" si="7"/>
        <v>0.99987739256374208</v>
      </c>
      <c r="D28" s="45">
        <f t="shared" si="0"/>
        <v>6</v>
      </c>
      <c r="E28" s="45">
        <f t="shared" si="1"/>
        <v>48</v>
      </c>
      <c r="F28" s="45" t="str">
        <f t="shared" si="2"/>
        <v/>
      </c>
      <c r="G28" s="45" t="str">
        <f>IF(A28&lt;=$B$11,SUM(F$19:$F28),"")</f>
        <v/>
      </c>
      <c r="H28" s="45">
        <f t="shared" si="3"/>
        <v>1.2000753247217398E-3</v>
      </c>
      <c r="I28" s="45">
        <f>IF(A28&lt;=$B$12,SUM($H$19:H28),"")</f>
        <v>8.4104475689447185</v>
      </c>
      <c r="J28" s="45">
        <f t="shared" si="4"/>
        <v>5.1370154671559476E-4</v>
      </c>
      <c r="K28" s="43" t="str">
        <f t="shared" si="5"/>
        <v/>
      </c>
    </row>
    <row r="29" spans="1:11" x14ac:dyDescent="0.25">
      <c r="A29" s="25">
        <v>10</v>
      </c>
      <c r="B29" s="26">
        <f t="shared" si="6"/>
        <v>8.8131484020797672E-5</v>
      </c>
      <c r="C29" s="13">
        <f t="shared" si="7"/>
        <v>0.99996552404776284</v>
      </c>
      <c r="D29" s="45">
        <f t="shared" si="0"/>
        <v>7</v>
      </c>
      <c r="E29" s="45">
        <f t="shared" si="1"/>
        <v>45</v>
      </c>
      <c r="F29" s="45" t="str">
        <f t="shared" si="2"/>
        <v/>
      </c>
      <c r="G29" s="45" t="str">
        <f>IF(A29&lt;=$B$11,SUM(F$19:$F29),"")</f>
        <v/>
      </c>
      <c r="H29" s="45">
        <f t="shared" si="3"/>
        <v>3.6925394606822772E-4</v>
      </c>
      <c r="I29" s="45">
        <f>IF(A29&lt;=$B$12,SUM($H$19:H29),"")</f>
        <v>8.4108168228907871</v>
      </c>
      <c r="J29" s="45">
        <f t="shared" si="4"/>
        <v>1.4444760064691309E-4</v>
      </c>
      <c r="K29" s="43" t="str">
        <f t="shared" si="5"/>
        <v/>
      </c>
    </row>
    <row r="30" spans="1:11" x14ac:dyDescent="0.25">
      <c r="A30" s="25">
        <v>11</v>
      </c>
      <c r="B30" s="26">
        <f t="shared" si="6"/>
        <v>2.5422543467537796E-5</v>
      </c>
      <c r="C30" s="13">
        <f t="shared" si="7"/>
        <v>0.99999094659123033</v>
      </c>
      <c r="D30" s="30">
        <f t="shared" si="0"/>
        <v>8</v>
      </c>
      <c r="E30" s="30">
        <f t="shared" si="1"/>
        <v>42</v>
      </c>
      <c r="F30" s="30" t="str">
        <f t="shared" si="2"/>
        <v/>
      </c>
      <c r="G30" s="30" t="str">
        <f>IF(A30&lt;=$B$11,SUM(F$19:$F30),"")</f>
        <v/>
      </c>
      <c r="H30" s="30">
        <f t="shared" si="3"/>
        <v>1.0651556136583491E-4</v>
      </c>
      <c r="I30" s="30">
        <f>IF(A30&lt;=$B$12,SUM($H$19:H30),"")</f>
        <v>8.4109233384521538</v>
      </c>
      <c r="J30" s="30">
        <f t="shared" si="4"/>
        <v>3.7932039280264007E-5</v>
      </c>
      <c r="K30" s="2" t="str">
        <f t="shared" si="5"/>
        <v/>
      </c>
    </row>
    <row r="31" spans="1:11" x14ac:dyDescent="0.25">
      <c r="A31" s="25">
        <v>12</v>
      </c>
      <c r="B31" s="26">
        <f t="shared" si="6"/>
        <v>6.8445309335678693E-6</v>
      </c>
      <c r="C31" s="13">
        <f t="shared" si="7"/>
        <v>0.99999779112216391</v>
      </c>
      <c r="D31" s="30">
        <f t="shared" si="0"/>
        <v>9</v>
      </c>
      <c r="E31" s="30">
        <f t="shared" si="1"/>
        <v>39</v>
      </c>
      <c r="F31" s="30" t="str">
        <f t="shared" si="2"/>
        <v/>
      </c>
      <c r="G31" s="30" t="str">
        <f>IF(A31&lt;=$B$11,SUM(F$19:$F31),"")</f>
        <v/>
      </c>
      <c r="H31" s="30">
        <f t="shared" si="3"/>
        <v>2.8677266521570943E-5</v>
      </c>
      <c r="I31" s="30">
        <f>IF(A31&lt;=$B$12,SUM($H$19:H31),"")</f>
        <v>8.4109520157186761</v>
      </c>
      <c r="J31" s="30">
        <f t="shared" si="4"/>
        <v>9.2547727579272987E-6</v>
      </c>
      <c r="K31" s="2" t="str">
        <f t="shared" si="5"/>
        <v/>
      </c>
    </row>
    <row r="32" spans="1:11" x14ac:dyDescent="0.25">
      <c r="A32" s="25">
        <v>13</v>
      </c>
      <c r="B32" s="26">
        <f t="shared" si="6"/>
        <v>1.7111327333919671E-6</v>
      </c>
      <c r="C32" s="13">
        <f t="shared" si="7"/>
        <v>0.99999950225489731</v>
      </c>
      <c r="D32" s="30">
        <f t="shared" si="0"/>
        <v>10</v>
      </c>
      <c r="E32" s="30">
        <f t="shared" si="1"/>
        <v>36</v>
      </c>
      <c r="F32" s="30" t="str">
        <f t="shared" si="2"/>
        <v/>
      </c>
      <c r="G32" s="30" t="str">
        <f>IF(A32&lt;=$B$11,SUM(F$19:$F32),"")</f>
        <v/>
      </c>
      <c r="H32" s="30">
        <f t="shared" si="3"/>
        <v>7.1693166303927367E-6</v>
      </c>
      <c r="I32" s="30">
        <f>IF(A32&lt;=$B$12,SUM($H$19:H32),"")</f>
        <v>8.4109591850353063</v>
      </c>
      <c r="J32" s="30">
        <f t="shared" si="4"/>
        <v>2.0854561277872108E-6</v>
      </c>
      <c r="K32" s="2" t="str">
        <f t="shared" si="5"/>
        <v/>
      </c>
    </row>
    <row r="33" spans="1:11" x14ac:dyDescent="0.25">
      <c r="A33" s="25">
        <v>14</v>
      </c>
      <c r="B33" s="26">
        <f t="shared" si="6"/>
        <v>3.9487678462891554E-7</v>
      </c>
      <c r="C33" s="13">
        <f t="shared" si="7"/>
        <v>0.99999989713168191</v>
      </c>
      <c r="D33" s="30">
        <f t="shared" si="0"/>
        <v>11</v>
      </c>
      <c r="E33" s="30">
        <f t="shared" si="1"/>
        <v>33</v>
      </c>
      <c r="F33" s="30" t="str">
        <f t="shared" si="2"/>
        <v/>
      </c>
      <c r="G33" s="30" t="str">
        <f>IF(A33&lt;=$B$11,SUM(F$19:$F33),"")</f>
        <v/>
      </c>
      <c r="H33" s="30">
        <f t="shared" si="3"/>
        <v>1.6544576839367855E-6</v>
      </c>
      <c r="I33" s="30">
        <f>IF(A33&lt;=$B$12,SUM($H$19:H33),"")</f>
        <v>8.41096083949299</v>
      </c>
      <c r="J33" s="30">
        <f t="shared" si="4"/>
        <v>4.309984440453718E-7</v>
      </c>
      <c r="K33" s="2" t="str">
        <f t="shared" si="5"/>
        <v/>
      </c>
    </row>
    <row r="34" spans="1:11" x14ac:dyDescent="0.25">
      <c r="A34" s="25">
        <v>15</v>
      </c>
      <c r="B34" s="26">
        <f t="shared" si="6"/>
        <v>8.3531627517655219E-8</v>
      </c>
      <c r="C34" s="13">
        <f t="shared" si="7"/>
        <v>0.99999998066330942</v>
      </c>
      <c r="D34" s="30">
        <f t="shared" si="0"/>
        <v>12</v>
      </c>
      <c r="E34" s="30">
        <f t="shared" si="1"/>
        <v>30</v>
      </c>
      <c r="F34" s="30" t="str">
        <f t="shared" si="2"/>
        <v/>
      </c>
      <c r="G34" s="30" t="str">
        <f>IF(A34&lt;=$B$11,SUM(F$19:$F34),"")</f>
        <v/>
      </c>
      <c r="H34" s="30">
        <f t="shared" si="3"/>
        <v>3.4998143314047387E-7</v>
      </c>
      <c r="I34" s="30">
        <f>IF(A34&lt;=$B$12,SUM($H$19:H34),"")</f>
        <v>8.4109611894744223</v>
      </c>
      <c r="J34" s="30">
        <f t="shared" si="4"/>
        <v>8.101701176599363E-8</v>
      </c>
      <c r="K34" s="2" t="str">
        <f t="shared" si="5"/>
        <v/>
      </c>
    </row>
    <row r="35" spans="1:11" x14ac:dyDescent="0.25">
      <c r="A35" s="25">
        <v>16</v>
      </c>
      <c r="B35" s="26">
        <f t="shared" si="6"/>
        <v>1.6063774522626004E-8</v>
      </c>
      <c r="C35" s="13">
        <f t="shared" si="7"/>
        <v>0.99999999672708395</v>
      </c>
      <c r="D35" s="30">
        <f t="shared" si="0"/>
        <v>13</v>
      </c>
      <c r="E35" s="30">
        <f t="shared" si="1"/>
        <v>27</v>
      </c>
      <c r="F35" s="30" t="str">
        <f t="shared" si="2"/>
        <v/>
      </c>
      <c r="G35" s="30" t="str">
        <f>IF(A35&lt;=$B$11,SUM(F$19:$F35),"")</f>
        <v/>
      </c>
      <c r="H35" s="30">
        <f t="shared" si="3"/>
        <v>6.7304121757783449E-8</v>
      </c>
      <c r="I35" s="30">
        <f>IF(A35&lt;=$B$12,SUM($H$19:H35),"")</f>
        <v>8.4109612567785437</v>
      </c>
      <c r="J35" s="30">
        <f t="shared" si="4"/>
        <v>1.3712890378769771E-8</v>
      </c>
      <c r="K35" s="2" t="str">
        <f t="shared" si="5"/>
        <v/>
      </c>
    </row>
    <row r="36" spans="1:11" x14ac:dyDescent="0.25">
      <c r="A36" s="25">
        <v>17</v>
      </c>
      <c r="B36" s="26">
        <f t="shared" si="6"/>
        <v>2.7802686673775786E-9</v>
      </c>
      <c r="C36" s="13">
        <f t="shared" si="7"/>
        <v>0.99999999950735263</v>
      </c>
      <c r="D36" s="30">
        <f t="shared" si="0"/>
        <v>14</v>
      </c>
      <c r="E36" s="30">
        <f t="shared" si="1"/>
        <v>24</v>
      </c>
      <c r="F36" s="30" t="str">
        <f t="shared" si="2"/>
        <v/>
      </c>
      <c r="G36" s="30" t="str">
        <f>IF(A36&lt;=$B$11,SUM(F$19:$F36),"")</f>
        <v/>
      </c>
      <c r="H36" s="30">
        <f t="shared" si="3"/>
        <v>1.164879030423175E-8</v>
      </c>
      <c r="I36" s="30">
        <f>IF(A36&lt;=$B$12,SUM($H$19:H36),"")</f>
        <v>8.410961268427334</v>
      </c>
      <c r="J36" s="30">
        <f t="shared" si="4"/>
        <v>2.0641000020305E-9</v>
      </c>
      <c r="K36" s="2" t="str">
        <f t="shared" si="5"/>
        <v/>
      </c>
    </row>
    <row r="37" spans="1:11" x14ac:dyDescent="0.25">
      <c r="A37" s="25">
        <v>18</v>
      </c>
      <c r="B37" s="26">
        <f t="shared" si="6"/>
        <v>4.2773364113501217E-10</v>
      </c>
      <c r="C37" s="13">
        <f t="shared" si="7"/>
        <v>0.99999999993508626</v>
      </c>
      <c r="D37" s="30">
        <f t="shared" si="0"/>
        <v>15</v>
      </c>
      <c r="E37" s="30">
        <f t="shared" si="1"/>
        <v>21</v>
      </c>
      <c r="F37" s="30" t="str">
        <f t="shared" si="2"/>
        <v/>
      </c>
      <c r="G37" s="30" t="str">
        <f>IF(A37&lt;=$B$11,SUM(F$19:$F37),"")</f>
        <v/>
      </c>
      <c r="H37" s="30">
        <f t="shared" si="3"/>
        <v>1.7921215852664234E-9</v>
      </c>
      <c r="I37" s="30">
        <f>IF(A37&lt;=$B$12,SUM($H$19:H37),"")</f>
        <v>8.4109612702194561</v>
      </c>
      <c r="J37" s="30">
        <f t="shared" si="4"/>
        <v>2.7197799568057235E-10</v>
      </c>
      <c r="K37" s="2" t="str">
        <f t="shared" si="5"/>
        <v/>
      </c>
    </row>
    <row r="38" spans="1:11" x14ac:dyDescent="0.25">
      <c r="A38" s="25">
        <v>19</v>
      </c>
      <c r="B38" s="26">
        <f t="shared" si="6"/>
        <v>5.7579528614328548E-11</v>
      </c>
      <c r="C38" s="13">
        <f t="shared" si="7"/>
        <v>0.99999999999266576</v>
      </c>
      <c r="D38" s="30">
        <f t="shared" si="0"/>
        <v>16</v>
      </c>
      <c r="E38" s="30">
        <f t="shared" si="1"/>
        <v>18</v>
      </c>
      <c r="F38" s="30" t="str">
        <f t="shared" si="2"/>
        <v/>
      </c>
      <c r="G38" s="30" t="str">
        <f>IF(A38&lt;=$B$11,SUM(F$19:$F38),"")</f>
        <v/>
      </c>
      <c r="H38" s="30">
        <f t="shared" si="3"/>
        <v>2.412471364781724E-10</v>
      </c>
      <c r="I38" s="30">
        <f>IF(A38&lt;=$B$12,SUM($H$19:H38),"")</f>
        <v>8.4109612704607031</v>
      </c>
      <c r="J38" s="30">
        <f t="shared" si="4"/>
        <v>3.0730973321624333E-11</v>
      </c>
      <c r="K38" s="2" t="str">
        <f t="shared" si="5"/>
        <v/>
      </c>
    </row>
    <row r="39" spans="1:11" x14ac:dyDescent="0.25">
      <c r="A39" s="25">
        <v>20</v>
      </c>
      <c r="B39" s="26">
        <f t="shared" si="6"/>
        <v>6.6437917631917566E-12</v>
      </c>
      <c r="C39" s="13">
        <f t="shared" si="7"/>
        <v>0.99999999999930955</v>
      </c>
      <c r="D39" s="30">
        <f t="shared" si="0"/>
        <v>17</v>
      </c>
      <c r="E39" s="30">
        <f t="shared" si="1"/>
        <v>15</v>
      </c>
      <c r="F39" s="30" t="str">
        <f t="shared" si="2"/>
        <v/>
      </c>
      <c r="G39" s="30" t="str">
        <f>IF(A39&lt;=$B$11,SUM(F$19:$F39),"")</f>
        <v/>
      </c>
      <c r="H39" s="30">
        <f t="shared" si="3"/>
        <v>2.7836208055173738E-11</v>
      </c>
      <c r="I39" s="30">
        <f>IF(A39&lt;=$B$12,SUM($H$19:H39),"")</f>
        <v>8.4109612704885386</v>
      </c>
      <c r="J39" s="30">
        <f t="shared" si="4"/>
        <v>2.8954616482224083E-12</v>
      </c>
      <c r="K39" s="2" t="str">
        <f t="shared" si="5"/>
        <v/>
      </c>
    </row>
    <row r="40" spans="1:11" x14ac:dyDescent="0.25">
      <c r="A40" s="25">
        <v>21</v>
      </c>
      <c r="B40" s="26">
        <f t="shared" si="6"/>
        <v>6.3882613107613072E-13</v>
      </c>
      <c r="C40" s="13">
        <f t="shared" si="7"/>
        <v>0.99999999999994837</v>
      </c>
      <c r="D40" s="30">
        <f t="shared" si="0"/>
        <v>18</v>
      </c>
      <c r="E40" s="30">
        <f t="shared" si="1"/>
        <v>12</v>
      </c>
      <c r="F40" s="30" t="str">
        <f t="shared" si="2"/>
        <v/>
      </c>
      <c r="G40" s="30" t="str">
        <f>IF(A40&lt;=$B$11,SUM(F$19:$F40),"")</f>
        <v/>
      </c>
      <c r="H40" s="30">
        <f t="shared" si="3"/>
        <v>2.6765584668436292E-12</v>
      </c>
      <c r="I40" s="30">
        <f>IF(A40&lt;=$B$12,SUM($H$19:H40),"")</f>
        <v>8.4109612704912156</v>
      </c>
      <c r="J40" s="30">
        <f t="shared" si="4"/>
        <v>2.1849189124623081E-13</v>
      </c>
      <c r="K40" s="2" t="str">
        <f t="shared" si="5"/>
        <v/>
      </c>
    </row>
    <row r="41" spans="1:11" x14ac:dyDescent="0.25">
      <c r="A41" s="25">
        <v>22</v>
      </c>
      <c r="B41" s="26">
        <f t="shared" si="6"/>
        <v>4.9140471621240808E-14</v>
      </c>
      <c r="C41" s="13">
        <f t="shared" si="7"/>
        <v>0.99999999999999756</v>
      </c>
      <c r="D41" s="30">
        <f t="shared" si="0"/>
        <v>19</v>
      </c>
      <c r="E41" s="30">
        <f t="shared" si="1"/>
        <v>9</v>
      </c>
      <c r="F41" s="30" t="str">
        <f t="shared" si="2"/>
        <v/>
      </c>
      <c r="G41" s="30" t="str">
        <f>IF(A41&lt;=$B$11,SUM(F$19:$F41),"")</f>
        <v/>
      </c>
      <c r="H41" s="30">
        <f t="shared" si="3"/>
        <v>2.0588911283412532E-13</v>
      </c>
      <c r="I41" s="30">
        <f>IF(A41&lt;=$B$12,SUM($H$19:H41),"")</f>
        <v>8.4109612704914216</v>
      </c>
      <c r="J41" s="30">
        <f t="shared" si="4"/>
        <v>1.2434497875801753E-14</v>
      </c>
      <c r="K41" s="2" t="str">
        <f t="shared" si="5"/>
        <v/>
      </c>
    </row>
    <row r="42" spans="1:11" x14ac:dyDescent="0.25">
      <c r="A42" s="25">
        <v>23</v>
      </c>
      <c r="B42" s="26">
        <f t="shared" si="6"/>
        <v>2.8350272089177392E-15</v>
      </c>
      <c r="C42" s="13">
        <f t="shared" si="7"/>
        <v>1.0000000000000004</v>
      </c>
      <c r="D42" s="30">
        <f t="shared" si="0"/>
        <v>20</v>
      </c>
      <c r="E42" s="30">
        <f t="shared" si="1"/>
        <v>6</v>
      </c>
      <c r="F42" s="30" t="str">
        <f t="shared" si="2"/>
        <v/>
      </c>
      <c r="G42" s="30" t="str">
        <f>IF(A42&lt;=$B$11,SUM(F$19:$F42),"")</f>
        <v/>
      </c>
      <c r="H42" s="30">
        <f t="shared" si="3"/>
        <v>1.1878218048122616E-14</v>
      </c>
      <c r="I42" s="30">
        <f>IF(A42&lt;=$B$12,SUM($H$19:H42),"")</f>
        <v>8.410961270491434</v>
      </c>
      <c r="J42" s="30">
        <f t="shared" si="4"/>
        <v>0</v>
      </c>
      <c r="K42" s="2" t="str">
        <f t="shared" si="5"/>
        <v/>
      </c>
    </row>
    <row r="43" spans="1:11" x14ac:dyDescent="0.25">
      <c r="A43" s="25">
        <v>24</v>
      </c>
      <c r="B43" s="26">
        <f t="shared" si="6"/>
        <v>1.0903950803529768E-16</v>
      </c>
      <c r="C43" s="13">
        <f t="shared" si="7"/>
        <v>1.0000000000000004</v>
      </c>
      <c r="D43" s="30">
        <f t="shared" si="0"/>
        <v>21</v>
      </c>
      <c r="E43" s="30">
        <f t="shared" si="1"/>
        <v>3</v>
      </c>
      <c r="F43" s="30" t="str">
        <f t="shared" si="2"/>
        <v/>
      </c>
      <c r="G43" s="30" t="str">
        <f>IF(A43&lt;=$B$11,SUM(F$19:$F43),"")</f>
        <v/>
      </c>
      <c r="H43" s="30">
        <f t="shared" si="3"/>
        <v>4.5685454031240833E-16</v>
      </c>
      <c r="I43" s="30">
        <f>IF(A43&lt;=$B$12,SUM($H$19:H43),"")</f>
        <v>8.410961270491434</v>
      </c>
      <c r="J43" s="30">
        <f t="shared" si="4"/>
        <v>0</v>
      </c>
      <c r="K43" s="2" t="str">
        <f t="shared" si="5"/>
        <v/>
      </c>
    </row>
    <row r="44" spans="1:11" x14ac:dyDescent="0.25">
      <c r="A44" s="25">
        <v>25</v>
      </c>
      <c r="B44" s="26">
        <f t="shared" si="6"/>
        <v>2.0969136160634167E-18</v>
      </c>
      <c r="C44" s="13">
        <f t="shared" si="7"/>
        <v>1.0000000000000004</v>
      </c>
      <c r="D44" s="30">
        <f t="shared" si="0"/>
        <v>22</v>
      </c>
      <c r="E44" s="30">
        <f t="shared" si="1"/>
        <v>0</v>
      </c>
      <c r="F44" s="30" t="str">
        <f t="shared" si="2"/>
        <v/>
      </c>
      <c r="G44" s="30" t="str">
        <f>IF(A44&lt;=$B$11,SUM(F$19:$F44),"")</f>
        <v/>
      </c>
      <c r="H44" s="30">
        <f t="shared" si="3"/>
        <v>8.7856642367770845E-18</v>
      </c>
      <c r="I44" s="30">
        <f>IF(A44&lt;=$B$12,SUM($H$19:H44),"")</f>
        <v>8.410961270491434</v>
      </c>
      <c r="J44" s="30">
        <f t="shared" si="4"/>
        <v>0</v>
      </c>
      <c r="K44" s="2" t="str">
        <f t="shared" si="5"/>
        <v/>
      </c>
    </row>
    <row r="45" spans="1:11" x14ac:dyDescent="0.25">
      <c r="A45" s="25">
        <v>26</v>
      </c>
      <c r="B45" s="26" t="str">
        <f t="shared" si="6"/>
        <v/>
      </c>
      <c r="C45" s="13" t="str">
        <f t="shared" si="7"/>
        <v/>
      </c>
      <c r="D45" s="30" t="str">
        <f t="shared" si="0"/>
        <v/>
      </c>
      <c r="E45" s="30" t="str">
        <f t="shared" si="1"/>
        <v/>
      </c>
      <c r="F45" s="30" t="str">
        <f t="shared" si="2"/>
        <v/>
      </c>
      <c r="G45" s="30" t="str">
        <f>IF(A45&lt;=$B$11,SUM(F$19:$F45),"")</f>
        <v/>
      </c>
      <c r="H45" s="30" t="str">
        <f t="shared" si="3"/>
        <v/>
      </c>
      <c r="I45" s="30" t="str">
        <f>IF(A45&lt;=$B$12,SUM($H$19:H45),"")</f>
        <v/>
      </c>
      <c r="J45" s="30" t="str">
        <f t="shared" si="4"/>
        <v/>
      </c>
      <c r="K45" s="2" t="str">
        <f t="shared" si="5"/>
        <v/>
      </c>
    </row>
    <row r="46" spans="1:11" x14ac:dyDescent="0.25">
      <c r="A46" s="25">
        <v>27</v>
      </c>
      <c r="B46" s="26" t="str">
        <f t="shared" si="6"/>
        <v/>
      </c>
      <c r="C46" s="13" t="str">
        <f t="shared" si="7"/>
        <v/>
      </c>
      <c r="D46" s="30" t="str">
        <f t="shared" si="0"/>
        <v/>
      </c>
      <c r="E46" s="30" t="str">
        <f t="shared" si="1"/>
        <v/>
      </c>
      <c r="F46" s="30" t="str">
        <f t="shared" si="2"/>
        <v/>
      </c>
      <c r="G46" s="30" t="str">
        <f>IF(A46&lt;=$B$11,SUM(F$19:$F46),"")</f>
        <v/>
      </c>
      <c r="H46" s="30" t="str">
        <f t="shared" si="3"/>
        <v/>
      </c>
      <c r="I46" s="30" t="str">
        <f>IF(A46&lt;=$B$12,SUM($H$19:H46),"")</f>
        <v/>
      </c>
      <c r="J46" s="30" t="str">
        <f t="shared" si="4"/>
        <v/>
      </c>
      <c r="K46" s="2" t="str">
        <f t="shared" si="5"/>
        <v/>
      </c>
    </row>
    <row r="47" spans="1:11" x14ac:dyDescent="0.25">
      <c r="A47" s="25">
        <v>28</v>
      </c>
      <c r="B47" s="26" t="str">
        <f t="shared" si="6"/>
        <v/>
      </c>
      <c r="C47" s="13" t="str">
        <f t="shared" si="7"/>
        <v/>
      </c>
      <c r="D47" s="30" t="str">
        <f t="shared" si="0"/>
        <v/>
      </c>
      <c r="E47" s="30" t="str">
        <f t="shared" si="1"/>
        <v/>
      </c>
      <c r="F47" s="30" t="str">
        <f t="shared" si="2"/>
        <v/>
      </c>
      <c r="G47" s="30" t="str">
        <f>IF(A47&lt;=$B$11,SUM(F$19:$F47),"")</f>
        <v/>
      </c>
      <c r="H47" s="30" t="str">
        <f t="shared" si="3"/>
        <v/>
      </c>
      <c r="I47" s="30" t="str">
        <f>IF(A47&lt;=$B$12,SUM($H$19:H47),"")</f>
        <v/>
      </c>
      <c r="J47" s="30" t="str">
        <f t="shared" si="4"/>
        <v/>
      </c>
      <c r="K47" s="2" t="str">
        <f t="shared" si="5"/>
        <v/>
      </c>
    </row>
    <row r="48" spans="1:11" x14ac:dyDescent="0.25">
      <c r="A48" s="25">
        <v>29</v>
      </c>
      <c r="B48" s="26" t="str">
        <f t="shared" si="6"/>
        <v/>
      </c>
      <c r="C48" s="13" t="str">
        <f t="shared" si="7"/>
        <v/>
      </c>
      <c r="D48" s="30" t="str">
        <f t="shared" si="0"/>
        <v/>
      </c>
      <c r="E48" s="30" t="str">
        <f t="shared" si="1"/>
        <v/>
      </c>
      <c r="F48" s="30" t="str">
        <f t="shared" si="2"/>
        <v/>
      </c>
      <c r="G48" s="30" t="str">
        <f>IF(A48&lt;=$B$11,SUM(F$19:$F48),"")</f>
        <v/>
      </c>
      <c r="H48" s="30" t="str">
        <f t="shared" si="3"/>
        <v/>
      </c>
      <c r="I48" s="30" t="str">
        <f>IF(A48&lt;=$B$12,SUM($H$19:H48),"")</f>
        <v/>
      </c>
      <c r="J48" s="30" t="str">
        <f t="shared" si="4"/>
        <v/>
      </c>
      <c r="K48" s="2" t="str">
        <f t="shared" si="5"/>
        <v/>
      </c>
    </row>
    <row r="49" spans="1:11" x14ac:dyDescent="0.25">
      <c r="A49" s="25">
        <v>30</v>
      </c>
      <c r="B49" s="26" t="str">
        <f t="shared" si="6"/>
        <v/>
      </c>
      <c r="C49" s="13" t="str">
        <f t="shared" si="7"/>
        <v/>
      </c>
      <c r="D49" s="30" t="str">
        <f t="shared" si="0"/>
        <v/>
      </c>
      <c r="E49" s="30" t="str">
        <f t="shared" si="1"/>
        <v/>
      </c>
      <c r="F49" s="30" t="str">
        <f t="shared" si="2"/>
        <v/>
      </c>
      <c r="G49" s="30" t="str">
        <f>IF(A49&lt;=$B$11,SUM(F$19:$F49),"")</f>
        <v/>
      </c>
      <c r="H49" s="30" t="str">
        <f t="shared" si="3"/>
        <v/>
      </c>
      <c r="I49" s="30" t="str">
        <f>IF(A49&lt;=$B$12,SUM($H$19:H49),"")</f>
        <v/>
      </c>
      <c r="J49" s="30" t="str">
        <f t="shared" si="4"/>
        <v/>
      </c>
      <c r="K49" s="2" t="str">
        <f t="shared" si="5"/>
        <v/>
      </c>
    </row>
    <row r="50" spans="1:11" ht="13" thickBot="1" x14ac:dyDescent="0.3">
      <c r="A50" s="27">
        <v>31</v>
      </c>
      <c r="B50" s="28" t="str">
        <f t="shared" si="6"/>
        <v/>
      </c>
      <c r="C50" s="17" t="str">
        <f t="shared" si="7"/>
        <v/>
      </c>
      <c r="D50" s="30" t="str">
        <f t="shared" si="0"/>
        <v/>
      </c>
      <c r="E50" s="30" t="str">
        <f t="shared" si="1"/>
        <v/>
      </c>
      <c r="F50" s="30" t="str">
        <f t="shared" si="2"/>
        <v/>
      </c>
      <c r="G50" s="30" t="str">
        <f>IF(A50&lt;=$B$11,SUM(F$19:$F50),"")</f>
        <v/>
      </c>
      <c r="H50" s="30" t="str">
        <f t="shared" si="3"/>
        <v/>
      </c>
      <c r="I50" s="30" t="str">
        <f>IF(A50&lt;=$B$12,SUM($H$19:H50),"")</f>
        <v/>
      </c>
      <c r="J50" s="30" t="str">
        <f t="shared" si="4"/>
        <v/>
      </c>
      <c r="K50" s="2" t="str">
        <f t="shared" si="5"/>
        <v/>
      </c>
    </row>
  </sheetData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MMS q2</vt:lpstr>
      <vt:lpstr>MMs</vt:lpstr>
      <vt:lpstr>MD1</vt:lpstr>
      <vt:lpstr>MG1</vt:lpstr>
      <vt:lpstr>MMS-n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Byrne</dc:creator>
  <cp:lastModifiedBy>USER</cp:lastModifiedBy>
  <dcterms:created xsi:type="dcterms:W3CDTF">2010-02-18T11:02:22Z</dcterms:created>
  <dcterms:modified xsi:type="dcterms:W3CDTF">2021-12-11T23:33:08Z</dcterms:modified>
</cp:coreProperties>
</file>