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mc:AlternateContent xmlns:mc="http://schemas.openxmlformats.org/markup-compatibility/2006">
    <mc:Choice Requires="x15">
      <x15ac:absPath xmlns:x15ac="http://schemas.microsoft.com/office/spreadsheetml/2010/11/ac" url="C:\Users\User\Desktop\ЭК АНАЛИЗ РАР\ФИНАЛЬНЫЕ ВЕРСИИ\"/>
    </mc:Choice>
  </mc:AlternateContent>
  <xr:revisionPtr revIDLastSave="0" documentId="13_ncr:1_{7BD18078-DC2C-463D-96A1-F761F666946F}" xr6:coauthVersionLast="47" xr6:coauthVersionMax="47" xr10:uidLastSave="{00000000-0000-0000-0000-000000000000}"/>
  <bookViews>
    <workbookView xWindow="-120" yWindow="-120" windowWidth="29040" windowHeight="16440" xr2:uid="{00000000-000D-0000-FFFF-FFFF00000000}"/>
  </bookViews>
  <sheets>
    <sheet name="Титульный лист" sheetId="1" r:id="rId1"/>
    <sheet name="Задание 1" sheetId="2" r:id="rId2"/>
    <sheet name="Задание 2" sheetId="3" r:id="rId3"/>
    <sheet name="Задание 3" sheetId="4" r:id="rId4"/>
    <sheet name="Задание 4" sheetId="5" r:id="rId5"/>
    <sheet name="Задание 5" sheetId="6" r:id="rId6"/>
    <sheet name="Задание 7" sheetId="8" r:id="rId7"/>
    <sheet name="Задание 8" sheetId="9" r:id="rId8"/>
    <sheet name="Рентабельн собств капитала ROE" sheetId="15" r:id="rId9"/>
    <sheet name="Задание 9" sheetId="11" r:id="rId10"/>
    <sheet name="Задание 10" sheetId="12" r:id="rId11"/>
    <sheet name="Задание 11" sheetId="13" r:id="rId12"/>
    <sheet name="Задание 12" sheetId="14" r:id="rId13"/>
    <sheet name="Приложение" sheetId="10" r:id="rId14"/>
  </sheets>
  <definedNames>
    <definedName name="_GoBack" localSheetId="1">'Задание 1'!$D$11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j/Bi/FvgbE9E7YwzgBmjdH824iFOzxIEDZxjY+c4uNg="/>
    </ext>
  </extLst>
</workbook>
</file>

<file path=xl/calcChain.xml><?xml version="1.0" encoding="utf-8"?>
<calcChain xmlns="http://schemas.openxmlformats.org/spreadsheetml/2006/main">
  <c r="D6" i="15" l="1"/>
  <c r="E6" i="15" s="1"/>
  <c r="C6" i="15"/>
  <c r="D5" i="15"/>
  <c r="C5" i="15"/>
  <c r="D4" i="15"/>
  <c r="C4" i="15"/>
  <c r="E8" i="13"/>
  <c r="D8" i="13"/>
  <c r="E7" i="13"/>
  <c r="D7" i="13"/>
  <c r="E6" i="13"/>
  <c r="D6" i="13"/>
  <c r="E5" i="13"/>
  <c r="D5" i="13"/>
  <c r="E5" i="15" l="1"/>
  <c r="D7" i="15"/>
  <c r="C7" i="15"/>
  <c r="E4" i="15"/>
  <c r="E4" i="13"/>
  <c r="D4" i="13"/>
  <c r="D9" i="13" s="1"/>
  <c r="F5" i="13"/>
  <c r="F6" i="13"/>
  <c r="F7" i="13"/>
  <c r="F8" i="13"/>
  <c r="E7" i="15" l="1"/>
  <c r="F4" i="13"/>
  <c r="E9" i="13"/>
  <c r="F9" i="13" s="1"/>
  <c r="D10" i="12" l="1"/>
  <c r="C10" i="12"/>
  <c r="E7" i="12"/>
  <c r="D6" i="12"/>
  <c r="D8" i="12" s="1"/>
  <c r="C6" i="12"/>
  <c r="C8" i="12" s="1"/>
  <c r="C9" i="12" s="1"/>
  <c r="E5" i="12"/>
  <c r="E4" i="12"/>
  <c r="F16" i="11"/>
  <c r="F17" i="11" s="1"/>
  <c r="E16" i="11"/>
  <c r="E17" i="11" s="1"/>
  <c r="F14" i="11"/>
  <c r="F15" i="11" s="1"/>
  <c r="E14" i="11"/>
  <c r="E15" i="11" s="1"/>
  <c r="F12" i="11"/>
  <c r="F13" i="11" s="1"/>
  <c r="E12" i="11"/>
  <c r="E13" i="11" s="1"/>
  <c r="F10" i="11"/>
  <c r="F11" i="11" s="1"/>
  <c r="E10" i="11"/>
  <c r="E11" i="11" s="1"/>
  <c r="F8" i="11"/>
  <c r="F9" i="11" s="1"/>
  <c r="E8" i="11"/>
  <c r="E9" i="11" s="1"/>
  <c r="F6" i="11"/>
  <c r="F7" i="11" s="1"/>
  <c r="E6" i="11"/>
  <c r="E7" i="11" s="1"/>
  <c r="F4" i="11"/>
  <c r="F5" i="11" s="1"/>
  <c r="E4" i="11"/>
  <c r="E5" i="11" s="1"/>
  <c r="D14" i="9"/>
  <c r="C14" i="9"/>
  <c r="D13" i="9"/>
  <c r="C13" i="9"/>
  <c r="D12" i="9"/>
  <c r="E12" i="9" s="1"/>
  <c r="C12" i="9"/>
  <c r="D11" i="9"/>
  <c r="C11" i="9"/>
  <c r="E11" i="9" s="1"/>
  <c r="D10" i="9"/>
  <c r="E10" i="9" s="1"/>
  <c r="C10" i="9"/>
  <c r="D9" i="9"/>
  <c r="C9" i="9"/>
  <c r="D8" i="9"/>
  <c r="C8" i="9"/>
  <c r="D7" i="9"/>
  <c r="E7" i="9" s="1"/>
  <c r="C7" i="9"/>
  <c r="D6" i="9"/>
  <c r="C6" i="9"/>
  <c r="D5" i="9"/>
  <c r="C5" i="9"/>
  <c r="D5" i="8"/>
  <c r="D11" i="8" s="1"/>
  <c r="C5" i="8"/>
  <c r="C11" i="8" s="1"/>
  <c r="D11" i="6"/>
  <c r="E11" i="6" s="1"/>
  <c r="C11" i="6"/>
  <c r="D10" i="6"/>
  <c r="C10" i="6"/>
  <c r="D9" i="6"/>
  <c r="C9" i="6"/>
  <c r="E9" i="6" s="1"/>
  <c r="E8" i="6"/>
  <c r="E7" i="6"/>
  <c r="E6" i="6"/>
  <c r="E5" i="6"/>
  <c r="E4" i="6"/>
  <c r="E3" i="6"/>
  <c r="H11" i="5"/>
  <c r="G11" i="5"/>
  <c r="D11" i="5"/>
  <c r="J11" i="5" s="1"/>
  <c r="C11" i="5"/>
  <c r="H10" i="5"/>
  <c r="G10" i="5"/>
  <c r="D10" i="5"/>
  <c r="C10" i="5"/>
  <c r="H9" i="5"/>
  <c r="G9" i="5"/>
  <c r="D9" i="5"/>
  <c r="J9" i="5" s="1"/>
  <c r="C9" i="5"/>
  <c r="H8" i="5"/>
  <c r="H12" i="5" s="1"/>
  <c r="G8" i="5"/>
  <c r="D8" i="5"/>
  <c r="C8" i="5"/>
  <c r="H9" i="4"/>
  <c r="G9" i="4"/>
  <c r="H7" i="4"/>
  <c r="F7" i="4"/>
  <c r="E7" i="4"/>
  <c r="D6" i="4"/>
  <c r="D8" i="4" s="1"/>
  <c r="C6" i="4"/>
  <c r="C8" i="4" s="1"/>
  <c r="E8" i="4" s="1"/>
  <c r="E4" i="3"/>
  <c r="E3" i="3"/>
  <c r="I29" i="2"/>
  <c r="G29" i="2"/>
  <c r="I28" i="2"/>
  <c r="G28" i="2"/>
  <c r="F28" i="2"/>
  <c r="E28" i="2"/>
  <c r="I26" i="2"/>
  <c r="G26" i="2"/>
  <c r="F26" i="2"/>
  <c r="E26" i="2"/>
  <c r="I25" i="2"/>
  <c r="G25" i="2"/>
  <c r="F25" i="2"/>
  <c r="E25" i="2"/>
  <c r="I23" i="2"/>
  <c r="G23" i="2"/>
  <c r="F23" i="2"/>
  <c r="E23" i="2"/>
  <c r="H23" i="2" s="1"/>
  <c r="I22" i="2"/>
  <c r="G22" i="2"/>
  <c r="F22" i="2"/>
  <c r="E22" i="2"/>
  <c r="I21" i="2"/>
  <c r="G21" i="2"/>
  <c r="F21" i="2"/>
  <c r="E21" i="2"/>
  <c r="I20" i="2"/>
  <c r="G20" i="2"/>
  <c r="F20" i="2"/>
  <c r="E20" i="2"/>
  <c r="I19" i="2"/>
  <c r="G19" i="2"/>
  <c r="F19" i="2"/>
  <c r="E19" i="2"/>
  <c r="I17" i="2"/>
  <c r="G17" i="2"/>
  <c r="I16" i="2"/>
  <c r="G16" i="2"/>
  <c r="F16" i="2"/>
  <c r="E16" i="2"/>
  <c r="I15" i="2"/>
  <c r="G15" i="2"/>
  <c r="F15" i="2"/>
  <c r="E15" i="2"/>
  <c r="I14" i="2"/>
  <c r="G14" i="2"/>
  <c r="F14" i="2"/>
  <c r="E14" i="2"/>
  <c r="I12" i="2"/>
  <c r="G12" i="2"/>
  <c r="F12" i="2"/>
  <c r="E12" i="2"/>
  <c r="I11" i="2"/>
  <c r="G11" i="2"/>
  <c r="F11" i="2"/>
  <c r="H11" i="2" s="1"/>
  <c r="E11" i="2"/>
  <c r="I10" i="2"/>
  <c r="G10" i="2"/>
  <c r="F10" i="2"/>
  <c r="H10" i="2" s="1"/>
  <c r="E10" i="2"/>
  <c r="I8" i="2"/>
  <c r="G8" i="2"/>
  <c r="F8" i="2"/>
  <c r="E8" i="2"/>
  <c r="I7" i="2"/>
  <c r="H7" i="2"/>
  <c r="G7" i="2"/>
  <c r="F7" i="2"/>
  <c r="E7" i="2"/>
  <c r="H15" i="2" l="1"/>
  <c r="H19" i="2"/>
  <c r="H26" i="2"/>
  <c r="H8" i="2"/>
  <c r="H14" i="2"/>
  <c r="D12" i="5"/>
  <c r="J10" i="5"/>
  <c r="E6" i="9"/>
  <c r="E9" i="9"/>
  <c r="H20" i="2"/>
  <c r="H22" i="2"/>
  <c r="H25" i="2"/>
  <c r="H28" i="2"/>
  <c r="E6" i="12"/>
  <c r="D11" i="12"/>
  <c r="E10" i="12"/>
  <c r="E8" i="12"/>
  <c r="D9" i="12"/>
  <c r="E9" i="12" s="1"/>
  <c r="H21" i="2"/>
  <c r="I10" i="5"/>
  <c r="C12" i="5"/>
  <c r="G12" i="5"/>
  <c r="C7" i="8"/>
  <c r="E8" i="9"/>
  <c r="E13" i="9"/>
  <c r="D7" i="8"/>
  <c r="D9" i="8" s="1"/>
  <c r="D13" i="8" s="1"/>
  <c r="H12" i="2"/>
  <c r="F6" i="4"/>
  <c r="I8" i="5"/>
  <c r="E14" i="9"/>
  <c r="G6" i="4"/>
  <c r="J8" i="5"/>
  <c r="I11" i="5"/>
  <c r="E10" i="6"/>
  <c r="H16" i="2"/>
  <c r="H6" i="4"/>
  <c r="I9" i="5"/>
  <c r="E5" i="9"/>
  <c r="H8" i="4"/>
  <c r="G8" i="4"/>
  <c r="F8" i="4"/>
  <c r="E6" i="4"/>
  <c r="C12" i="8" l="1"/>
  <c r="C9" i="8"/>
  <c r="C13" i="8" s="1"/>
  <c r="D12" i="8"/>
</calcChain>
</file>

<file path=xl/sharedStrings.xml><?xml version="1.0" encoding="utf-8"?>
<sst xmlns="http://schemas.openxmlformats.org/spreadsheetml/2006/main" count="264" uniqueCount="210">
  <si>
    <r>
      <rPr>
        <b/>
        <sz val="14"/>
        <color theme="1"/>
        <rFont val="Times New Roman"/>
        <family val="1"/>
      </rPr>
      <t xml:space="preserve">Задание 1. </t>
    </r>
    <r>
      <rPr>
        <sz val="14"/>
        <color theme="1"/>
        <rFont val="Times New Roman"/>
        <family val="1"/>
      </rPr>
      <t xml:space="preserve">Дать общую предварительную оценку финансового состояния организации. Для этого построить, на основе данных бухгалтерского баланса, сравнительный аналитический баланс за предыдущий и отчетный годы по форме, представленной в таблице 1.1.
Анализ проводится на основании абсолютный и относительных показателей. Рекомендуется определить изменение показателей в структуре баланса за рассматриваемый  период и направленность изменений (увеличение, стабильность, снижение).
Уменьшение валюты баланса может свидетельствовать о сокращении организацией хозяйственного оборота, что иногда влечет за собой неплатежеспособность. Поэтому требуется определить причины сворачивания хозяйственной деятельности (сокращение платежеспособности, спроса на товары, работы и услуги данной организации, ограничение доступа на рынки необходимого сырья, материалов и полуфабрикатов, постепенное включение в активный хозяйственный оборот дочерних предприятий за счет материнской компании и т.д.)
</t>
    </r>
    <r>
      <rPr>
        <b/>
        <sz val="14"/>
        <color theme="1"/>
        <rFont val="Times New Roman"/>
        <family val="1"/>
      </rPr>
      <t xml:space="preserve">Таблица 1.1 
Актив и пассив сравнительного аналитического баланса ПАО «Алроса»
</t>
    </r>
    <r>
      <rPr>
        <sz val="14"/>
        <color theme="1"/>
        <rFont val="Times New Roman"/>
        <family val="1"/>
      </rPr>
      <t xml:space="preserve">
</t>
    </r>
  </si>
  <si>
    <t>Показатель</t>
  </si>
  <si>
    <t>Значение показателя</t>
  </si>
  <si>
    <t>Изменение за анализируемый период</t>
  </si>
  <si>
    <t>в тыс. руб.</t>
  </si>
  <si>
    <t>структура, %</t>
  </si>
  <si>
    <t>абсол., тыс. руб.</t>
  </si>
  <si>
    <t>струк., %</t>
  </si>
  <si>
    <t>относ., %темп роста</t>
  </si>
  <si>
    <t>предыдущий год (2023)</t>
  </si>
  <si>
    <t>отчетный год (2024)</t>
  </si>
  <si>
    <t>предыдущий год</t>
  </si>
  <si>
    <t>отчетный год</t>
  </si>
  <si>
    <t>Актив</t>
  </si>
  <si>
    <t>1. Внеоборотные активы 1100</t>
  </si>
  <si>
    <t>в том числе:</t>
  </si>
  <si>
    <t>основные средства 1150</t>
  </si>
  <si>
    <t>финансовые вложения 1170</t>
  </si>
  <si>
    <t>2. Оборотные, всего 1200</t>
  </si>
  <si>
    <t>запасы 1210</t>
  </si>
  <si>
    <t>дебиторская задолженность 1230</t>
  </si>
  <si>
    <t>краткосрочные финансовые вложения 1240</t>
  </si>
  <si>
    <t>денежные средства 1250</t>
  </si>
  <si>
    <t>БАЛАНС 1600</t>
  </si>
  <si>
    <t>-</t>
  </si>
  <si>
    <t>Пассив</t>
  </si>
  <si>
    <r>
      <rPr>
        <sz val="12"/>
        <color theme="1"/>
        <rFont val="Times New Roman"/>
        <family val="1"/>
      </rPr>
      <t>1.</t>
    </r>
    <r>
      <rPr>
        <sz val="7"/>
        <color theme="1"/>
        <rFont val="Times New Roman"/>
        <family val="1"/>
      </rPr>
      <t xml:space="preserve">      </t>
    </r>
    <r>
      <rPr>
        <sz val="12"/>
        <color theme="1"/>
        <rFont val="Times New Roman"/>
        <family val="1"/>
      </rPr>
      <t>Собственный капитал 1300</t>
    </r>
  </si>
  <si>
    <r>
      <rPr>
        <sz val="12"/>
        <color theme="1"/>
        <rFont val="Times New Roman"/>
        <family val="1"/>
      </rPr>
      <t>1.1</t>
    </r>
    <r>
      <rPr>
        <sz val="7"/>
        <color theme="1"/>
        <rFont val="Times New Roman"/>
        <family val="1"/>
      </rPr>
      <t xml:space="preserve">  </t>
    </r>
    <r>
      <rPr>
        <sz val="12"/>
        <color theme="1"/>
        <rFont val="Times New Roman"/>
        <family val="1"/>
      </rPr>
      <t>Нераспределенная прибыль 1370</t>
    </r>
  </si>
  <si>
    <r>
      <rPr>
        <sz val="12"/>
        <color theme="1"/>
        <rFont val="Times New Roman"/>
        <family val="1"/>
      </rPr>
      <t>1.2</t>
    </r>
    <r>
      <rPr>
        <sz val="7"/>
        <color theme="1"/>
        <rFont val="Times New Roman"/>
        <family val="1"/>
      </rPr>
      <t xml:space="preserve">  </t>
    </r>
    <r>
      <rPr>
        <sz val="12"/>
        <color theme="1"/>
        <rFont val="Times New Roman"/>
        <family val="1"/>
      </rPr>
      <t>Добавочный капитал 1350</t>
    </r>
  </si>
  <si>
    <t>2. Долгосрочные обязательства, всего 1400</t>
  </si>
  <si>
    <t>заемные средства 1410</t>
  </si>
  <si>
    <t>3. Краткосрочные обязательства, всего 1500</t>
  </si>
  <si>
    <t>заемные средства 1510</t>
  </si>
  <si>
    <t>кредиторская задолженность 1520</t>
  </si>
  <si>
    <t>Валюта баланса</t>
  </si>
  <si>
    <t>Выводы:</t>
  </si>
  <si>
    <t>На основании проведённого анализа структуры и динамики показателей бухгалтерского баланса, а также ключевого показателя выручки, можно сделать предварительную комплексную оценку финансового состояния ПАО «Алроса» за анализируемый период.
В 2024 году предприятие столкнулось со значительным снижением объёмов хозяйственной деятельности, что подтверждается сокращением выручки от продаж на 28,53%. Такая динамика может свидетельствовать о падении спроса на продукцию, ограничении доступа к рынкам сбыта либо снижении платёжеспособности контрагентов. Несмотря на это, валюта баланса увеличилась на 7,74%, что, с одной стороны, может указывать на сохранение инвестиционной и операционной активности, но, с другой стороны, противоречит тенденции сокращения продаж и требует критической оценки эффективности управления активами и обязательствами.
В структуре актива наиболее существенные изменения наблюдаются в оборотных средствах, удельный вес которых вырос с 39,46% до 41,83%. Особенно выражен прирост запасов на 29,43%, что при снижении выручки может свидетельствовать о затоваривании, нарушении оборачиваемости ресурсов и рисках снижения ликвидности. Одновременно произошло значительное сокращение краткосрочных финансовых вложений на 63,77%, что указывает на мобилизацию ранее размещённых резервов для финансирования текущей деятельности. Прирост денежных средств на 244,61% требует отдельного анализа источников их поступления: с высокой долей вероятности это результат увеличения объёма долгосрочных заёмных средств. Действительно, долгосрочные обязательства выросли на 63,91%, главным образом за счёт удвоения суммы долгосрочных займов, что говорит о переориентации компании на внешнее финансирование и переносе долговой нагрузки на будущее.
Снижение дебиторской задолженности на 13,16% формально может расцениваться положительно, однако оно не соответствует масштабу снижения выручки, что, возможно, связано с ухудшением условий расчётов с клиентами или частичным списанием безнадёжных долгов. Это подтверждает тенденцию к снижению платёжеспособности контрагентов и усложнению управления оборотным капиталом. Одновременно снижение собственных источников финансирования, прежде всего нераспределённой прибыли, на 7,37% и сокращение общего объёма собственного капитала на 7,96% свидетельствуют о снижении финансовой устойчивости компании и усилении зависимости от внешних заёмных ресурсов. Особенно негативным является сокращение краткосрочных обязательств, которое сопровождается ростом кредиторской задолженности. Это может указывать на замещение краткосрочного заёмного финансирования накопленными текущими обязательствами перед поставщиками и подрядчиками.
В совокупности все вышеперечисленные факторы позволяют сделать вывод о нарастании финансовых рисков. Организация сталкивается с противоречивыми тенденциями: снижение объёмов продаж и доходов сопровождается ростом общей стоимости активов за счёт увеличения запасов и привлечённых заёмных средств. Подобная модель развития в условиях падающей выручки может привести к ухудшению показателей рентабельности и платёжеспособности в среднесрочной перспективе. Таким образом, финансовое состояние ПАО «Алроса» по итогам отчётного года можно охарактеризовать как нестабильное, с выраженными признаками снижения эффективности управления активами и капиталом, что требует пересмотра политики в области финансового планирования, операционного управления и оптимизации расходов.</t>
  </si>
  <si>
    <r>
      <rPr>
        <b/>
        <sz val="11"/>
        <color theme="1"/>
        <rFont val="Times New Roman"/>
        <family val="1"/>
      </rPr>
      <t>Задание 2.</t>
    </r>
    <r>
      <rPr>
        <sz val="11"/>
        <color theme="1"/>
        <rFont val="Times New Roman"/>
        <family val="1"/>
      </rPr>
      <t xml:space="preserve"> Дать общую оценку динамики финансового состояния за отчетный период путем сопоставления изменения итога баланса с изменениями за отчетный период результатов хозяйственной деятельности (выручкой от продаж) (таблица 2.1).
                                                                                                                                       </t>
    </r>
    <r>
      <rPr>
        <b/>
        <sz val="11"/>
        <color theme="1"/>
        <rFont val="Times New Roman"/>
        <family val="1"/>
      </rPr>
      <t>Таблица 2.1
Сопоставление показателей прироста выручки от продаж продукции и прироста среднего значения итога баланса за отчетный период</t>
    </r>
  </si>
  <si>
    <t>Показатели</t>
  </si>
  <si>
    <t>Предыдущий год (2023)</t>
  </si>
  <si>
    <t>Отчетный год (2024)</t>
  </si>
  <si>
    <t>Темпы прироста, %</t>
  </si>
  <si>
    <t>Выручка от продаж, тыс. руб.</t>
  </si>
  <si>
    <t>Средняя стоимость капитала (итог баланса), тыс. руб.</t>
  </si>
  <si>
    <r>
      <rPr>
        <b/>
        <sz val="11"/>
        <color theme="1"/>
        <rFont val="Times New Roman"/>
        <family val="1"/>
      </rPr>
      <t>1. Анализ динамики ключевых показателей</t>
    </r>
    <r>
      <rPr>
        <sz val="11"/>
        <color theme="1"/>
        <rFont val="Times New Roman"/>
        <family val="1"/>
      </rPr>
      <t xml:space="preserve">
 • Выручка от продаж в 2024 году по сравнению с 2023 годом снизилась на 28,53% — это значительное сокращение, указывающее на ухудшение результатов хозяйственной деятельности.
 • В то же время итог баланса (средняя стоимость капитала) увеличился на 7,74%, что свидетельствует о расширении активной базы предприятия.
</t>
    </r>
    <r>
      <rPr>
        <b/>
        <sz val="11"/>
        <color theme="1"/>
        <rFont val="Times New Roman"/>
        <family val="1"/>
      </rPr>
      <t>2. Эффективность использования финансовых ресурсов</t>
    </r>
    <r>
      <rPr>
        <sz val="11"/>
        <color theme="1"/>
        <rFont val="Times New Roman"/>
        <family val="1"/>
      </rPr>
      <t xml:space="preserve">
 • Поскольку темп прироста выручки отрицательный (-28,53%), а темп прироста баланса положительный (7,74%), можно сделать вывод, что:
 • В отчетном периоде финансовые ресурсы использовались менее эффективно, чем в предыдущем году.
 • Иными словами, несмотря на рост совокупных активов, компания не смогла обеспечить соответствующий рост (а даже допустила падение) выручки от продаж.
</t>
    </r>
    <r>
      <rPr>
        <b/>
        <sz val="11"/>
        <color theme="1"/>
        <rFont val="Times New Roman"/>
        <family val="1"/>
      </rPr>
      <t>3. Возможные причины снижения эффективности</t>
    </r>
    <r>
      <rPr>
        <sz val="11"/>
        <color theme="1"/>
        <rFont val="Times New Roman"/>
        <family val="1"/>
      </rPr>
      <t xml:space="preserve">
 </t>
    </r>
    <r>
      <rPr>
        <u/>
        <sz val="11"/>
        <color theme="1"/>
        <rFont val="Times New Roman"/>
        <family val="1"/>
      </rPr>
      <t>• Снижение выручки может быть обусловлено:</t>
    </r>
    <r>
      <rPr>
        <sz val="11"/>
        <color theme="1"/>
        <rFont val="Times New Roman"/>
        <family val="1"/>
      </rPr>
      <t xml:space="preserve">
 • Падением спроса на продукцию (возможно, на фоне внешнеэкономических факторов).
 • Увеличением запасов, не реализованных в течение периода.
 • Проблемами с логистикой, сбытом или снижением рыночных цен на продукцию.
</t>
    </r>
    <r>
      <rPr>
        <u/>
        <sz val="11"/>
        <color theme="1"/>
        <rFont val="Times New Roman"/>
        <family val="1"/>
      </rPr>
      <t xml:space="preserve"> • Одновременно рост активов может быть связан с:</t>
    </r>
    <r>
      <rPr>
        <sz val="11"/>
        <color theme="1"/>
        <rFont val="Times New Roman"/>
        <family val="1"/>
      </rPr>
      <t xml:space="preserve">
 • Привлечением дополнительных заёмных средств (как видно из роста долгосрочных обязательств).
 • Увеличением денежной позиции и инвестиций в запасы, что пока не дало соответствующей отдачи в виде роста продаж.
4. </t>
    </r>
    <r>
      <rPr>
        <b/>
        <sz val="11"/>
        <color theme="1"/>
        <rFont val="Times New Roman"/>
        <family val="1"/>
      </rPr>
      <t>Заключение</t>
    </r>
    <r>
      <rPr>
        <sz val="11"/>
        <color theme="1"/>
        <rFont val="Times New Roman"/>
        <family val="1"/>
      </rPr>
      <t xml:space="preserve">
Финансовое состояние ПАО «Алроса» в отчетном году характеризуется снижением эффективности использования ресурсов. Несмотря на рост активов, значительное сокращение выручки говорит о снижении деловой активности и возможных проблемах со сбытом продукции. Это указывает на необходимость более рационального управления активами и повышенного внимания к коммерческой деятельности и рыночной стратегии компании.</t>
    </r>
  </si>
  <si>
    <r>
      <rPr>
        <b/>
        <sz val="12"/>
        <color theme="1"/>
        <rFont val="Times New Roman"/>
        <family val="1"/>
      </rPr>
      <t>Задание 3.</t>
    </r>
    <r>
      <rPr>
        <sz val="12"/>
        <color theme="1"/>
        <rFont val="Times New Roman"/>
        <family val="1"/>
      </rPr>
      <t xml:space="preserve"> Определить величину чистых активов предприятия и тенденцию их изменения за анализируемый период (таблица 3.1).
</t>
    </r>
    <r>
      <rPr>
        <b/>
        <sz val="12"/>
        <color theme="1"/>
        <rFont val="Times New Roman"/>
        <family val="1"/>
      </rPr>
      <t>Таблица 3.1
Оценка стоимости чистых активов организации</t>
    </r>
  </si>
  <si>
    <t>Изменение</t>
  </si>
  <si>
    <t>в % к валюте баланса</t>
  </si>
  <si>
    <t>тыс. руб.</t>
  </si>
  <si>
    <t>± %</t>
  </si>
  <si>
    <t>Предыдущий год</t>
  </si>
  <si>
    <t>Отчетный год</t>
  </si>
  <si>
    <t>Темп роста</t>
  </si>
  <si>
    <r>
      <rPr>
        <sz val="12"/>
        <color theme="1"/>
        <rFont val="Times New Roman"/>
        <family val="1"/>
      </rPr>
      <t>1.</t>
    </r>
    <r>
      <rPr>
        <b/>
        <sz val="12"/>
        <color theme="1"/>
        <rFont val="Times New Roman"/>
        <family val="1"/>
      </rPr>
      <t xml:space="preserve"> </t>
    </r>
    <r>
      <rPr>
        <sz val="12"/>
        <color theme="1"/>
        <rFont val="Times New Roman"/>
        <family val="1"/>
      </rPr>
      <t>Чистые активы</t>
    </r>
  </si>
  <si>
    <t>2. Уставный капитал</t>
  </si>
  <si>
    <t>3. Превышение чистых активов над уставным капиталом (стр.1-стр.2)</t>
  </si>
  <si>
    <t>БАЛАНС</t>
  </si>
  <si>
    <r>
      <rPr>
        <b/>
        <sz val="11"/>
        <color theme="1"/>
        <rFont val="Calibri"/>
        <family val="2"/>
      </rPr>
      <t>1. Динамика чистых активов</t>
    </r>
    <r>
      <rPr>
        <sz val="11"/>
        <color theme="1"/>
        <rFont val="Calibri"/>
        <family val="2"/>
      </rPr>
      <t xml:space="preserve">
 • Чистые активы сократились с 412 087 976 тыс. руб. до 387 303 519 тыс. руб., что составляет снижение на 24 784 457 тыс. руб. или на 6,01%.
 • Их доля в валюте баланса также уменьшилась — с 62,33% до 54,37%, что указывает на ухудшение структуры источников финансирования, а именно на снижение доли собственных средств.
</t>
    </r>
    <r>
      <rPr>
        <b/>
        <sz val="11"/>
        <color theme="1"/>
        <rFont val="Calibri"/>
        <family val="2"/>
      </rPr>
      <t>2. Сравнение с уставным капиталом</t>
    </r>
    <r>
      <rPr>
        <sz val="11"/>
        <color theme="1"/>
        <rFont val="Calibri"/>
        <family val="2"/>
      </rPr>
      <t xml:space="preserve">
 • Уставный капитал остался без изменений — 3 682 483 тыс. руб., что составляет менее 1% от баланса.
 • Несмотря на снижение чистых активов, их значение значительно превышает уставный капитал: в 2024 году превышение составляет 383 621 036 тыс. руб., что свидетельствует о сохранении устойчивого финансового положения с точки зрения требований законодательства.
</t>
    </r>
    <r>
      <rPr>
        <b/>
        <sz val="11"/>
        <color theme="1"/>
        <rFont val="Calibri"/>
        <family val="2"/>
      </rPr>
      <t>3. Выводы по тенденциям</t>
    </r>
    <r>
      <rPr>
        <sz val="11"/>
        <color theme="1"/>
        <rFont val="Calibri"/>
        <family val="2"/>
      </rPr>
      <t xml:space="preserve">
 • Снижение чистых активов на фоне роста валюты баланса (на 7,74%) говорит о росте заёмного финансирования и сокращении накопленной прибыли.
 • Это может быть связано с убытками, дивидендными выплатами, либо ростом обязательств, особенно долгосрочных, что и подтверждается анализом баланса.
 • Снижение удельного веса чистых активов в структуре пассивов означает снижение финансовой независимости и повышение финансовых рисков.
</t>
    </r>
    <r>
      <rPr>
        <b/>
        <sz val="11"/>
        <color theme="1"/>
        <rFont val="Calibri"/>
        <family val="2"/>
      </rPr>
      <t>4. Заключение</t>
    </r>
    <r>
      <rPr>
        <sz val="11"/>
        <color theme="1"/>
        <rFont val="Calibri"/>
        <family val="2"/>
      </rPr>
      <t xml:space="preserve">
ПАО «Алроса» демонстрирует негативную тенденцию в динамике чистых активов за отчетный период. Несмотря на то, что величина чистых активов всё ещё существенно превышает уставный капитал, их абсолютное и относительное снижение указывает на ухудшение качества финансовой устойчивости. Компании следует принять меры по восстановлению доли собственных источников в пассивах, например, за счёт увеличения прибыли или оптимизации расходов.</t>
    </r>
  </si>
  <si>
    <r>
      <rPr>
        <b/>
        <sz val="14"/>
        <color theme="1"/>
        <rFont val="Times New Roman"/>
        <family val="1"/>
      </rPr>
      <t>Задание 4.</t>
    </r>
    <r>
      <rPr>
        <sz val="14"/>
        <color theme="1"/>
        <rFont val="Times New Roman"/>
        <family val="1"/>
      </rPr>
      <t xml:space="preserve"> Оценить ликвидность баланса предприятия.
Анализ заключается в сравнении средств по активу, сгруппированных по степени их ликвидности и расположенных в порядке убывания ликвидности, с обязательствами по пассиву, объединенными по срокам их погашения и в порядке возрастания сроков (таблица 4.1).
Баланс считается абсолютно ликвидным, если по первым 3 составляющим баланса имеется превышение активов над пассивами, а по 4-й – наоборот, т.е. излишек обеспечения, собственный капитал больше внеоборотных активов.
                                                                                                                                                                                                                                                         </t>
    </r>
    <r>
      <rPr>
        <b/>
        <sz val="14"/>
        <color theme="1"/>
        <rFont val="Times New Roman"/>
        <family val="1"/>
      </rPr>
      <t>Таблица 4 .1
 Анализ соотношения активов по степени ликвидности и обязательств по сроку погашения</t>
    </r>
    <r>
      <rPr>
        <sz val="14"/>
        <color theme="1"/>
        <rFont val="Times New Roman"/>
        <family val="1"/>
      </rPr>
      <t xml:space="preserve">
</t>
    </r>
  </si>
  <si>
    <t>Активы по степени ликвидности</t>
  </si>
  <si>
    <t>Значение, тыс. руб.</t>
  </si>
  <si>
    <t>Норм. соотно-шение</t>
  </si>
  <si>
    <t>Пассивы по сроку погашения</t>
  </si>
  <si>
    <t>Излишек/недостаток платеж. средств тыс. руб.,</t>
  </si>
  <si>
    <t>На начало отчетного периода</t>
  </si>
  <si>
    <t>На конец отчетного периода</t>
  </si>
  <si>
    <t>8=2-6</t>
  </si>
  <si>
    <t>9=3-7</t>
  </si>
  <si>
    <t>А1. Наиболее ликвидные активы (денежные средства + краткосрочные фин. Вложения) 1240+1250</t>
  </si>
  <si>
    <t>≥</t>
  </si>
  <si>
    <t>П1. Наиболее срочные пассивы (привлеченные средства) (текущ. Кред. Задолж.) 1520</t>
  </si>
  <si>
    <t>А2. Быстрореализуемые активы (дебиторская задолженность и прочие активы) 1230+1260</t>
  </si>
  <si>
    <t>П2. Краткосрочные пассивы (краткосроч. Кредиты и заемные средства) 1510+1550</t>
  </si>
  <si>
    <t>А3. Медленно реализуемые активы (запасы + долгосрочные финансовые вложения + НДС) 1210+1170+1220</t>
  </si>
  <si>
    <t>П3. Долгосрочные пассивы (долгосрочные кредиты и заемные средства) 1400</t>
  </si>
  <si>
    <t>А4. Труднореализуемые активы (внеоборотные активы – долгосрочные фин.вложения) 1100-1170</t>
  </si>
  <si>
    <t>≤</t>
  </si>
  <si>
    <t>П4. Постоянные пассивы (собственный капитал) 1300+1530+1540</t>
  </si>
  <si>
    <r>
      <rPr>
        <b/>
        <sz val="14"/>
        <color theme="1"/>
        <rFont val="Times New Roman"/>
        <family val="1"/>
      </rPr>
      <t>1. Наиболее ликвидные активы (А1),</t>
    </r>
    <r>
      <rPr>
        <sz val="14"/>
        <color theme="1"/>
        <rFont val="Times New Roman"/>
        <family val="1"/>
      </rPr>
      <t xml:space="preserve"> включающие денежные средства и краткосрочные финансовые вложения, составили на начало отчетного периода 106 028 191 тыс. руб., а на конец — 103 769 757 тыс. руб. Эти активы значительно превышают наиболее срочные обязательства (П1), которые выросли с 23 145 070 тыс. руб. до 29 443 018 тыс. руб. Излишек составляет 82 883 121 тыс. руб. на начало и 74 326 739 тыс. руб. на конец периода. Наиболее ликвидные активы на протяжении отчетного периода значительно превышают наиболее срочные обязательства (кредиторскую задолженность). Это означает, что компания сохраняет высокий уровень мгновенной ликвидности и способна оперативно погашать срочные долги.
</t>
    </r>
    <r>
      <rPr>
        <b/>
        <sz val="14"/>
        <color theme="1"/>
        <rFont val="Times New Roman"/>
        <family val="1"/>
      </rPr>
      <t>2. Быстрореализуемые активы (А2),</t>
    </r>
    <r>
      <rPr>
        <sz val="14"/>
        <color theme="1"/>
        <rFont val="Times New Roman"/>
        <family val="1"/>
      </rPr>
      <t xml:space="preserve"> включающие дебиторскую задолженность и прочие активы, на начало периода составили 15 720 641 тыс. руб., а на конец — 14 109 824 тыс. руб. При этом краткосрочные обязательства (П2), то есть кредиты и займы, были существенно выше: 75 752 126 тыс. руб. на начало и 58 978 302 тыс. руб. на конец периода. Недостаток ликвидности по этой группе составил -60 031 485 тыс. руб. и -44 868 478 тыс. руб. соответственно. Быстрореализуемые активы существенно ниже краткосрочных обязательств (включая краткосрочные кредиты и займы) как в начале, так и в конце периода. Это свидетельствует о недостаточной способности компании покрыть текущие обязательства за счёт поступлений от покупателей и других оборотных активов. В данном аспекте наблюдается недостаток ликвидности.
</t>
    </r>
    <r>
      <rPr>
        <b/>
        <sz val="14"/>
        <color theme="1"/>
        <rFont val="Times New Roman"/>
        <family val="1"/>
      </rPr>
      <t xml:space="preserve">3. Медленно реализуемые активы (А3), </t>
    </r>
    <r>
      <rPr>
        <sz val="14"/>
        <color theme="1"/>
        <rFont val="Times New Roman"/>
        <family val="1"/>
      </rPr>
      <t xml:space="preserve">включающие запасы, долгосрочные финансовые вложения и НДС, увеличились с 227 732 060 тыс. руб. до 267 195 181 тыс. руб., при этом долгосрочные обязательства (П3) тоже выросли — с 136 345 608 тыс. руб. до 223 478 966 тыс. руб. Излишек в данной группе составил 91 386 452 тыс. руб. на начало и 43 716 215 тыс. руб. на конец периода. Медленно реализуемые активы превышают долгосрочные обязательства в обе даты. Это положительный фактор, указывающий на то, что долгосрочные источники финансирования покрываются активами, которые будут использоваться или реализованы в более длительной перспективе.
</t>
    </r>
    <r>
      <rPr>
        <b/>
        <sz val="14"/>
        <color theme="1"/>
        <rFont val="Times New Roman"/>
        <family val="1"/>
      </rPr>
      <t>4. Труднореализуемые активы (А4),</t>
    </r>
    <r>
      <rPr>
        <sz val="14"/>
        <color theme="1"/>
        <rFont val="Times New Roman"/>
        <family val="1"/>
      </rPr>
      <t xml:space="preserve"> рассчитанные как внеоборотные активы за вычетом долгосрочных финансовых вложений, составили 311 633 393 тыс. руб. на начало и 327 217 167 тыс. руб. на конец периода. Они полностью покрываются постоянными пассивами (П4), которые равны 425 871 481 тыс. руб. и 400 391 643 тыс. руб. соответственно. Излишек — 114 238 088 тыс. руб. и 73 174 476 тыс. руб. Труднореализуемые активы полностью покрываются собственным капиталом. Это значит, что компания не зависит от заемных средств при финансировании долгосрочной части активов, что говорит о высокой финансовой устойчивости.
</t>
    </r>
    <r>
      <rPr>
        <b/>
        <sz val="14"/>
        <color theme="1"/>
        <rFont val="Times New Roman"/>
        <family val="1"/>
      </rPr>
      <t>5. Общий вывод:</t>
    </r>
    <r>
      <rPr>
        <sz val="14"/>
        <color theme="1"/>
        <rFont val="Times New Roman"/>
        <family val="1"/>
      </rPr>
      <t xml:space="preserve">
Баланс ПАО «Алроса» не является абсолютно ликвидным из-за недостаточности быстрореализуемых активов для покрытия краткосрочных обязательств (А2 &lt; П2). Однако по остальным группам активов наблюдается значительный излишек, особенно в наиболее ликвидных и труднореализуемых активах. Это указывает на удовлетворительную ликвидность и высокую финансовую устойчивость предприятия, несмотря на необходимость укрепления краткосрочной платёжеспособности.</t>
    </r>
  </si>
  <si>
    <r>
      <rPr>
        <b/>
        <sz val="12"/>
        <color theme="1"/>
        <rFont val="Times New Roman"/>
        <family val="1"/>
      </rPr>
      <t>Задание 5.</t>
    </r>
    <r>
      <rPr>
        <sz val="12"/>
        <color theme="1"/>
        <rFont val="Times New Roman"/>
        <family val="1"/>
      </rPr>
      <t xml:space="preserve"> Установить уровень платежеспособности организации. Для этого рассчитать основные показатели ликвидности и динамику их изменений (таблица 5.1). Показатели ликвидности характеризуют способность организации удовлетворять претензии держателей краткосрочных долговых обязательств.
                                                                                                                                                                </t>
    </r>
    <r>
      <rPr>
        <b/>
        <sz val="12"/>
        <color theme="1"/>
        <rFont val="Times New Roman"/>
        <family val="1"/>
      </rPr>
      <t>Таблица 5.1
 Анализ платежеспособности организации по коэффициентам ликвидности</t>
    </r>
  </si>
  <si>
    <t>На начало отчетного года</t>
  </si>
  <si>
    <t>На конец отчетного года</t>
  </si>
  <si>
    <t>Абсолютное изменение за отчетный год</t>
  </si>
  <si>
    <t>1. Денежные средства, тыс. руб. 1250</t>
  </si>
  <si>
    <t>2. Краткосрочные финансовые вложения, тыс. руб. 1240</t>
  </si>
  <si>
    <t>3. Дебиторская задолженность, тыс. руб. 1230</t>
  </si>
  <si>
    <t>4. Запасы, тыс. руб. 1210</t>
  </si>
  <si>
    <t>5. Оборотные активы, тыс. руб. 1200</t>
  </si>
  <si>
    <t>6. Краткосрочные обязательства, тыс. руб. 1500</t>
  </si>
  <si>
    <t>7. Коэффициент абсолютной ликвидности (стр.1 + стр.2)/стр.6</t>
  </si>
  <si>
    <t>8. Коэффициент срочной (критической) ликвидности (стр.1 + стр.2 + стр.3)/стр.6</t>
  </si>
  <si>
    <t>9. Коэффициент текущей ликвидности (стр. 5/стр. 6)</t>
  </si>
  <si>
    <r>
      <rPr>
        <b/>
        <sz val="11"/>
        <color theme="1"/>
        <rFont val="Calibri"/>
        <family val="2"/>
      </rPr>
      <t>1. Коэффициент абсолютной ликвидности</t>
    </r>
    <r>
      <rPr>
        <sz val="11"/>
        <color theme="1"/>
        <rFont val="Calibri"/>
        <family val="2"/>
      </rPr>
      <t xml:space="preserve"> на начало отчетного года составил 0,9409, а на конец — 1,0222, что значительно превышает рекомендуемый норматив (0,2–0,25). Это говорит о высокой способности ПАО «Алроса» немедленно покрыть краткосрочные обязательства исключительно за счет денежных средств и краткосрочных финансовых вложений. Несмотря на снижение объема финансовых вложений на 47 615 348 тыс. руб., рост денежных средств на 45 356 914 тыс. руб. обеспечил рост показателя на 0,0813 пункта.
</t>
    </r>
    <r>
      <rPr>
        <b/>
        <sz val="11"/>
        <color theme="1"/>
        <rFont val="Calibri"/>
        <family val="2"/>
      </rPr>
      <t>2. Коэффициент срочной (критической) ликвидности</t>
    </r>
    <r>
      <rPr>
        <sz val="11"/>
        <color theme="1"/>
        <rFont val="Calibri"/>
        <family val="2"/>
      </rPr>
      <t xml:space="preserve"> вырос с 1,0763 до 1,1528, что также выше рекомендуемого диапазона (0,7–0,8). Это говорит о том, что организация может покрыть краткосрочные обязательства не только за счет абсолютно ликвидных активов, но и с учетом поступлений от дебиторской задолженности. Повышение на 0,0765 пункта свидетельствует об улучшении финансовой устойчивости в краткосрочном периоде.
</t>
    </r>
    <r>
      <rPr>
        <b/>
        <sz val="11"/>
        <color theme="1"/>
        <rFont val="Calibri"/>
        <family val="2"/>
      </rPr>
      <t>3. Коэффициент текущей ликвидности</t>
    </r>
    <r>
      <rPr>
        <sz val="11"/>
        <color theme="1"/>
        <rFont val="Calibri"/>
        <family val="2"/>
      </rPr>
      <t xml:space="preserve"> увеличился с 2,3150 до 2,9350, что превышает верхнюю границу рекомендованного диапазона (1,5–2,5). Это указывает на наличие значительного объема оборотных активов (297 946 183 тыс. руб. на конец года) по сравнению с краткосрочными обязательствами (101 513 191 тыс. руб.). Рост на 0,6201 пункта демонстрирует усиление общей платежеспособности предприятия.
</t>
    </r>
    <r>
      <rPr>
        <b/>
        <sz val="11"/>
        <color theme="1"/>
        <rFont val="Calibri"/>
        <family val="2"/>
      </rPr>
      <t>4. Общий вывод:</t>
    </r>
    <r>
      <rPr>
        <sz val="11"/>
        <color theme="1"/>
        <rFont val="Calibri"/>
        <family val="2"/>
      </rPr>
      <t xml:space="preserve">
ПАО «Алроса» в течение отчетного года поддерживает высокий уровень ликвидности, превышающий нормативные значения по всем трем коэффициентам. Это свидетельствует о хорошей платежеспособности, способности своевременно и полностью выполнять свои краткосрочные обязательства, а также об эффективной структуре оборотных активов.</t>
    </r>
  </si>
  <si>
    <t>1. Источники собственных средств (E)</t>
  </si>
  <si>
    <t>2. Внеоборотные активы (FA)</t>
  </si>
  <si>
    <r>
      <rPr>
        <sz val="12"/>
        <color theme="1"/>
        <rFont val="Times New Roman"/>
        <family val="1"/>
      </rPr>
      <t>3. Собственные оборотные средства (E</t>
    </r>
    <r>
      <rPr>
        <vertAlign val="superscript"/>
        <sz val="12"/>
        <color theme="1"/>
        <rFont val="Times New Roman"/>
        <family val="1"/>
      </rPr>
      <t>C</t>
    </r>
    <r>
      <rPr>
        <sz val="12"/>
        <color theme="1"/>
        <rFont val="Times New Roman"/>
        <family val="1"/>
      </rPr>
      <t>)</t>
    </r>
  </si>
  <si>
    <t>4. Долгосрочные кредиты и заемные средства (DL)</t>
  </si>
  <si>
    <r>
      <rPr>
        <sz val="12"/>
        <color theme="1"/>
        <rFont val="Times New Roman"/>
        <family val="1"/>
      </rPr>
      <t>5. Наличие собственных оборотных средств и долгосрочных заемных источников для формирования запасов и затрат (E</t>
    </r>
    <r>
      <rPr>
        <vertAlign val="superscript"/>
        <sz val="12"/>
        <color theme="1"/>
        <rFont val="Times New Roman"/>
        <family val="1"/>
      </rPr>
      <t>D</t>
    </r>
    <r>
      <rPr>
        <sz val="12"/>
        <color theme="1"/>
        <rFont val="Times New Roman"/>
        <family val="1"/>
      </rPr>
      <t xml:space="preserve"> = E</t>
    </r>
    <r>
      <rPr>
        <vertAlign val="superscript"/>
        <sz val="12"/>
        <color theme="1"/>
        <rFont val="Times New Roman"/>
        <family val="1"/>
      </rPr>
      <t>C</t>
    </r>
    <r>
      <rPr>
        <sz val="12"/>
        <color theme="1"/>
        <rFont val="Times New Roman"/>
        <family val="1"/>
      </rPr>
      <t xml:space="preserve"> + DL)</t>
    </r>
  </si>
  <si>
    <t>6. Краткосрочные кредиты и займы (CS)</t>
  </si>
  <si>
    <r>
      <rPr>
        <sz val="12"/>
        <color theme="1"/>
        <rFont val="Times New Roman"/>
        <family val="1"/>
      </rPr>
      <t>7. Общая величина основных источников формирования запасов и затрат (E</t>
    </r>
    <r>
      <rPr>
        <vertAlign val="superscript"/>
        <sz val="12"/>
        <color theme="1"/>
        <rFont val="Times New Roman"/>
        <family val="1"/>
      </rPr>
      <t>∑</t>
    </r>
    <r>
      <rPr>
        <sz val="12"/>
        <color theme="1"/>
        <rFont val="Times New Roman"/>
        <family val="1"/>
      </rPr>
      <t xml:space="preserve"> = E</t>
    </r>
    <r>
      <rPr>
        <vertAlign val="superscript"/>
        <sz val="12"/>
        <color theme="1"/>
        <rFont val="Times New Roman"/>
        <family val="1"/>
      </rPr>
      <t>D</t>
    </r>
    <r>
      <rPr>
        <sz val="12"/>
        <color theme="1"/>
        <rFont val="Times New Roman"/>
        <family val="1"/>
      </rPr>
      <t xml:space="preserve"> + CS)</t>
    </r>
  </si>
  <si>
    <t>8. Величина запасов и затрат (ZA)</t>
  </si>
  <si>
    <r>
      <rPr>
        <sz val="12"/>
        <color theme="1"/>
        <rFont val="Times New Roman"/>
        <family val="1"/>
      </rPr>
      <t>9. Излишек (недостаток) собственных оборотных средств  для формирования запасов и затрат (ΔE</t>
    </r>
    <r>
      <rPr>
        <vertAlign val="superscript"/>
        <sz val="12"/>
        <color theme="1"/>
        <rFont val="Times New Roman"/>
        <family val="1"/>
      </rPr>
      <t xml:space="preserve">C  </t>
    </r>
    <r>
      <rPr>
        <sz val="12"/>
        <color theme="1"/>
        <rFont val="Times New Roman"/>
        <family val="1"/>
      </rPr>
      <t>= E</t>
    </r>
    <r>
      <rPr>
        <vertAlign val="superscript"/>
        <sz val="12"/>
        <color theme="1"/>
        <rFont val="Times New Roman"/>
        <family val="1"/>
      </rPr>
      <t>C</t>
    </r>
    <r>
      <rPr>
        <sz val="12"/>
        <color theme="1"/>
        <rFont val="Times New Roman"/>
        <family val="1"/>
      </rPr>
      <t xml:space="preserve"> – ZA)</t>
    </r>
  </si>
  <si>
    <r>
      <rPr>
        <sz val="12"/>
        <color theme="1"/>
        <rFont val="Times New Roman"/>
        <family val="1"/>
      </rPr>
      <t>10. Излишек (недостаток) собственных оборотных средств  и долгосрочных заемных средств для формирования запасов и затрат (ΔE</t>
    </r>
    <r>
      <rPr>
        <vertAlign val="superscript"/>
        <sz val="12"/>
        <color theme="1"/>
        <rFont val="Times New Roman"/>
        <family val="1"/>
      </rPr>
      <t xml:space="preserve">D  </t>
    </r>
    <r>
      <rPr>
        <sz val="12"/>
        <color theme="1"/>
        <rFont val="Times New Roman"/>
        <family val="1"/>
      </rPr>
      <t>= E</t>
    </r>
    <r>
      <rPr>
        <vertAlign val="superscript"/>
        <sz val="12"/>
        <color theme="1"/>
        <rFont val="Times New Roman"/>
        <family val="1"/>
      </rPr>
      <t>D</t>
    </r>
    <r>
      <rPr>
        <sz val="12"/>
        <color theme="1"/>
        <rFont val="Times New Roman"/>
        <family val="1"/>
      </rPr>
      <t xml:space="preserve"> – ZA)</t>
    </r>
  </si>
  <si>
    <r>
      <rPr>
        <sz val="12"/>
        <color theme="1"/>
        <rFont val="Times New Roman"/>
        <family val="1"/>
      </rPr>
      <t>11. Излишек (недостаток) общей величины основных источников формирования запасов и затрат (ΔE</t>
    </r>
    <r>
      <rPr>
        <vertAlign val="superscript"/>
        <sz val="12"/>
        <color theme="1"/>
        <rFont val="Times New Roman"/>
        <family val="1"/>
      </rPr>
      <t xml:space="preserve">∑  </t>
    </r>
    <r>
      <rPr>
        <sz val="12"/>
        <color theme="1"/>
        <rFont val="Times New Roman"/>
        <family val="1"/>
      </rPr>
      <t>= E</t>
    </r>
    <r>
      <rPr>
        <vertAlign val="superscript"/>
        <sz val="12"/>
        <color theme="1"/>
        <rFont val="Times New Roman"/>
        <family val="1"/>
      </rPr>
      <t>∑</t>
    </r>
    <r>
      <rPr>
        <sz val="12"/>
        <color theme="1"/>
        <rFont val="Times New Roman"/>
        <family val="1"/>
      </rPr>
      <t xml:space="preserve"> – ZA)</t>
    </r>
  </si>
  <si>
    <t>12. Трехкомпонентный показатель типа финансовой устойчивости (S), (строка 9,10,11)</t>
  </si>
  <si>
    <t>(0,1,1)</t>
  </si>
  <si>
    <t>Финансовая устойчивость ПАО «Алроса» была проанализирована с применением абсолютных показателей обеспеченности запасов и затрат источниками их формирования, а также с учётом ключевых элементов, характеризующих структуру источников капитала и их использование. На основании полученных данных финансовое состояние компании в течение анализируемого периода соответствует нормальному типу устойчивости (трёхкомпонентный показатель S = (0, 1, 1)), что указывает на достаточность совокупных собственных и долгосрочных заёмных средств при дефиците собственных оборотных ресурсов.
Рассмотрим подробнее динамику и содержание всех ключевых показателей из таблицы. На начало отчётного года объём собственных источников (показатель E) составлял 412,1 млрд руб., а к концу года снизился до 387,3 млрд руб., то есть уменьшился на 24,8 млрд руб. Это говорит о сокращении внутренней капитализации компании, в первую очередь за счёт снижения нераспределённой прибыли. При этом внеоборотные активы (FA) увеличились с 400,2 до 414,3 млрд руб., что отражает рост долгосрочных вложений, возможно, связанных с реализацией инвестиционных программ. В результате этого собственные оборотные средства (EC), определяемые как разность между собственным капиталом и внеоборотными активами, приняли отрицательное значение (–27,0 млрд руб. на конец года), что свидетельствует о полной нехватке внутренних ресурсов для финансирования текущей операционной деятельности.
С целью покрытия дефицита оборотного капитала привлекались долгосрочные заёмные средства (DL), объём которых увеличился на 87,1 млрд руб., достигнув 223,5 млрд руб. Такая динамика указывает на наращивание долговой нагрузки, преимущественно за счёт долгосрочного финансирования, что может быть признаком реализации крупных инвестиционных проектов или реструктуризации обязательств. В совокупности с EC, эти ресурсы формируют показатель ED (источники для покрытия запасов и затрат), который вырос с 148,2 до 196,4 млрд руб. — положительное значение ED и его рост указывают на наличие стабильной базы для покрытия оборотных нужд, несмотря на дефицит EC.
Краткосрочные заёмные средства (CS) снизились с 112,7 до 101,5 млрд руб., что может свидетельствовать о снижении потребности в краткосрочном финансировании, либо об оптимизации заёмной политики. В совокупности ED и CS дают показатель E∑, отражающий общую величину всех источников, направленных на формирование запасов и затрат. Этот показатель увеличился с 260,9 до 297,9 млрд руб., что превышает соответствующий рост запасов (ZA), выросших с 139,0 до 179,9 млрд руб. Следовательно, обеспеченность запасов всеми доступными источниками сохраняется на положительном уровне, и наблюдается даже некоторый излишек в размере 118,1 млрд руб. по состоянию на конец отчётного года.
Показатель ΔEC (разница между собственными оборотными средствами и запасами) является отрицательным и значительно ухудшился: с –127,2 до –206,9 млрд руб. Это подчёркивает сохраняющийся и нарастающий дефицит внутреннего финансирования текущих активов. Однако ΔED, отражающий покрытие запасов за счёт собственных и долгосрочных заёмных источников, остался положительным и увеличился с 9,2 до 16,5 млрд руб., что указывает на умеренное укрепление устойчивости. Показатель ΔE∑, показывающий излишек всех источников над запасами, снизился с 121,9 до 118,1 млрд руб., что можно расценивать как снижение общего резерва прочности, но при сохранении положительного значения.
Таким образом, в совокупности данные показатели подтверждают, что ПАО «Алроса» сохраняет нормальную финансовую устойчивость, эффективно используя долгосрочное заёмное финансирование для покрытия оборотных потребностей, но испытывает серьёзный дефицит собственных оборотных ресурсов, что в долгосрочной перспективе требует принятия мер по восстановлению внутренней платёжеспособности. Финансовое положение характеризуется устойчивостью, не переходящей в кризисную фазу, однако требует контроля за долговой нагрузкой и улучшения финансовой автономии через рост собственного капитала или сокращение затрат.</t>
  </si>
  <si>
    <r>
      <rPr>
        <b/>
        <sz val="12"/>
        <color theme="1"/>
        <rFont val="Times New Roman"/>
        <family val="1"/>
      </rPr>
      <t>Задание 8.</t>
    </r>
    <r>
      <rPr>
        <sz val="12"/>
        <color theme="1"/>
        <rFont val="Times New Roman"/>
        <family val="1"/>
      </rPr>
      <t xml:space="preserve"> Дать оценку финансовой устойчивости организации с помощью финансовых коэффициентов или показателей структуры капитала, охарактеризовать независимость от заемных источников (таблица 8.1). 
</t>
    </r>
    <r>
      <rPr>
        <b/>
        <sz val="12"/>
        <color theme="1"/>
        <rFont val="Times New Roman"/>
        <family val="1"/>
      </rPr>
      <t>Таблица 8.1
Основные показатели финансовой устойчивости организации</t>
    </r>
  </si>
  <si>
    <t>Изменение показателя</t>
  </si>
  <si>
    <t>Описание показателя и его нормативное значение</t>
  </si>
  <si>
    <t>1. Коэффициент автономии</t>
  </si>
  <si>
    <t>Отношение собственного капитала к общей сумме капитала. Нормальное значение для данной отрасли: 0,5 и более (оптимальное 0,6-0,75).</t>
  </si>
  <si>
    <t>2. Коэффициент финансового левериджа</t>
  </si>
  <si>
    <t>Отношение заемного капитала к собственному. Нормальное значение для данной отрасли: 1 и менее (оптимальное 0,33-0,67).</t>
  </si>
  <si>
    <t>3. Коэффициент обеспеченности собственными оборотными средствами</t>
  </si>
  <si>
    <t>Отношение собственных оборотных средств к оборотным активам. Нормальное значение: не менее 0,1.</t>
  </si>
  <si>
    <t>4. Индекс постоянного актива</t>
  </si>
  <si>
    <t>Отношение стоимости внеоборотных активов к величине собственного капитала организации.</t>
  </si>
  <si>
    <t>5. Коэффициент покрытия инвестиций</t>
  </si>
  <si>
    <t>Отношение собственного капитала и долгосрочных обязательств к общей сумме капитала. Нормальное значение: не менее 0,75.</t>
  </si>
  <si>
    <t>6. Коэффициент маневренности собственного капитала</t>
  </si>
  <si>
    <t>Отношение собственных оборотных средств к источникам собственных средств. Нормальное значение: не менее 0,1.</t>
  </si>
  <si>
    <t>7. Коэффициент мобильности имущества</t>
  </si>
  <si>
    <t>Отношение оборотных средств к стоимости всего имущества. Характеризует отраслевую специфику организации.</t>
  </si>
  <si>
    <t>8. Коэффициент мобильности оборотных средств</t>
  </si>
  <si>
    <t>Отношение наиболее мобильной части оборотных средств (денежных средств и финансовых вложений) к общей стоимости оборотных активов.</t>
  </si>
  <si>
    <t>9. Коэффициент обеспеченности запасов</t>
  </si>
  <si>
    <t>Отношение собственных оборотных средств к стоимости запасов. Нормальное значение: не менее 0,5.</t>
  </si>
  <si>
    <t>10. Коэффициент краткосрочной задолженности</t>
  </si>
  <si>
    <t>Отношение краткосрочной задолженности к общей сумме задолженности.</t>
  </si>
  <si>
    <t>Оценка финансовой устойчивости ПАО «Алроса» с использованием системы финансовых коэффициентов позволяет более глубоко проанализировать как долгосрочные, так и краткосрочные аспекты устойчивости, а также определить степень зависимости организации от заемных источников. Рассмотренные показатели охватывают ключевые параметры структуры капитала, финансовой независимости и качества управления активами.
Долгосрочная финансовая устойчивость организации анализируется с помощью коэффициентов автономии, финансового левериджа и покрытия инвестиций. Коэффициент автономии снизился с 0,6233 до 0,5437, что, несмотря на отрицательную динамику, остаётся в пределах допустимых значений для отрасли (от 0,5 до 0,75). Это свидетельствует о сохраняющейся относительной финансовой независимости компании, однако наблюдается ухудшение структуры капитала за счёт снижения доли собственного капитала. Одновременно коэффициент финансового левериджа увеличился с 0,6043 до 0,8391, что отражает рост удельного веса заёмного капитала по отношению к собственному и указывает на повышение долговой нагрузки. Несмотря на это, значение остаётся ниже предельно допустимого (1), что подтверждает пока еще умеренный уровень финансового риска. Коэффициент покрытия инвестиций также улучшился — с 0,8295 до 0,8575, сохраняясь выше нормативного уровня (0,75), что говорит о достаточном объеме устойчивых источников для финансирования долгосрочных вложений.
Краткосрочная финансовая устойчивость оценивается через коэффициенты обеспеченности собственными оборотными средствами, маневренности собственного капитала и обеспеченности запасов. Все три показателя демонстрируют отрицательную динамику. Коэффициент обеспеченности собственными оборотными средствами снизился до отрицательного значения –0,0908 при нормативе не менее 0,1, что свидетельствует об остром дефиците внутренних источников для покрытия текущих активов. Коэффициент маневренности собственного капитала также стал отрицательным (–0,0698), что указывает на отсутствие возможности свободного перераспределения собственного капитала для нужд текущей деятельности, снижая гибкость финансового управления. Особенно тревожна динамика коэффициента обеспеченности запасов, значение которого снизилось с 0,0852 до –0,1503 при нормативе не менее 0,5. Это означает, что компания полностью утратила способность финансировать запасы за счёт собственных оборотных средств, что усиливает зависимость от внешнего краткосрочного финансирования.
Остальные коэффициенты, характеризующие мобильность активов и структуру задолженности, демонстрируют разноправленную динамику. Индекс постоянного актива, отражающий превышение внеоборотных активов над собственным капиталом, вырос с 0,9713 до 1,0698, что указывает на неполное покрытие долгосрочных вложений собственными средствами. Это подтверждает необходимость использования долговых источников для финансирования внеоборотных активов, что с точки зрения финансовой устойчивости является негативной тенденцией. Коэффициент мобильности имущества увеличился с 0,3946 до 0,4183, что говорит о некотором повышении доли оборотных активов в структуре имущества и может интерпретироваться как положительный признак в условиях производственной специфики. В то же время коэффициент мобильности оборотных средств снизился с 0,4064 до 0,3483, отражая сокращение доли наиболее ликвидных активов, что снижает платёжеспособность и оперативную устойчивость. Коэффициент краткосрочной задолженности практически не изменился (небольшое снижение с 0,0929 до 0,0906), что свидетельствует о стабильной структуре обязательств компании, при этом доля краткосрочных обязательств в общем объёме долга остаётся относительно низкой.</t>
  </si>
  <si>
    <t>№ п/п</t>
  </si>
  <si>
    <t>Формула расчета</t>
  </si>
  <si>
    <t>Характеристика показателя</t>
  </si>
  <si>
    <t>Коэффициент оборачиваемости активов, раз</t>
  </si>
  <si>
    <r>
      <t>К</t>
    </r>
    <r>
      <rPr>
        <vertAlign val="subscript"/>
        <sz val="12"/>
        <color theme="1"/>
        <rFont val="Times New Roman"/>
        <family val="1"/>
        <charset val="204"/>
      </rPr>
      <t>ОА</t>
    </r>
    <r>
      <rPr>
        <sz val="12"/>
        <color theme="1"/>
        <rFont val="Times New Roman"/>
        <family val="1"/>
        <charset val="204"/>
      </rPr>
      <t xml:space="preserve">= Выручка/Суммарный актив </t>
    </r>
  </si>
  <si>
    <t>Характеризует эффективность использования организацией всех имеющихся в ее распоряжении ресурсов, независимо от источников их привлечения. Данный коэффициент показывает сколько раз за год совершается полный цикл производства и обращения, приносящий соответствующий эффект в виде прибыли.</t>
  </si>
  <si>
    <t>Скорость оборачиваемости активов, дней</t>
  </si>
  <si>
    <r>
      <t>Д(К</t>
    </r>
    <r>
      <rPr>
        <vertAlign val="subscript"/>
        <sz val="11"/>
        <color theme="1"/>
        <rFont val="Calibri"/>
        <family val="2"/>
        <charset val="204"/>
        <scheme val="minor"/>
      </rPr>
      <t>ОА</t>
    </r>
    <r>
      <rPr>
        <sz val="11"/>
        <color theme="1"/>
        <rFont val="Calibri"/>
        <family val="2"/>
        <scheme val="minor"/>
      </rPr>
      <t>)</t>
    </r>
    <r>
      <rPr>
        <sz val="12"/>
        <color theme="1"/>
        <rFont val="Times New Roman"/>
        <family val="1"/>
      </rPr>
      <t>= 365/К</t>
    </r>
    <r>
      <rPr>
        <vertAlign val="subscript"/>
        <sz val="12"/>
        <color theme="1"/>
        <rFont val="Times New Roman"/>
        <family val="1"/>
        <charset val="204"/>
      </rPr>
      <t>ОА</t>
    </r>
  </si>
  <si>
    <t>Коэффициент оборачиваемости основных средств (фондоотдача), раз</t>
  </si>
  <si>
    <t>Фо = Выручка/Долгосрочные активы</t>
  </si>
  <si>
    <t>Этот коэффициент характеризует эффективность использования организацией имеющихся в распоряжении основных средств. Чем выше значение коэффициента, тем более эффективно организация использует основные средства. Низкий уровень фондоотдачи свидетельствует о недостаточном объеме продаж или о слишком высоком уровне капитальных вложений.</t>
  </si>
  <si>
    <t>Скорость оборачиваемости основных средств (фондоотдача), дней</t>
  </si>
  <si>
    <t>Д(Фо)= 365/Фо</t>
  </si>
  <si>
    <t xml:space="preserve"> Коэффициент оборачиваемости запасов, раз</t>
  </si>
  <si>
    <r>
      <t>К</t>
    </r>
    <r>
      <rPr>
        <vertAlign val="subscript"/>
        <sz val="12"/>
        <color theme="1"/>
        <rFont val="Times New Roman"/>
        <family val="1"/>
      </rPr>
      <t>ОЗ</t>
    </r>
    <r>
      <rPr>
        <sz val="12"/>
        <color theme="1"/>
        <rFont val="Times New Roman"/>
        <family val="1"/>
      </rPr>
      <t>=Себестоимость реализованной продукции/Запасы</t>
    </r>
  </si>
  <si>
    <t>Отражает скорость реализации запасов. Для расчета коэффициента в днях необходимо 365 дн. Разделить на значение коэффициента. В целом, чем выше показатель оборачиваемости запасов, тем меньше средств связано в этой наименее ликвидной группе активов. Особенно актуально повышение оборачиваемости и снижение запасов при наличии значительной задолженности в пассивах компании</t>
  </si>
  <si>
    <t xml:space="preserve"> Скорость оборачиваемости запасов, дней</t>
  </si>
  <si>
    <r>
      <t>Д(К</t>
    </r>
    <r>
      <rPr>
        <vertAlign val="subscript"/>
        <sz val="12"/>
        <color theme="1"/>
        <rFont val="Times New Roman"/>
        <family val="1"/>
        <charset val="204"/>
      </rPr>
      <t>ОЗ</t>
    </r>
    <r>
      <rPr>
        <sz val="12"/>
        <color theme="1"/>
        <rFont val="Times New Roman"/>
        <family val="1"/>
        <charset val="204"/>
      </rPr>
      <t>)= 365/К</t>
    </r>
    <r>
      <rPr>
        <vertAlign val="subscript"/>
        <sz val="12"/>
        <color theme="1"/>
        <rFont val="Times New Roman"/>
        <family val="1"/>
        <charset val="204"/>
      </rPr>
      <t>ОЗ</t>
    </r>
  </si>
  <si>
    <t>Коэффициент оборачиваемости денежных средств, раз</t>
  </si>
  <si>
    <r>
      <t>К</t>
    </r>
    <r>
      <rPr>
        <vertAlign val="subscript"/>
        <sz val="12"/>
        <color theme="1"/>
        <rFont val="Times New Roman"/>
        <family val="1"/>
      </rPr>
      <t>ОДС</t>
    </r>
    <r>
      <rPr>
        <sz val="12"/>
        <color theme="1"/>
        <rFont val="Times New Roman"/>
        <family val="1"/>
      </rPr>
      <t>=Выручка/Денежные средства</t>
    </r>
  </si>
  <si>
    <t>Скорость оборачиваемости денежных средств, дней</t>
  </si>
  <si>
    <r>
      <t>Д(К</t>
    </r>
    <r>
      <rPr>
        <vertAlign val="subscript"/>
        <sz val="12"/>
        <color theme="1"/>
        <rFont val="Times New Roman"/>
        <family val="1"/>
        <charset val="204"/>
      </rPr>
      <t>ОДС</t>
    </r>
    <r>
      <rPr>
        <sz val="12"/>
        <color theme="1"/>
        <rFont val="Times New Roman"/>
        <family val="1"/>
        <charset val="204"/>
      </rPr>
      <t>)= 365/К</t>
    </r>
    <r>
      <rPr>
        <vertAlign val="subscript"/>
        <sz val="12"/>
        <color theme="1"/>
        <rFont val="Times New Roman"/>
        <family val="1"/>
        <charset val="204"/>
      </rPr>
      <t>ОДС</t>
    </r>
  </si>
  <si>
    <t>Коэффициент оборачиваемости финансовых вложений, раз</t>
  </si>
  <si>
    <r>
      <t>К</t>
    </r>
    <r>
      <rPr>
        <vertAlign val="subscript"/>
        <sz val="12"/>
        <color theme="1"/>
        <rFont val="Times New Roman"/>
        <family val="1"/>
      </rPr>
      <t>ОФВ</t>
    </r>
    <r>
      <rPr>
        <sz val="12"/>
        <color theme="1"/>
        <rFont val="Times New Roman"/>
        <family val="1"/>
      </rPr>
      <t>=Выручка/Финансовые вложения</t>
    </r>
  </si>
  <si>
    <t>Скорость оборачиваемости финансовых вложений, дней</t>
  </si>
  <si>
    <r>
      <t>Д(К</t>
    </r>
    <r>
      <rPr>
        <vertAlign val="subscript"/>
        <sz val="12"/>
        <color theme="1"/>
        <rFont val="Times New Roman"/>
        <family val="1"/>
        <charset val="204"/>
      </rPr>
      <t>ОФВ</t>
    </r>
    <r>
      <rPr>
        <sz val="12"/>
        <color theme="1"/>
        <rFont val="Times New Roman"/>
        <family val="1"/>
        <charset val="204"/>
      </rPr>
      <t>)= 365/К</t>
    </r>
    <r>
      <rPr>
        <vertAlign val="subscript"/>
        <sz val="12"/>
        <color theme="1"/>
        <rFont val="Times New Roman"/>
        <family val="1"/>
        <charset val="204"/>
      </rPr>
      <t>ОФВ</t>
    </r>
  </si>
  <si>
    <t>Коэффициент оборачиваемости кредиторской задолженности, раз</t>
  </si>
  <si>
    <r>
      <t>К</t>
    </r>
    <r>
      <rPr>
        <vertAlign val="subscript"/>
        <sz val="12"/>
        <color theme="1"/>
        <rFont val="Times New Roman"/>
        <family val="1"/>
      </rPr>
      <t>ОКЗ</t>
    </r>
    <r>
      <rPr>
        <sz val="12"/>
        <color theme="1"/>
        <rFont val="Times New Roman"/>
        <family val="1"/>
      </rPr>
      <t>=Себестоимость реализованной продукции/Кредиторская задолженность</t>
    </r>
  </si>
  <si>
    <t>Скорость оборачиваемости кредиторской задолженности, дней</t>
  </si>
  <si>
    <r>
      <t>Д(К</t>
    </r>
    <r>
      <rPr>
        <vertAlign val="subscript"/>
        <sz val="12"/>
        <color theme="1"/>
        <rFont val="Times New Roman"/>
        <family val="1"/>
        <charset val="204"/>
      </rPr>
      <t>ОКЗ</t>
    </r>
    <r>
      <rPr>
        <sz val="12"/>
        <color theme="1"/>
        <rFont val="Times New Roman"/>
        <family val="1"/>
        <charset val="204"/>
      </rPr>
      <t>)= 365/К</t>
    </r>
    <r>
      <rPr>
        <vertAlign val="subscript"/>
        <sz val="12"/>
        <color theme="1"/>
        <rFont val="Times New Roman"/>
        <family val="1"/>
        <charset val="204"/>
      </rPr>
      <t>ОКЗ</t>
    </r>
  </si>
  <si>
    <t>Коэффициент оборачиваемости дебиторской задолженности, раз</t>
  </si>
  <si>
    <r>
      <t>К</t>
    </r>
    <r>
      <rPr>
        <vertAlign val="subscript"/>
        <sz val="12"/>
        <color theme="1"/>
        <rFont val="Times New Roman"/>
        <family val="1"/>
      </rPr>
      <t>ОДЗ</t>
    </r>
    <r>
      <rPr>
        <sz val="12"/>
        <color theme="1"/>
        <rFont val="Times New Roman"/>
        <family val="1"/>
      </rPr>
      <t>=Выручка/Дебиторская задолженность</t>
    </r>
  </si>
  <si>
    <t>Скорость оборачиваемости дебиторской задолженности, дней</t>
  </si>
  <si>
    <r>
      <t>Д(К</t>
    </r>
    <r>
      <rPr>
        <vertAlign val="subscript"/>
        <sz val="12"/>
        <color theme="1"/>
        <rFont val="Times New Roman"/>
        <family val="1"/>
        <charset val="204"/>
      </rPr>
      <t>ОДЗ</t>
    </r>
    <r>
      <rPr>
        <sz val="12"/>
        <color theme="1"/>
        <rFont val="Times New Roman"/>
        <family val="1"/>
        <charset val="204"/>
      </rPr>
      <t>)= 365/К</t>
    </r>
    <r>
      <rPr>
        <vertAlign val="subscript"/>
        <sz val="12"/>
        <color theme="1"/>
        <rFont val="Times New Roman"/>
        <family val="1"/>
        <charset val="204"/>
      </rPr>
      <t>ОДЗ</t>
    </r>
  </si>
  <si>
    <t>Таблица 9.1
Анализ коэффициентов деловой активности</t>
  </si>
  <si>
    <r>
      <rPr>
        <b/>
        <sz val="12"/>
        <color theme="1"/>
        <rFont val="Times New Roman"/>
        <family val="1"/>
      </rPr>
      <t>Задание 9.</t>
    </r>
    <r>
      <rPr>
        <sz val="12"/>
        <color theme="1"/>
        <rFont val="Times New Roman"/>
        <family val="1"/>
      </rPr>
      <t xml:space="preserve"> Рассчитать коэффициенты деловой активности и оценить насколько эффективно организация использует свои средства.</t>
    </r>
  </si>
  <si>
    <t>В отчетном периоде по ПАО «Алроса» наблюдается отрицательная динамика по большинству показателей, характеризующих скорость оборачиваемости. Увеличение количества дней, необходимого для одного оборота, фиксируется практически по всем компонентам оборотного капитала. Так, длительность оборота всех активов существенно возросла — с 931,67 до 1303,56 дня, что свидетельствует о замедлении общего цикла преобразования ресурсов в выручку. Аналогичная тенденция отмечается и по основным средствам: продолжительность одного оборота увеличилась с 393,88 до 551,11 дня, указывая на снижение эффективности использования долгосрочных активов.
Наибольшее увеличение сроков зафиксировано по запасам, где оборачиваемость замедлилась с 378,81 до 434,95 дня, что может свидетельствовать о накоплении излишков или снижении темпов реализации. Скорость оборота денежных средств также ухудшилась — вместо 73,32 дней в предыдущем году компания стала использовать их с циклом в 102,59 дня, что может быть связано с более длительным удержанием средств на счетах либо снижением интенсивности расчетов. Показатели оборачиваемости финансовых вложений демонстрируют аналогичную отрицательную динамику: оборот удлинился с 68,99 до 96,54 дня.
Особое внимание заслуживает анализ дебиторской и кредиторской задолженности. В отчетном году сроки погашения дебиторской задолженности увеличились с 19,35 до 27,07 дня, что говорит о менее оперативном поступлении средств от контрагентов. В то же время оборачиваемость кредиторской задолженности также замедлилась — с 62,47 до 71,73 дня. Несмотря на некоторое увеличение сроков расчетов с поставщиками, темпы погашения обязательств перед кредиторами остаются существенно более медленными по сравнению с поступлением денежных средств от дебиторов. Таким образом, временной лаг между поступлением средств и исполнением обязательств по-прежнему остается в пользу компании: она дольше удерживает ресурсы, чем ожидает их от покупателей, что положительно сказывается на текущей ликвидности, несмотря на общее замедление оборотности.</t>
  </si>
  <si>
    <t>Таблица 10.1
Анализ оборачиваемости оборотных средств организации</t>
  </si>
  <si>
    <t>Абсолютное изменение</t>
  </si>
  <si>
    <t>1.Выручка, тыс. руб.</t>
  </si>
  <si>
    <t>2. Количество дней анализируемого периода</t>
  </si>
  <si>
    <t>3. Однодневная выручка, тыс. руб. (стр.1/стр. 2)</t>
  </si>
  <si>
    <t xml:space="preserve">4. Средний остаток оборотных средств, тыс. руб. </t>
  </si>
  <si>
    <t>5. Продолжительность одного оборота, дн. (стр.4 /стр. 3)</t>
  </si>
  <si>
    <t>6. Коэффициент оборачиваемости средств, оборотов (стр. 2/стр. 5)</t>
  </si>
  <si>
    <t>7. Коэффициент загрузки средств в обороте, % (стр. 4/ стр.1*100)</t>
  </si>
  <si>
    <t>8. Экономический результат (высвобождение при ускорении «-», привлечение при замедлении «+») оборачиваемости:</t>
  </si>
  <si>
    <r>
      <rPr>
        <b/>
        <sz val="10"/>
        <color theme="1"/>
        <rFont val="Times New Roman"/>
        <family val="1"/>
        <charset val="204"/>
      </rPr>
      <t>Задание 10.</t>
    </r>
    <r>
      <rPr>
        <sz val="10"/>
        <color theme="1"/>
        <rFont val="Times New Roman"/>
        <family val="1"/>
        <charset val="204"/>
      </rPr>
      <t xml:space="preserve"> На основе расчетов показателей оборачиваемости оборотных средств определить сумму высвобожденных или дополнительно привлеченных средств, вследствие изменения оборачиваемости всех оборотных средств. Определить влияние факторов на изменение оборачиваемости оборотных средств способом цепных подстановок (таблица 10.2).</t>
    </r>
  </si>
  <si>
    <t>В отчетном периоде наблюдалось существенное замедление оборачиваемости оборотных средств ПАО «Алроса». Продолжительность одного оборота увеличилась с 379,08 до 530,40 дня, что обусловлено снижением объема выручки на 76 751 539 тыс. руб. и, как следствие, уменьшением однодневной выручки на 210 278,19 тыс. руб. Несмотря на то, что средний остаток оборотных средств остался неизменным, снижение интенсивности использования этих ресурсов отразилось на коэффициенте оборачиваемости, который сократился с 0,9629 до 0,6882 оборота. Это указывает на снижение деловой активности предприятия и рост продолжительности нахождения средств в обороте.
Соответственно, коэффициент загрузки средств в обороте увеличился на 41,46 процентных пункта, достигнув уровня 145,31%, что свидетельствует о более высоком объёме ресурсов, отвлечённых в оборот на единицу выручки. Следствием замедления оборачиваемости явилось дополнительное привлечение оборотных средств в размере 79 712 525 тыс. руб., что негативно повлияло на экономический результат. Это означает, что для обеспечения текущего объема деятельности предприятию потребовались дополнительные ресурсы, не сопровождаемые соответствующим увеличением выручки, что свидетельствует о снижении эффективности управления оборотными активами.</t>
  </si>
  <si>
    <r>
      <t>1,2Х</t>
    </r>
    <r>
      <rPr>
        <vertAlign val="subscript"/>
        <sz val="12"/>
        <color theme="1"/>
        <rFont val="Times New Roman"/>
        <family val="1"/>
        <charset val="204"/>
      </rPr>
      <t>1</t>
    </r>
    <r>
      <rPr>
        <sz val="12"/>
        <color theme="1"/>
        <rFont val="Times New Roman"/>
        <family val="1"/>
        <charset val="204"/>
      </rPr>
      <t xml:space="preserve"> + 1,4 Х</t>
    </r>
    <r>
      <rPr>
        <vertAlign val="subscript"/>
        <sz val="12"/>
        <color theme="1"/>
        <rFont val="Times New Roman"/>
        <family val="1"/>
        <charset val="204"/>
      </rPr>
      <t>2</t>
    </r>
    <r>
      <rPr>
        <sz val="12"/>
        <color theme="1"/>
        <rFont val="Times New Roman"/>
        <family val="1"/>
        <charset val="204"/>
      </rPr>
      <t xml:space="preserve"> +3,3Х</t>
    </r>
    <r>
      <rPr>
        <vertAlign val="subscript"/>
        <sz val="12"/>
        <color theme="1"/>
        <rFont val="Times New Roman"/>
        <family val="1"/>
        <charset val="204"/>
      </rPr>
      <t xml:space="preserve">3 </t>
    </r>
    <r>
      <rPr>
        <sz val="12"/>
        <color theme="1"/>
        <rFont val="Times New Roman"/>
        <family val="1"/>
        <charset val="204"/>
      </rPr>
      <t>+ 0,6Х</t>
    </r>
    <r>
      <rPr>
        <vertAlign val="subscript"/>
        <sz val="12"/>
        <color theme="1"/>
        <rFont val="Times New Roman"/>
        <family val="1"/>
        <charset val="204"/>
      </rPr>
      <t>4</t>
    </r>
    <r>
      <rPr>
        <sz val="12"/>
        <color theme="1"/>
        <rFont val="Times New Roman"/>
        <family val="1"/>
        <charset val="204"/>
      </rPr>
      <t xml:space="preserve"> +1,0Х</t>
    </r>
    <r>
      <rPr>
        <vertAlign val="subscript"/>
        <sz val="12"/>
        <color theme="1"/>
        <rFont val="Times New Roman"/>
        <family val="1"/>
        <charset val="204"/>
      </rPr>
      <t>5</t>
    </r>
  </si>
  <si>
    <t>Z</t>
  </si>
  <si>
    <t>Оборачиваемость активов (или отношение выручки от продаж к сумме активов)</t>
  </si>
  <si>
    <r>
      <t>Х</t>
    </r>
    <r>
      <rPr>
        <vertAlign val="subscript"/>
        <sz val="12"/>
        <color theme="1"/>
        <rFont val="Times New Roman"/>
        <family val="1"/>
        <charset val="204"/>
      </rPr>
      <t>5</t>
    </r>
  </si>
  <si>
    <t xml:space="preserve"> </t>
  </si>
  <si>
    <t>Коэффициент соотношения собственного и заемного капитала</t>
  </si>
  <si>
    <r>
      <t>Х</t>
    </r>
    <r>
      <rPr>
        <vertAlign val="subscript"/>
        <sz val="12"/>
        <color theme="1"/>
        <rFont val="Times New Roman"/>
        <family val="1"/>
        <charset val="204"/>
      </rPr>
      <t>4</t>
    </r>
  </si>
  <si>
    <t>Уровень доходности активов (отношение прибыли до налогообложения к сумме активов)</t>
  </si>
  <si>
    <r>
      <t>Х</t>
    </r>
    <r>
      <rPr>
        <vertAlign val="subscript"/>
        <sz val="12"/>
        <color theme="1"/>
        <rFont val="Times New Roman"/>
        <family val="1"/>
        <charset val="204"/>
      </rPr>
      <t>3</t>
    </r>
  </si>
  <si>
    <t>Рентабельность активов (нераспределенная прибыль к сумме активов)</t>
  </si>
  <si>
    <r>
      <t>Х</t>
    </r>
    <r>
      <rPr>
        <vertAlign val="subscript"/>
        <sz val="12"/>
        <color theme="1"/>
        <rFont val="Times New Roman"/>
        <family val="1"/>
        <charset val="204"/>
      </rPr>
      <t>2</t>
    </r>
  </si>
  <si>
    <t>Отношение собственных оборотных активов (чистого оборотного капитала) в сумме активов (1200-1500)/1600</t>
  </si>
  <si>
    <r>
      <t>Х</t>
    </r>
    <r>
      <rPr>
        <vertAlign val="subscript"/>
        <sz val="12"/>
        <color theme="1"/>
        <rFont val="Times New Roman"/>
        <family val="1"/>
        <charset val="204"/>
      </rPr>
      <t>1</t>
    </r>
  </si>
  <si>
    <t>Таблица 11.1
Диагностика банкротства  на основе оригинальной модели Альтмана</t>
  </si>
  <si>
    <r>
      <rPr>
        <b/>
        <sz val="11"/>
        <color theme="1"/>
        <rFont val="Times New Roman"/>
        <family val="1"/>
      </rPr>
      <t>Задание 11.</t>
    </r>
    <r>
      <rPr>
        <sz val="11"/>
        <color theme="1"/>
        <rFont val="Times New Roman"/>
        <family val="1"/>
      </rPr>
      <t xml:space="preserve"> Оценить вероятность угрозы банкротства организации на основе модели Альтмана.
</t>
    </r>
  </si>
  <si>
    <t>Анализ вероятности банкротства ПАО «Алроса» на основе оригинальной модели Альтмана позволяет сделать вывод о значительном ухудшении финансовой устойчивости компании в отчетном периоде. Значение интегрального показателя Z снизилось с 2,5637 в предыдущем году до 2,0352 в отчетном, то есть на 0,5285 пункта. Согласно критериям, представленным в модели Альтмана, данный результат помещает компанию в зону высокой угрозы банкротства (интервал от 1,81 до 2,7), что указывает на наличие существенных рисков потери платежеспособности в течение ближайших двух лет. Хотя уровень угрозы ещё не критичен (не опустился ниже 1,8), негативная динамика показателя Z и ухудшение большинства его компонент вызывают обоснованную тревогу и требуют пристального внимания со стороны менеджмента.
Более глубокий анализ факторов, влияющих на расчет Z-показателя, позволяет выявить внутренние причины ухудшения финансовой устойчивости. Единственным компонентом, продемонстрировавшим положительную динамику, стал показатель X₁ — отношение чистого оборотного капитала к общей сумме активов. Его рост с 0,2080 до 0,2758 (+0,0677) свидетельствует о повышении доли ликвидных активов в структуре баланса и, соответственно, о некотором улучшении краткосрочной финансовой устойчивости. Это может быть связано с ростом текущих активов, уменьшением краткосрочных обязательств или другими мерами по управлению ликвидностью. Однако влияние этого улучшения на итоговый показатель Z оказалось ограниченным, поскольку вес X₁ в формуле Альтмана составляет лишь 1,2.
Остальные переменные модели, напротив, ухудшились, что в совокупности привело к общему снижению Z. Значительное снижение наблюдается по показателю X₃ — доходности активов, измеряемой как отношение прибыли до налогообложения к общей сумме активов. Его значение упало с 0,1432 до 0,0197, то есть более чем в семь раз, что указывает на резкое падение операционной эффективности и потенциальные проблемы в ключевых бизнес-процессах. Особенно важно отметить, что этот компонент имеет наибольший вес в формуле модели (3,3), и его резкое снижение оказало критическое влияние на итоговое значение Z-показателя.
Также наблюдается отрицательная динамика по X₂ — рентабельности активов, рассчитанной как отношение нераспределенной прибыли к активам. Падение показателя с 0,5021 до 0,4673 отражает ухудшение способности компании формировать внутренние источники финансирования и снижает потенциал к реинвестированию в развитие бизнеса. Хотя абсолютные значения остаются высокими, тенденция снижения негативно влияет на общую картину.
Показатель X₄, характеризующий структуру капитала (соотношение собственного и заемного капитала), также ухудшился: снижение с 1,2680 до 1,1917 может свидетельствовать о росте доли заемных средств в финансировании активов компании. Это, в свою очередь, повышает финансовые риски и уязвимость компании к колебаниям процентных ставок, а также снижает ее способность привлекать дополнительное финансирование на выгодных условиях.
Наконец, показатель X₅ — оборачиваемость активов, т.е. эффективность использования активов для формирования выручки, — также продемонстрировал отрицательную динамику: снижение с 0,3777 до 0,2699. Это может указывать как на снижение объемов реализации, так и на накопление неэффективных или избыточных активов на балансе. Снижение оборачиваемости снижает скорость превращения ресурсов в денежные потоки и ослабляет общую деловую активность компании.
В целом, совокупность данных свидетельствует о наличии системных проблем в операционной, инвестиционной и финансовой деятельности ПАО «Алроса». Несмотря на некоторый прирост ликвидности, зафиксированный в росте X₁, остальные ключевые аспекты финансовой устойчивости ухудшились. Особенно тревожным является сильное падение X₃, которое при его высоком весе оказывает наибольшее влияние на снижение Z-показателя. Учитывая текущую траекторию изменения показателей и если не будут предприняты меры по восстановлению прибыльности, повышению эффективности использования активов и оптимизации структуры капитала, существует реальная угроза перехода компании в зону очень высокой вероятности банкротства в ближайшей перспективе.</t>
  </si>
  <si>
    <r>
      <t xml:space="preserve">Задание 12. </t>
    </r>
    <r>
      <rPr>
        <sz val="12"/>
        <color theme="1"/>
        <rFont val="Times New Roman"/>
        <family val="1"/>
      </rPr>
      <t xml:space="preserve">На основании проведенного анализа финансового состояния сделать прогноз возможных негативных последствий изменений тех или иных элементов баланса и указать возможные пути их преодоления. Оценить состояние баланса с позиции разных пользователей информации. </t>
    </r>
  </si>
  <si>
    <t>Итоговый вывод:</t>
  </si>
  <si>
    <r>
      <rPr>
        <b/>
        <sz val="11"/>
        <color theme="1"/>
        <rFont val="Times New Roman"/>
        <family val="1"/>
      </rPr>
      <t xml:space="preserve">Задание 7. </t>
    </r>
    <r>
      <rPr>
        <sz val="11"/>
        <color theme="1"/>
        <rFont val="Times New Roman"/>
        <family val="1"/>
      </rPr>
      <t xml:space="preserve">Провести анализ финансовой устойчивости организации.
Финансовая устойчивость организации определяется степенью обеспечения запасов и затрат собственными и заемными источниками их формирования, соотношением объемов собственных и заемных средств и характеризуется системой абсолютных и относительных показателей. Анализируя соответствие или несоответствие (излишек или недостаток) средств для формирования запасов и затрат, определить абсолютные показатели финансовой устойчивости. Расчеты представить в таблице 7.1.
</t>
    </r>
    <r>
      <rPr>
        <b/>
        <sz val="11"/>
        <color theme="1"/>
        <rFont val="Times New Roman"/>
        <family val="1"/>
      </rPr>
      <t>Таблица 7.1
Анализ финансовой устойчивости по величине излишка (недостатка) собственных оборотных средств</t>
    </r>
  </si>
  <si>
    <t xml:space="preserve">По результатам комплексного анализа финансового состояния ПАО «Алроса» на основании данных бухгалтерской отчётности за два периода можно сделать следующие обобщённые выводы. Финансовое положение предприятия характеризуется признаками снижения устойчивости и увеличения финансовых рисков. В структуре пассивов наблюдается тенденция к росту заемного капитала и снижению доли собственного капитала, что подтверждается уменьшением коэффициента автономии и одновременным ростом коэффициента финансового левериджа. Это свидетельствует об усилении зависимости предприятия от внешних источников финансирования, что потенциально повышает его уязвимость к изменению условий кредитования и внешнеэкономической конъюнктуры.
Оценка ликвидности показала, что предприятие испытывает дефицит собственных оборотных средств, а все коэффициенты ликвидности находятся ниже нормативных значений, что свидетельствует о снижении способности ПАО «Алроса» своевременно погашать краткосрочные обязательства. Отрицательные значения коэффициентов обеспеченности оборотных активов и коэффициента маневренности капитала указывают на недостаточность гибкости в управлении финансовыми ресурсами и неспособность самостоятельно финансировать текущую деятельность без привлечения краткосрочных займов.
Анализ оборачиваемости активов и обязательств показал отрицательную динамику. Практически все показатели деловой активности ухудшились: замедлилась оборачиваемость дебиторской задолженности, запасов и всего оборотного капитала, увеличились сроки погашения активов. Это означает рост времени, необходимого для превращения вложений в денежную форму, и, соответственно, снижение общей эффективности использования ресурсов. Хотя сохраняется положительный лаг между сроками оборачиваемости дебиторской и кредиторской задолженности, это преимущество снижается, что может привести к кассовым разрывам в будущем.
Показатели рентабельности продемонстрировали нисходящую тенденцию: снизились рентабельность активов, собственного капитала и продаж. Это свидетельствует о сокращении отдачи от использования всех видов ресурсов предприятия и может быть обусловлено ростом затрат, снижением эффективности основной деятельности или изменением рыночной конъюнктуры. Подобные изменения негативно отражаются как на внутренней устойчивости предприятия, так и на его инвестиционной привлекательности.
Особую обеспокоенность вызывает результат анализа вероятности банкротства по модели Э. Альтмана. Z-показатель снизился с 2,56 до 2,04, что указывает на переход предприятия в зону высокой вероятности неплатежеспособности и потенциального банкротства. Динамика изменения составляющих модели демонстрирует общее ухудшение финансовых показателей, что подтверждает негативные тенденции в структуре баланса.
С учетом выявленных тенденций можно прогнозировать, что в случае дальнейшего увеличения долговой нагрузки и отсутствия мер по повышению рентабельности и оборачиваемости, ПАО «Алроса» может столкнуться с утратой финансовой устойчивости, снижением кредитного рейтинга, затруднениями в обслуживании обязательств и риском неплатежеспособности. Возможными последствиями могут стать рост расходов по привлечению заемных средств, ограничение доступа к внешнему финансированию, снижение рыночной стоимости компании и ухудшение отношений с инвесторами и контрагентами.
Для предотвращения указанных рисков целесообразно реализовать комплекс мер, направленных на улучшение финансового состояния: повысить операционную эффективность, сократить издержки, оптимизировать структуру активов и пассивов, усилить контроль за дебиторской задолженностью, повысить оборачиваемость оборотных средств, а также рассмотреть возможности привлечения дополнительного собственного капитала. Своевременное принятие управленческих решений позволит стабилизировать финансовое положение компании и обеспечить её устойчивое развитие.
С позиции различных пользователей финансовой информации состояние баланса ПАО «Алроса» оценивается неоднозначно. Для собственников и акционеров текущая ситуация представляет риск снижения инвестиционной привлекательности и доходности вложений. Кредиторы могут расценивать ухудшение ликвидности и рост долговой нагрузки как признак снижения надёжности заёмщика. Потенциальные инвесторы видят в динамике показателей снижение перспективности вложений. Государственные органы, учитывая сохраняемую прибыль, могут пока не наблюдать угроз для налоговой дисциплины, однако дальнейшее ухудшение финансовых показателей требует внимания со стороны регулирующих органов. Таким образом, текущее состояние баланса нуждается в стратегической корректировке и финансовом оздоровлении.
</t>
  </si>
  <si>
    <t>Оборачиваемость активов</t>
  </si>
  <si>
    <t>Финансовый леверидж</t>
  </si>
  <si>
    <t>ROE (формула Дюпон)</t>
  </si>
  <si>
    <t>Рентабельность продаж (ROS)</t>
  </si>
  <si>
    <t>Анализ рентабельности собственного капитала ROE</t>
  </si>
  <si>
    <t>Анализ рентабельности собственного капитала ПАО «Алроса» по системе Дюпона за 2024 год выявил существенное снижение показателя на 6,64 процентного пункта по сравнению с предыдущим годом, что указывает на резкое падение эффективности использования собственного капитала. Наиболее значимым негативным фактором стало ухудшение рентабельности продаж, которая сократилась с 31,00% до 4,33%, то есть на 26,67 п.п., что свидетельствует о резком снижении операционной прибыльности и, вероятно, связано с падением цен на продукцию, увеличением себестоимости или снижением объема реализации. Дополнительно наблюдается сокращение оборачиваемости активов с 0,4069 до 0,2699, что отражает снижение эффективности использования активов в процессе создания выручки. Несмотря на рост финансового левериджа с 0,6043 до 0,8391, то есть усиление роли заемного капитала, эффект от этого оказался недостаточным для компенсации резкого ухудшения операционных и ресурсных показателей. В совокупности данные изменения обусловили значительное ослабление финансовой отдачи на собственный капитал и указывают на необходимость пересмотра производственной и коммерческой стратегии предприятия.</t>
  </si>
  <si>
    <t xml:space="preserve">
ПАО «Алроса»
</t>
  </si>
  <si>
    <t>КФиБа23-1</t>
  </si>
  <si>
    <t>Надежина Анфиса Валерьевна</t>
  </si>
  <si>
    <t>Выполнила: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</si>
</sst>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 _₽_-;\-* #,##0\ _₽_-;_-* &quot;-&quot;\ _₽_-;_-@"/>
    <numFmt numFmtId="165" formatCode="0.000%"/>
    <numFmt numFmtId="166" formatCode="0.0000"/>
    <numFmt numFmtId="167" formatCode="#,##0.0000"/>
    <numFmt numFmtId="168" formatCode="_-* #,##0.00\ _₽_-;\-* #,##0.00\ _₽_-;_-* &quot;-&quot;\ _₽_-;_-@"/>
  </numFmts>
  <fonts count="28" x14ac:knownFonts="1">
    <font>
      <sz val="11"/>
      <color theme="1"/>
      <name val="Calibri"/>
      <scheme val="minor"/>
    </font>
    <font>
      <sz val="11"/>
      <color theme="1"/>
      <name val="Calibri"/>
      <family val="2"/>
      <charset val="204"/>
      <scheme val="minor"/>
    </font>
    <font>
      <sz val="11"/>
      <color theme="1"/>
      <name val="Calibri"/>
      <family val="2"/>
      <charset val="204"/>
      <scheme val="minor"/>
    </font>
    <font>
      <sz val="16"/>
      <color theme="1"/>
      <name val="Times New Roman"/>
      <family val="1"/>
    </font>
    <font>
      <sz val="14"/>
      <color theme="1"/>
      <name val="Times New Roman"/>
      <family val="1"/>
    </font>
    <font>
      <sz val="11"/>
      <name val="Calibri"/>
      <family val="2"/>
    </font>
    <font>
      <b/>
      <sz val="12"/>
      <color theme="1"/>
      <name val="Times New Roman"/>
      <family val="1"/>
    </font>
    <font>
      <sz val="12"/>
      <color theme="1"/>
      <name val="Times New Roman"/>
      <family val="1"/>
    </font>
    <font>
      <sz val="11"/>
      <color theme="1"/>
      <name val="Calibri"/>
      <family val="2"/>
    </font>
    <font>
      <b/>
      <sz val="14"/>
      <color theme="1"/>
      <name val="Times New Roman"/>
      <family val="1"/>
    </font>
    <font>
      <sz val="11"/>
      <color theme="1"/>
      <name val="Times New Roman"/>
      <family val="1"/>
    </font>
    <font>
      <b/>
      <sz val="11"/>
      <color theme="1"/>
      <name val="Times New Roman"/>
      <family val="1"/>
    </font>
    <font>
      <b/>
      <sz val="11"/>
      <color theme="1"/>
      <name val="Times New Roman"/>
      <family val="1"/>
    </font>
    <font>
      <sz val="7"/>
      <color theme="1"/>
      <name val="Times New Roman"/>
      <family val="1"/>
    </font>
    <font>
      <u/>
      <sz val="11"/>
      <color theme="1"/>
      <name val="Times New Roman"/>
      <family val="1"/>
    </font>
    <font>
      <b/>
      <sz val="11"/>
      <color theme="1"/>
      <name val="Calibri"/>
      <family val="2"/>
    </font>
    <font>
      <vertAlign val="superscript"/>
      <sz val="12"/>
      <color theme="1"/>
      <name val="Times New Roman"/>
      <family val="1"/>
    </font>
    <font>
      <sz val="11"/>
      <color theme="1"/>
      <name val="Calibri"/>
      <family val="2"/>
      <scheme val="minor"/>
    </font>
    <font>
      <sz val="12"/>
      <color theme="1"/>
      <name val="Times New Roman"/>
      <family val="1"/>
      <charset val="204"/>
    </font>
    <font>
      <vertAlign val="subscript"/>
      <sz val="12"/>
      <color theme="1"/>
      <name val="Times New Roman"/>
      <family val="1"/>
      <charset val="204"/>
    </font>
    <font>
      <vertAlign val="subscript"/>
      <sz val="11"/>
      <color theme="1"/>
      <name val="Calibri"/>
      <family val="2"/>
      <charset val="204"/>
      <scheme val="minor"/>
    </font>
    <font>
      <vertAlign val="subscript"/>
      <sz val="12"/>
      <color theme="1"/>
      <name val="Times New Roman"/>
      <family val="1"/>
    </font>
    <font>
      <sz val="11"/>
      <color theme="1"/>
      <name val="Times New Roman"/>
      <family val="1"/>
      <charset val="204"/>
    </font>
    <font>
      <b/>
      <sz val="14"/>
      <color theme="1"/>
      <name val="Times New Roman"/>
      <family val="1"/>
      <charset val="204"/>
    </font>
    <font>
      <sz val="10"/>
      <color theme="1"/>
      <name val="Times New Roman"/>
      <family val="1"/>
      <charset val="204"/>
    </font>
    <font>
      <b/>
      <sz val="10"/>
      <color theme="1"/>
      <name val="Times New Roman"/>
      <family val="1"/>
      <charset val="204"/>
    </font>
    <font>
      <b/>
      <sz val="12"/>
      <color theme="1"/>
      <name val="Times New Roman"/>
      <family val="1"/>
      <charset val="204"/>
    </font>
    <font>
      <sz val="11"/>
      <color theme="1"/>
      <name val="Calibri"/>
      <family val="2"/>
      <scheme val="minor"/>
    </font>
  </fonts>
  <fills count="4">
    <fill>
      <patternFill patternType="none"/>
    </fill>
    <fill>
      <patternFill patternType="gray125"/>
    </fill>
    <fill>
      <patternFill patternType="solid">
        <fgColor theme="0"/>
        <bgColor rgb="FFC6D9F0"/>
      </patternFill>
    </fill>
    <fill>
      <patternFill patternType="solid">
        <fgColor theme="0"/>
        <bgColor indexed="64"/>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0" fontId="17" fillId="0" borderId="0"/>
    <xf numFmtId="0" fontId="1" fillId="0" borderId="0"/>
    <xf numFmtId="9" fontId="1" fillId="0" borderId="0" applyFont="0" applyFill="0" applyBorder="0" applyAlignment="0" applyProtection="0"/>
    <xf numFmtId="9" fontId="27" fillId="0" borderId="0" applyFont="0" applyFill="0" applyBorder="0" applyAlignment="0" applyProtection="0"/>
  </cellStyleXfs>
  <cellXfs count="152">
    <xf numFmtId="0" fontId="0" fillId="0" borderId="0" xfId="0"/>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8" xfId="0" applyFont="1" applyBorder="1" applyAlignment="1">
      <alignment horizontal="center" vertical="top" wrapText="1"/>
    </xf>
    <xf numFmtId="0" fontId="7" fillId="0" borderId="8" xfId="0" applyFont="1" applyBorder="1" applyAlignment="1">
      <alignment horizontal="center" wrapText="1"/>
    </xf>
    <xf numFmtId="0" fontId="7" fillId="0" borderId="8" xfId="0" applyFont="1" applyBorder="1" applyAlignment="1">
      <alignment horizontal="center" vertical="top" wrapText="1"/>
    </xf>
    <xf numFmtId="0" fontId="7" fillId="0" borderId="2" xfId="0" applyFont="1" applyBorder="1" applyAlignment="1">
      <alignment vertical="top" wrapText="1"/>
    </xf>
    <xf numFmtId="164" fontId="7" fillId="0" borderId="8" xfId="0" applyNumberFormat="1" applyFont="1" applyBorder="1" applyAlignment="1">
      <alignment vertical="center" wrapText="1"/>
    </xf>
    <xf numFmtId="10" fontId="7" fillId="0" borderId="8" xfId="0" applyNumberFormat="1" applyFont="1" applyBorder="1" applyAlignment="1">
      <alignment horizontal="center" vertical="center" wrapText="1"/>
    </xf>
    <xf numFmtId="10" fontId="8" fillId="0" borderId="0" xfId="0" applyNumberFormat="1" applyFont="1"/>
    <xf numFmtId="164" fontId="7" fillId="0" borderId="2" xfId="0" applyNumberFormat="1" applyFont="1" applyBorder="1" applyAlignment="1">
      <alignment vertical="center" wrapText="1"/>
    </xf>
    <xf numFmtId="0" fontId="7" fillId="0" borderId="7" xfId="0" applyFont="1" applyBorder="1" applyAlignment="1">
      <alignment vertical="top" wrapText="1"/>
    </xf>
    <xf numFmtId="164" fontId="7" fillId="0" borderId="8" xfId="0" applyNumberFormat="1" applyFont="1" applyBorder="1" applyAlignment="1">
      <alignment horizontal="center" vertical="center" wrapText="1"/>
    </xf>
    <xf numFmtId="164" fontId="7" fillId="0" borderId="9" xfId="0" applyNumberFormat="1" applyFont="1" applyBorder="1" applyAlignment="1">
      <alignment vertical="center" wrapText="1"/>
    </xf>
    <xf numFmtId="0" fontId="7" fillId="0" borderId="8" xfId="0" applyFont="1" applyBorder="1" applyAlignment="1">
      <alignment vertical="top" wrapText="1"/>
    </xf>
    <xf numFmtId="164" fontId="7" fillId="0" borderId="8" xfId="0" applyNumberFormat="1" applyFont="1" applyBorder="1" applyAlignment="1">
      <alignment horizontal="left" vertical="center" wrapText="1"/>
    </xf>
    <xf numFmtId="165" fontId="7" fillId="0" borderId="8" xfId="0" applyNumberFormat="1" applyFont="1" applyBorder="1" applyAlignment="1">
      <alignment horizontal="center" vertical="center" wrapText="1"/>
    </xf>
    <xf numFmtId="9" fontId="7" fillId="0" borderId="8" xfId="0" applyNumberFormat="1" applyFont="1" applyBorder="1" applyAlignment="1">
      <alignment horizontal="center" wrapText="1"/>
    </xf>
    <xf numFmtId="0" fontId="7" fillId="0" borderId="8" xfId="0" applyFont="1" applyBorder="1" applyAlignment="1">
      <alignment horizontal="left" vertical="top" wrapText="1"/>
    </xf>
    <xf numFmtId="164" fontId="8" fillId="0" borderId="0" xfId="0" applyNumberFormat="1" applyFont="1"/>
    <xf numFmtId="0" fontId="7" fillId="0" borderId="6" xfId="0" applyFont="1" applyBorder="1" applyAlignment="1">
      <alignment vertical="top" wrapText="1"/>
    </xf>
    <xf numFmtId="0" fontId="6" fillId="0" borderId="8" xfId="0" applyFont="1" applyBorder="1" applyAlignment="1">
      <alignment vertical="top" wrapText="1"/>
    </xf>
    <xf numFmtId="0" fontId="9" fillId="0" borderId="0" xfId="0" applyFont="1" applyAlignment="1">
      <alignment vertical="top" wrapText="1"/>
    </xf>
    <xf numFmtId="0" fontId="8" fillId="0" borderId="0" xfId="0" applyFont="1" applyAlignment="1">
      <alignment vertical="top" wrapText="1"/>
    </xf>
    <xf numFmtId="0" fontId="11" fillId="0" borderId="0" xfId="0" applyFont="1"/>
    <xf numFmtId="0" fontId="7" fillId="0" borderId="8" xfId="0" applyFont="1" applyBorder="1" applyAlignment="1">
      <alignment wrapText="1"/>
    </xf>
    <xf numFmtId="164" fontId="7" fillId="0" borderId="8" xfId="0" applyNumberFormat="1" applyFont="1" applyBorder="1" applyAlignment="1">
      <alignment horizontal="left" wrapText="1"/>
    </xf>
    <xf numFmtId="10" fontId="7" fillId="0" borderId="8" xfId="0" applyNumberFormat="1" applyFont="1" applyBorder="1" applyAlignment="1">
      <alignment horizontal="center" wrapText="1"/>
    </xf>
    <xf numFmtId="164" fontId="7" fillId="0" borderId="8" xfId="0" applyNumberFormat="1" applyFont="1" applyBorder="1" applyAlignment="1">
      <alignment vertical="center"/>
    </xf>
    <xf numFmtId="10" fontId="7" fillId="0" borderId="8" xfId="0" applyNumberFormat="1" applyFont="1" applyBorder="1" applyAlignment="1">
      <alignment horizontal="center"/>
    </xf>
    <xf numFmtId="164" fontId="7" fillId="0" borderId="8" xfId="0" applyNumberFormat="1" applyFont="1" applyBorder="1" applyAlignment="1">
      <alignment horizontal="left" vertical="top" wrapText="1"/>
    </xf>
    <xf numFmtId="0" fontId="7" fillId="0" borderId="8" xfId="0" applyFont="1" applyBorder="1" applyAlignment="1">
      <alignment horizontal="center" vertical="center"/>
    </xf>
    <xf numFmtId="10" fontId="7" fillId="0" borderId="8" xfId="0" applyNumberFormat="1" applyFont="1" applyBorder="1" applyAlignment="1">
      <alignment horizontal="center" vertical="center"/>
    </xf>
    <xf numFmtId="0" fontId="6" fillId="0" borderId="0" xfId="0" applyFont="1" applyAlignment="1">
      <alignment wrapText="1"/>
    </xf>
    <xf numFmtId="0" fontId="6" fillId="0" borderId="8" xfId="0" applyFont="1" applyBorder="1" applyAlignment="1">
      <alignment horizontal="center" vertical="center" wrapText="1"/>
    </xf>
    <xf numFmtId="0" fontId="6" fillId="0" borderId="8" xfId="0" applyFont="1" applyBorder="1" applyAlignment="1">
      <alignment horizontal="center" wrapText="1"/>
    </xf>
    <xf numFmtId="0" fontId="7" fillId="0" borderId="8" xfId="0" applyFont="1" applyBorder="1" applyAlignment="1">
      <alignment horizontal="center" vertical="center" wrapText="1"/>
    </xf>
    <xf numFmtId="164" fontId="7" fillId="0" borderId="0" xfId="0" applyNumberFormat="1" applyFont="1" applyAlignment="1">
      <alignment vertical="center" wrapText="1"/>
    </xf>
    <xf numFmtId="166" fontId="7" fillId="0" borderId="8" xfId="0" applyNumberFormat="1" applyFont="1" applyBorder="1" applyAlignment="1">
      <alignment horizontal="center" vertical="center" wrapText="1"/>
    </xf>
    <xf numFmtId="0" fontId="7" fillId="0" borderId="0" xfId="0" applyFont="1" applyAlignment="1">
      <alignment horizontal="left" vertical="top" wrapText="1"/>
    </xf>
    <xf numFmtId="164" fontId="7" fillId="0" borderId="8" xfId="0" applyNumberFormat="1" applyFont="1" applyBorder="1" applyAlignment="1">
      <alignment horizontal="center" vertical="top" wrapText="1"/>
    </xf>
    <xf numFmtId="49" fontId="7" fillId="0" borderId="0" xfId="0" applyNumberFormat="1" applyFont="1" applyAlignment="1">
      <alignment horizontal="center" vertical="top" wrapText="1"/>
    </xf>
    <xf numFmtId="0" fontId="12" fillId="0" borderId="0" xfId="0" applyFont="1"/>
    <xf numFmtId="166" fontId="7" fillId="0" borderId="8" xfId="0" applyNumberFormat="1" applyFont="1" applyBorder="1" applyAlignment="1">
      <alignment horizontal="center" vertical="center"/>
    </xf>
    <xf numFmtId="0" fontId="8" fillId="0" borderId="0" xfId="0" applyFont="1"/>
    <xf numFmtId="167" fontId="7" fillId="0" borderId="8" xfId="0" applyNumberFormat="1" applyFont="1" applyBorder="1" applyAlignment="1">
      <alignment horizontal="center" vertical="center" wrapText="1"/>
    </xf>
    <xf numFmtId="167" fontId="7" fillId="0" borderId="8" xfId="0" applyNumberFormat="1" applyFont="1" applyBorder="1" applyAlignment="1">
      <alignment horizontal="center" vertical="center"/>
    </xf>
    <xf numFmtId="0" fontId="8" fillId="0" borderId="0" xfId="0" applyFont="1" applyAlignment="1">
      <alignment vertical="center" wrapText="1"/>
    </xf>
    <xf numFmtId="0" fontId="7" fillId="0" borderId="0" xfId="0" applyFont="1" applyAlignment="1">
      <alignment vertical="top" wrapText="1"/>
    </xf>
    <xf numFmtId="0" fontId="6" fillId="0" borderId="0" xfId="0" applyFont="1" applyAlignment="1">
      <alignment vertical="top" wrapText="1"/>
    </xf>
    <xf numFmtId="0" fontId="17" fillId="0" borderId="0" xfId="1"/>
    <xf numFmtId="0" fontId="7" fillId="0" borderId="16" xfId="1" applyFont="1" applyBorder="1" applyAlignment="1">
      <alignment horizontal="center" vertical="center" wrapText="1"/>
    </xf>
    <xf numFmtId="0" fontId="18" fillId="0" borderId="16" xfId="1" applyFont="1" applyBorder="1" applyAlignment="1">
      <alignment horizontal="center" vertical="center" wrapText="1"/>
    </xf>
    <xf numFmtId="166" fontId="7" fillId="0" borderId="16" xfId="1" applyNumberFormat="1" applyFont="1" applyBorder="1" applyAlignment="1">
      <alignment horizontal="center" vertical="center" wrapText="1"/>
    </xf>
    <xf numFmtId="0" fontId="7" fillId="0" borderId="16" xfId="1" applyFont="1" applyBorder="1" applyAlignment="1">
      <alignment horizontal="left" vertical="center" wrapText="1"/>
    </xf>
    <xf numFmtId="0" fontId="17" fillId="0" borderId="0" xfId="1" applyAlignment="1">
      <alignment vertical="center"/>
    </xf>
    <xf numFmtId="0" fontId="6" fillId="2" borderId="2" xfId="1" applyFont="1" applyFill="1" applyBorder="1" applyAlignment="1">
      <alignment horizontal="center" vertical="center" wrapText="1"/>
    </xf>
    <xf numFmtId="0" fontId="2" fillId="0" borderId="0" xfId="1" applyFont="1" applyAlignment="1">
      <alignment horizontal="center" vertical="center"/>
    </xf>
    <xf numFmtId="0" fontId="17" fillId="0" borderId="0" xfId="1" applyAlignment="1">
      <alignment horizontal="center" vertical="center"/>
    </xf>
    <xf numFmtId="0" fontId="2" fillId="0" borderId="0" xfId="1" applyFont="1"/>
    <xf numFmtId="164" fontId="7" fillId="0" borderId="0" xfId="1" applyNumberFormat="1" applyFont="1" applyAlignment="1">
      <alignment vertical="center" wrapText="1"/>
    </xf>
    <xf numFmtId="164" fontId="7" fillId="0" borderId="0" xfId="0" applyNumberFormat="1" applyFont="1" applyAlignment="1">
      <alignment horizontal="left" vertical="center" wrapText="1"/>
    </xf>
    <xf numFmtId="0" fontId="0" fillId="0" borderId="0" xfId="2" applyFont="1"/>
    <xf numFmtId="0" fontId="18" fillId="0" borderId="8" xfId="2" applyFont="1" applyBorder="1" applyAlignment="1">
      <alignment vertical="center" wrapText="1"/>
    </xf>
    <xf numFmtId="164" fontId="18" fillId="0" borderId="8" xfId="2" applyNumberFormat="1" applyFont="1" applyBorder="1" applyAlignment="1">
      <alignment horizontal="center" vertical="center" wrapText="1"/>
    </xf>
    <xf numFmtId="168" fontId="18" fillId="0" borderId="8" xfId="2" applyNumberFormat="1" applyFont="1" applyBorder="1" applyAlignment="1">
      <alignment horizontal="center" vertical="center" wrapText="1"/>
    </xf>
    <xf numFmtId="164" fontId="18" fillId="0" borderId="0" xfId="2" applyNumberFormat="1" applyFont="1" applyAlignment="1">
      <alignment vertical="center" wrapText="1"/>
    </xf>
    <xf numFmtId="2" fontId="18" fillId="0" borderId="8" xfId="2" applyNumberFormat="1" applyFont="1" applyBorder="1" applyAlignment="1">
      <alignment horizontal="center" vertical="center" wrapText="1"/>
    </xf>
    <xf numFmtId="164" fontId="6" fillId="0" borderId="0" xfId="2" applyNumberFormat="1" applyFont="1" applyAlignment="1">
      <alignment horizontal="center" vertical="center" wrapText="1"/>
    </xf>
    <xf numFmtId="164" fontId="6" fillId="0" borderId="0" xfId="2" applyNumberFormat="1" applyFont="1" applyAlignment="1">
      <alignment vertical="center" wrapText="1"/>
    </xf>
    <xf numFmtId="166" fontId="18" fillId="0" borderId="8" xfId="2" applyNumberFormat="1" applyFont="1" applyBorder="1" applyAlignment="1">
      <alignment horizontal="center" vertical="center" wrapText="1"/>
    </xf>
    <xf numFmtId="0" fontId="18" fillId="0" borderId="2" xfId="2" applyFont="1" applyBorder="1" applyAlignment="1">
      <alignment vertical="center" wrapText="1"/>
    </xf>
    <xf numFmtId="10" fontId="18" fillId="0" borderId="2" xfId="3" applyNumberFormat="1" applyFont="1" applyBorder="1" applyAlignment="1">
      <alignment horizontal="center" vertical="center" wrapText="1"/>
    </xf>
    <xf numFmtId="10" fontId="18" fillId="0" borderId="8" xfId="3" applyNumberFormat="1" applyFont="1" applyBorder="1" applyAlignment="1">
      <alignment horizontal="center" vertical="center" wrapText="1"/>
    </xf>
    <xf numFmtId="0" fontId="18" fillId="0" borderId="16" xfId="2" applyFont="1" applyBorder="1" applyAlignment="1">
      <alignment vertical="center" wrapText="1"/>
    </xf>
    <xf numFmtId="166" fontId="18" fillId="0" borderId="16" xfId="2" applyNumberFormat="1" applyFont="1" applyBorder="1" applyAlignment="1">
      <alignment horizontal="center" vertical="center" wrapText="1"/>
    </xf>
    <xf numFmtId="0" fontId="18" fillId="0" borderId="0" xfId="2" applyFont="1" applyAlignment="1">
      <alignment vertical="center" wrapText="1"/>
    </xf>
    <xf numFmtId="168" fontId="18" fillId="0" borderId="0" xfId="2" applyNumberFormat="1" applyFont="1" applyAlignment="1">
      <alignment vertical="center" wrapText="1"/>
    </xf>
    <xf numFmtId="0" fontId="23" fillId="0" borderId="0" xfId="2" applyFont="1" applyAlignment="1">
      <alignment horizontal="center" vertical="center" wrapText="1"/>
    </xf>
    <xf numFmtId="0" fontId="18" fillId="0" borderId="2" xfId="2" applyFont="1" applyBorder="1" applyAlignment="1">
      <alignment horizontal="center" vertical="center" wrapText="1"/>
    </xf>
    <xf numFmtId="164" fontId="7" fillId="0" borderId="0" xfId="0" applyNumberFormat="1" applyFont="1" applyAlignment="1">
      <alignment horizontal="center" vertical="center" wrapText="1"/>
    </xf>
    <xf numFmtId="166" fontId="18" fillId="0" borderId="16" xfId="1" applyNumberFormat="1" applyFont="1" applyBorder="1" applyAlignment="1">
      <alignment horizontal="center" vertical="center" wrapText="1"/>
    </xf>
    <xf numFmtId="0" fontId="18" fillId="0" borderId="16" xfId="1" applyFont="1" applyBorder="1" applyAlignment="1">
      <alignment vertical="center" wrapText="1"/>
    </xf>
    <xf numFmtId="166" fontId="7" fillId="0" borderId="8" xfId="1" applyNumberFormat="1" applyFont="1" applyBorder="1" applyAlignment="1">
      <alignment horizontal="center" vertical="center" wrapText="1"/>
    </xf>
    <xf numFmtId="166" fontId="7" fillId="0" borderId="8" xfId="1" applyNumberFormat="1" applyFont="1" applyBorder="1" applyAlignment="1">
      <alignment horizontal="center" vertical="center"/>
    </xf>
    <xf numFmtId="0" fontId="26" fillId="3" borderId="16" xfId="1" applyFont="1" applyFill="1" applyBorder="1" applyAlignment="1">
      <alignment horizontal="center" vertical="center" wrapText="1"/>
    </xf>
    <xf numFmtId="0" fontId="7" fillId="0" borderId="16" xfId="1" applyFont="1" applyBorder="1"/>
    <xf numFmtId="166" fontId="7" fillId="0" borderId="16" xfId="1" applyNumberFormat="1" applyFont="1" applyBorder="1" applyAlignment="1">
      <alignment horizontal="center"/>
    </xf>
    <xf numFmtId="0" fontId="10" fillId="0" borderId="0" xfId="1" applyFont="1"/>
    <xf numFmtId="164" fontId="6" fillId="0" borderId="0" xfId="1" applyNumberFormat="1" applyFont="1" applyAlignment="1">
      <alignment vertical="center" wrapText="1"/>
    </xf>
    <xf numFmtId="10" fontId="7" fillId="0" borderId="16" xfId="4" applyNumberFormat="1" applyFont="1" applyBorder="1" applyAlignment="1">
      <alignment horizontal="center" vertical="center"/>
    </xf>
    <xf numFmtId="10" fontId="7" fillId="0" borderId="16" xfId="4" applyNumberFormat="1" applyFont="1" applyBorder="1" applyAlignment="1">
      <alignment horizontal="center"/>
    </xf>
    <xf numFmtId="0" fontId="4" fillId="0" borderId="1" xfId="0" applyFont="1" applyBorder="1" applyAlignment="1">
      <alignment horizontal="center" vertical="center" wrapText="1"/>
    </xf>
    <xf numFmtId="0" fontId="5" fillId="0" borderId="1" xfId="0" applyFont="1" applyBorder="1"/>
    <xf numFmtId="0" fontId="6" fillId="0" borderId="2" xfId="0" applyFont="1" applyBorder="1" applyAlignment="1">
      <alignment horizontal="center" wrapText="1"/>
    </xf>
    <xf numFmtId="0" fontId="5" fillId="0" borderId="6" xfId="0" applyFont="1" applyBorder="1"/>
    <xf numFmtId="0" fontId="5" fillId="0" borderId="7" xfId="0" applyFont="1" applyBorder="1"/>
    <xf numFmtId="0" fontId="6" fillId="0" borderId="3" xfId="0" applyFont="1" applyBorder="1" applyAlignment="1">
      <alignment horizontal="center" vertical="top" wrapText="1"/>
    </xf>
    <xf numFmtId="0" fontId="5" fillId="0" borderId="4" xfId="0" applyFont="1" applyBorder="1"/>
    <xf numFmtId="0" fontId="5" fillId="0" borderId="5" xfId="0" applyFont="1" applyBorder="1"/>
    <xf numFmtId="0" fontId="6" fillId="0" borderId="2" xfId="0" applyFont="1" applyBorder="1" applyAlignment="1">
      <alignment horizontal="center" vertical="top" wrapText="1"/>
    </xf>
    <xf numFmtId="0" fontId="6" fillId="0" borderId="3" xfId="0" applyFont="1" applyBorder="1" applyAlignment="1">
      <alignment horizontal="left" vertical="top" wrapText="1"/>
    </xf>
    <xf numFmtId="164" fontId="7" fillId="0" borderId="2" xfId="0" applyNumberFormat="1" applyFont="1" applyBorder="1" applyAlignment="1">
      <alignment vertical="center" wrapText="1"/>
    </xf>
    <xf numFmtId="10" fontId="7" fillId="0" borderId="2" xfId="0" applyNumberFormat="1" applyFont="1" applyBorder="1" applyAlignment="1">
      <alignment horizontal="center" vertical="center" wrapText="1"/>
    </xf>
    <xf numFmtId="164" fontId="7" fillId="0" borderId="2" xfId="0" applyNumberFormat="1" applyFont="1" applyBorder="1" applyAlignment="1">
      <alignment horizontal="center" vertical="center" wrapText="1"/>
    </xf>
    <xf numFmtId="164" fontId="7" fillId="0" borderId="9" xfId="0" applyNumberFormat="1" applyFont="1" applyBorder="1" applyAlignment="1">
      <alignment vertical="center" wrapText="1"/>
    </xf>
    <xf numFmtId="0" fontId="5" fillId="0" borderId="10" xfId="0" applyFont="1" applyBorder="1"/>
    <xf numFmtId="0" fontId="4" fillId="0" borderId="0" xfId="0" applyFont="1" applyAlignment="1">
      <alignment horizontal="left" vertical="top" wrapText="1"/>
    </xf>
    <xf numFmtId="0" fontId="0" fillId="0" borderId="0" xfId="0"/>
    <xf numFmtId="0" fontId="6" fillId="0" borderId="3" xfId="0" applyFont="1" applyBorder="1" applyAlignment="1">
      <alignment vertical="top" wrapText="1"/>
    </xf>
    <xf numFmtId="0" fontId="10" fillId="0" borderId="1" xfId="0" applyFont="1" applyBorder="1" applyAlignment="1">
      <alignment horizontal="center" vertical="center" wrapText="1"/>
    </xf>
    <xf numFmtId="0" fontId="10" fillId="0" borderId="0" xfId="0" applyFont="1" applyAlignment="1">
      <alignment horizontal="left" vertical="top" wrapText="1"/>
    </xf>
    <xf numFmtId="0" fontId="8" fillId="0" borderId="0" xfId="0" applyFont="1" applyAlignment="1">
      <alignment horizontal="left" wrapText="1"/>
    </xf>
    <xf numFmtId="0" fontId="7"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1" xfId="0" applyFont="1" applyBorder="1" applyAlignment="1">
      <alignment horizontal="center" vertical="center" wrapText="1"/>
    </xf>
    <xf numFmtId="0" fontId="5" fillId="0" borderId="9" xfId="0" applyFont="1" applyBorder="1"/>
    <xf numFmtId="0" fontId="5" fillId="0" borderId="13" xfId="0" applyFont="1" applyBorder="1"/>
    <xf numFmtId="0" fontId="5" fillId="0" borderId="14" xfId="0" applyFont="1" applyBorder="1"/>
    <xf numFmtId="0" fontId="5" fillId="0" borderId="15" xfId="0" applyFont="1" applyBorder="1"/>
    <xf numFmtId="0" fontId="6" fillId="0" borderId="12" xfId="0" applyFont="1" applyBorder="1" applyAlignment="1">
      <alignment horizontal="center" vertical="center" wrapText="1"/>
    </xf>
    <xf numFmtId="0" fontId="8" fillId="0" borderId="0" xfId="0" applyFont="1" applyAlignment="1">
      <alignment horizontal="left" vertical="top" wrapText="1"/>
    </xf>
    <xf numFmtId="0" fontId="10" fillId="0" borderId="1" xfId="0" applyFont="1" applyBorder="1" applyAlignment="1">
      <alignment horizontal="center" vertical="top" wrapText="1"/>
    </xf>
    <xf numFmtId="0" fontId="0" fillId="0" borderId="1" xfId="0" applyBorder="1" applyAlignment="1">
      <alignment vertical="top"/>
    </xf>
    <xf numFmtId="0" fontId="10" fillId="0" borderId="0" xfId="0" applyFont="1" applyAlignment="1">
      <alignment vertical="top" wrapText="1"/>
    </xf>
    <xf numFmtId="0" fontId="8" fillId="0" borderId="0" xfId="0" applyFont="1" applyAlignment="1">
      <alignment horizontal="center"/>
    </xf>
    <xf numFmtId="0" fontId="7" fillId="0" borderId="0" xfId="0" applyFont="1" applyAlignment="1">
      <alignment horizontal="left" vertical="top" wrapText="1"/>
    </xf>
    <xf numFmtId="0" fontId="6" fillId="0" borderId="3" xfId="0" applyFont="1" applyBorder="1" applyAlignment="1">
      <alignment horizontal="center" vertical="center" wrapText="1"/>
    </xf>
    <xf numFmtId="164" fontId="7" fillId="0" borderId="0" xfId="0" applyNumberFormat="1" applyFont="1" applyAlignment="1">
      <alignment vertical="center" wrapText="1"/>
    </xf>
    <xf numFmtId="0" fontId="6" fillId="2" borderId="0" xfId="1" applyFont="1" applyFill="1" applyAlignment="1">
      <alignment horizontal="left" vertical="center" wrapText="1"/>
    </xf>
    <xf numFmtId="0" fontId="17" fillId="0" borderId="0" xfId="1" applyAlignment="1">
      <alignment horizontal="left" vertical="top" wrapText="1"/>
    </xf>
    <xf numFmtId="0" fontId="11" fillId="0" borderId="0" xfId="1" applyFont="1" applyAlignment="1">
      <alignment horizontal="center"/>
    </xf>
    <xf numFmtId="0" fontId="9" fillId="2" borderId="0" xfId="1" applyFont="1" applyFill="1" applyAlignment="1">
      <alignment horizontal="left" vertical="center" wrapText="1"/>
    </xf>
    <xf numFmtId="0" fontId="4" fillId="0" borderId="0" xfId="1" applyFont="1" applyAlignment="1">
      <alignment horizontal="left" vertical="top" wrapText="1"/>
    </xf>
    <xf numFmtId="0" fontId="7" fillId="0" borderId="0" xfId="1" applyFont="1" applyAlignment="1">
      <alignment horizontal="center" vertical="center" wrapText="1"/>
    </xf>
    <xf numFmtId="0" fontId="6" fillId="0" borderId="1" xfId="1" applyFont="1" applyBorder="1" applyAlignment="1">
      <alignment horizontal="center" vertical="center" wrapText="1"/>
    </xf>
    <xf numFmtId="0" fontId="2" fillId="0" borderId="0" xfId="1" applyFont="1" applyAlignment="1">
      <alignment horizontal="center"/>
    </xf>
    <xf numFmtId="0" fontId="17" fillId="0" borderId="0" xfId="1" applyAlignment="1">
      <alignment horizontal="center"/>
    </xf>
    <xf numFmtId="0" fontId="5" fillId="0" borderId="0" xfId="0" applyFont="1"/>
    <xf numFmtId="0" fontId="24" fillId="0" borderId="0" xfId="2" applyFont="1" applyAlignment="1">
      <alignment horizontal="center" wrapText="1"/>
    </xf>
    <xf numFmtId="0" fontId="25" fillId="0" borderId="1" xfId="2" applyFont="1" applyBorder="1" applyAlignment="1">
      <alignment horizontal="center" vertical="center" wrapText="1"/>
    </xf>
    <xf numFmtId="0" fontId="24" fillId="0" borderId="1" xfId="2" applyFont="1" applyBorder="1" applyAlignment="1">
      <alignment horizontal="center" vertical="center"/>
    </xf>
    <xf numFmtId="0" fontId="11" fillId="0" borderId="0" xfId="2" applyFont="1" applyAlignment="1">
      <alignment horizontal="left" vertical="center" wrapText="1"/>
    </xf>
    <xf numFmtId="0" fontId="22" fillId="0" borderId="0" xfId="2" applyFont="1" applyAlignment="1">
      <alignment horizontal="left" vertical="top" wrapText="1"/>
    </xf>
    <xf numFmtId="0" fontId="22" fillId="0" borderId="0" xfId="2" applyFont="1" applyAlignment="1">
      <alignment horizontal="left" vertical="top"/>
    </xf>
    <xf numFmtId="0" fontId="10" fillId="0" borderId="0" xfId="1" applyFont="1" applyAlignment="1">
      <alignment horizontal="center" vertical="center" wrapText="1"/>
    </xf>
    <xf numFmtId="0" fontId="11" fillId="0" borderId="17" xfId="1" applyFont="1" applyBorder="1" applyAlignment="1">
      <alignment horizontal="center" vertical="center" wrapText="1"/>
    </xf>
    <xf numFmtId="0" fontId="10" fillId="0" borderId="17" xfId="1" applyFont="1" applyBorder="1" applyAlignment="1">
      <alignment horizontal="center" vertical="center" wrapText="1"/>
    </xf>
    <xf numFmtId="0" fontId="11" fillId="3" borderId="0" xfId="1" applyFont="1" applyFill="1" applyAlignment="1">
      <alignment horizontal="left"/>
    </xf>
    <xf numFmtId="0" fontId="6" fillId="0" borderId="0" xfId="1" applyFont="1" applyAlignment="1">
      <alignment horizontal="center" vertical="top" wrapText="1"/>
    </xf>
    <xf numFmtId="0" fontId="6" fillId="3" borderId="0" xfId="1" applyFont="1" applyFill="1" applyAlignment="1">
      <alignment horizontal="left"/>
    </xf>
    <xf numFmtId="0" fontId="10" fillId="0" borderId="0" xfId="1" applyFont="1" applyAlignment="1">
      <alignment horizontal="left" vertical="top" wrapText="1"/>
    </xf>
  </cellXfs>
  <cellStyles count="5">
    <cellStyle name="Обычный" xfId="0" builtinId="0"/>
    <cellStyle name="Обычный 2" xfId="1" xr:uid="{00000000-0005-0000-0000-000001000000}"/>
    <cellStyle name="Обычный 3" xfId="2" xr:uid="{00000000-0005-0000-0000-000002000000}"/>
    <cellStyle name="Процентный" xfId="4" builtinId="5"/>
    <cellStyle name="Процентный 2"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28575</xdr:rowOff>
    </xdr:from>
    <xdr:ext cx="5857875" cy="9010650"/>
    <xdr:pic>
      <xdr:nvPicPr>
        <xdr:cNvPr id="2" name="image3.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304800</xdr:colOff>
      <xdr:row>45</xdr:row>
      <xdr:rowOff>123825</xdr:rowOff>
    </xdr:from>
    <xdr:ext cx="5715000" cy="7743825"/>
    <xdr:pic>
      <xdr:nvPicPr>
        <xdr:cNvPr id="3" name="image1.png">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361950</xdr:colOff>
      <xdr:row>0</xdr:row>
      <xdr:rowOff>9525</xdr:rowOff>
    </xdr:from>
    <xdr:ext cx="5629275" cy="9267825"/>
    <xdr:pic>
      <xdr:nvPicPr>
        <xdr:cNvPr id="4" name="image2.png">
          <a:extLst>
            <a:ext uri="{FF2B5EF4-FFF2-40B4-BE49-F238E27FC236}">
              <a16:creationId xmlns:a16="http://schemas.microsoft.com/office/drawing/2014/main" id="{00000000-0008-0000-0A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00"/>
  <sheetViews>
    <sheetView showGridLines="0" tabSelected="1" workbookViewId="0">
      <selection activeCell="B10" sqref="B10"/>
    </sheetView>
  </sheetViews>
  <sheetFormatPr defaultColWidth="14.42578125" defaultRowHeight="15" customHeight="1" x14ac:dyDescent="0.25"/>
  <cols>
    <col min="1" max="1" width="8.7109375" customWidth="1"/>
    <col min="2" max="2" width="69.85546875" customWidth="1"/>
    <col min="3" max="26" width="8.7109375" customWidth="1"/>
  </cols>
  <sheetData>
    <row r="3" spans="2:2" ht="121.5" customHeight="1" x14ac:dyDescent="0.25">
      <c r="B3" s="1" t="s">
        <v>206</v>
      </c>
    </row>
    <row r="4" spans="2:2" ht="20.25" x14ac:dyDescent="0.25">
      <c r="B4" s="2" t="s">
        <v>209</v>
      </c>
    </row>
    <row r="5" spans="2:2" ht="20.25" x14ac:dyDescent="0.25">
      <c r="B5" s="2" t="s">
        <v>208</v>
      </c>
    </row>
    <row r="6" spans="2:2" ht="15" customHeight="1" x14ac:dyDescent="0.25">
      <c r="B6" s="2" t="s">
        <v>207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001"/>
  <sheetViews>
    <sheetView showGridLines="0" zoomScale="55" zoomScaleNormal="55" workbookViewId="0">
      <selection activeCell="N31" sqref="N31"/>
    </sheetView>
  </sheetViews>
  <sheetFormatPr defaultColWidth="14.42578125" defaultRowHeight="15" customHeight="1" x14ac:dyDescent="0.25"/>
  <cols>
    <col min="1" max="1" width="8.7109375" style="50" customWidth="1"/>
    <col min="2" max="2" width="4.42578125" style="50" customWidth="1"/>
    <col min="3" max="3" width="29.7109375" style="50" customWidth="1"/>
    <col min="4" max="4" width="26" style="50" customWidth="1"/>
    <col min="5" max="5" width="14.7109375" style="50" customWidth="1"/>
    <col min="6" max="6" width="16.42578125" style="50" customWidth="1"/>
    <col min="7" max="7" width="58.42578125" style="50" customWidth="1"/>
    <col min="8" max="10" width="8.7109375" style="50" customWidth="1"/>
    <col min="11" max="11" width="20.85546875" style="50" customWidth="1"/>
    <col min="12" max="12" width="16.85546875" style="50" customWidth="1"/>
    <col min="13" max="14" width="8.7109375" style="50" customWidth="1"/>
    <col min="15" max="15" width="19.42578125" style="50" customWidth="1"/>
    <col min="16" max="16" width="19" style="50" customWidth="1"/>
    <col min="17" max="26" width="8.7109375" style="50" customWidth="1"/>
    <col min="27" max="16384" width="14.42578125" style="50"/>
  </cols>
  <sheetData>
    <row r="1" spans="2:16" ht="45.75" customHeight="1" x14ac:dyDescent="0.25">
      <c r="B1" s="134" t="s">
        <v>166</v>
      </c>
      <c r="C1" s="134"/>
      <c r="D1" s="134"/>
      <c r="E1" s="134"/>
      <c r="F1" s="134"/>
      <c r="G1" s="134"/>
    </row>
    <row r="2" spans="2:16" ht="48" customHeight="1" x14ac:dyDescent="0.25">
      <c r="B2" s="135" t="s">
        <v>165</v>
      </c>
      <c r="C2" s="135"/>
      <c r="D2" s="135"/>
      <c r="E2" s="135"/>
      <c r="F2" s="135"/>
      <c r="G2" s="135"/>
    </row>
    <row r="3" spans="2:16" ht="31.5" x14ac:dyDescent="0.25">
      <c r="B3" s="56" t="s">
        <v>131</v>
      </c>
      <c r="C3" s="56" t="s">
        <v>38</v>
      </c>
      <c r="D3" s="56" t="s">
        <v>132</v>
      </c>
      <c r="E3" s="56" t="s">
        <v>50</v>
      </c>
      <c r="F3" s="56" t="s">
        <v>51</v>
      </c>
      <c r="G3" s="56" t="s">
        <v>133</v>
      </c>
      <c r="K3" s="136"/>
      <c r="L3" s="137"/>
    </row>
    <row r="4" spans="2:16" ht="158.25" customHeight="1" x14ac:dyDescent="0.25">
      <c r="B4" s="51">
        <v>1</v>
      </c>
      <c r="C4" s="51" t="s">
        <v>134</v>
      </c>
      <c r="D4" s="52" t="s">
        <v>135</v>
      </c>
      <c r="E4" s="38">
        <f>269030134/686703107</f>
        <v>0.39177066662085164</v>
      </c>
      <c r="F4" s="38">
        <f>192278595/686703107</f>
        <v>0.28000251206086357</v>
      </c>
      <c r="G4" s="54" t="s">
        <v>136</v>
      </c>
      <c r="I4" s="55"/>
      <c r="K4" s="37"/>
      <c r="L4" s="37"/>
    </row>
    <row r="5" spans="2:16" ht="183" customHeight="1" x14ac:dyDescent="0.25">
      <c r="B5" s="51">
        <v>2</v>
      </c>
      <c r="C5" s="52" t="s">
        <v>137</v>
      </c>
      <c r="D5" s="52" t="s">
        <v>138</v>
      </c>
      <c r="E5" s="53">
        <f>365/E4</f>
        <v>931.66750626901887</v>
      </c>
      <c r="F5" s="53">
        <f>365/F4</f>
        <v>1303.5597334950362</v>
      </c>
      <c r="G5" s="51"/>
      <c r="K5" s="57"/>
      <c r="L5" s="58"/>
      <c r="O5" s="37"/>
      <c r="P5" s="37"/>
    </row>
    <row r="6" spans="2:16" ht="176.25" customHeight="1" x14ac:dyDescent="0.25">
      <c r="B6" s="51">
        <v>3</v>
      </c>
      <c r="C6" s="52" t="s">
        <v>139</v>
      </c>
      <c r="D6" s="52" t="s">
        <v>140</v>
      </c>
      <c r="E6" s="38">
        <f>269030134/290317082.5</f>
        <v>0.92667689990305691</v>
      </c>
      <c r="F6" s="38">
        <f>192278595/290317082.5</f>
        <v>0.66230548111132936</v>
      </c>
      <c r="G6" s="54" t="s">
        <v>141</v>
      </c>
      <c r="K6" s="59"/>
    </row>
    <row r="7" spans="2:16" ht="156.75" customHeight="1" x14ac:dyDescent="0.25">
      <c r="B7" s="51">
        <v>4</v>
      </c>
      <c r="C7" s="52" t="s">
        <v>142</v>
      </c>
      <c r="D7" s="52" t="s">
        <v>143</v>
      </c>
      <c r="E7" s="53">
        <f>365/E6</f>
        <v>393.88054243953206</v>
      </c>
      <c r="F7" s="53">
        <f>365/F6</f>
        <v>551.10520810961827</v>
      </c>
      <c r="G7" s="51"/>
      <c r="K7" s="128"/>
      <c r="L7" s="128"/>
    </row>
    <row r="8" spans="2:16" ht="183.75" customHeight="1" x14ac:dyDescent="0.25">
      <c r="B8" s="51">
        <v>5</v>
      </c>
      <c r="C8" s="52" t="s">
        <v>144</v>
      </c>
      <c r="D8" s="52" t="s">
        <v>145</v>
      </c>
      <c r="E8" s="53">
        <f>153630782/159442552</f>
        <v>0.96354944193316727</v>
      </c>
      <c r="F8" s="53">
        <f>133799567/159442552</f>
        <v>0.83917100749867579</v>
      </c>
      <c r="G8" s="54" t="s">
        <v>146</v>
      </c>
      <c r="K8" s="138"/>
      <c r="L8" s="138"/>
    </row>
    <row r="9" spans="2:16" ht="87.75" customHeight="1" x14ac:dyDescent="0.25">
      <c r="B9" s="51">
        <v>6</v>
      </c>
      <c r="C9" s="52" t="s">
        <v>147</v>
      </c>
      <c r="D9" s="52" t="s">
        <v>148</v>
      </c>
      <c r="E9" s="53">
        <f>365/E8</f>
        <v>378.80775403460484</v>
      </c>
      <c r="F9" s="53">
        <f>365/F8</f>
        <v>434.95306288995687</v>
      </c>
      <c r="G9" s="54"/>
    </row>
    <row r="10" spans="2:16" ht="86.25" customHeight="1" x14ac:dyDescent="0.25">
      <c r="B10" s="51">
        <v>7</v>
      </c>
      <c r="C10" s="52" t="s">
        <v>149</v>
      </c>
      <c r="D10" s="52" t="s">
        <v>150</v>
      </c>
      <c r="E10" s="38">
        <f>269030134/54042785</f>
        <v>4.9780952998628774</v>
      </c>
      <c r="F10" s="38">
        <f>192278595/54042785</f>
        <v>3.5578957487109517</v>
      </c>
      <c r="G10" s="54"/>
      <c r="K10" s="59"/>
    </row>
    <row r="11" spans="2:16" ht="84" customHeight="1" x14ac:dyDescent="0.25">
      <c r="B11" s="51">
        <v>8</v>
      </c>
      <c r="C11" s="52" t="s">
        <v>151</v>
      </c>
      <c r="D11" s="52" t="s">
        <v>152</v>
      </c>
      <c r="E11" s="53">
        <f>365/E10</f>
        <v>73.321215849373957</v>
      </c>
      <c r="F11" s="53">
        <f>365/F10</f>
        <v>102.58872822011207</v>
      </c>
      <c r="G11" s="54"/>
      <c r="K11" s="60"/>
      <c r="L11" s="60"/>
    </row>
    <row r="12" spans="2:16" ht="126.75" customHeight="1" x14ac:dyDescent="0.25">
      <c r="B12" s="51">
        <v>9</v>
      </c>
      <c r="C12" s="52" t="s">
        <v>153</v>
      </c>
      <c r="D12" s="52" t="s">
        <v>154</v>
      </c>
      <c r="E12" s="38">
        <f>269030134/50856189</f>
        <v>5.2900175827174154</v>
      </c>
      <c r="F12" s="38">
        <f>192278595/50856189</f>
        <v>3.7808298022488471</v>
      </c>
      <c r="G12" s="54"/>
      <c r="K12" s="59"/>
    </row>
    <row r="13" spans="2:16" ht="89.25" customHeight="1" x14ac:dyDescent="0.25">
      <c r="B13" s="51">
        <v>10</v>
      </c>
      <c r="C13" s="52" t="s">
        <v>155</v>
      </c>
      <c r="D13" s="52" t="s">
        <v>156</v>
      </c>
      <c r="E13" s="53">
        <f>365/E12</f>
        <v>68.997880308084746</v>
      </c>
      <c r="F13" s="53">
        <f>365/F12</f>
        <v>96.539653750850434</v>
      </c>
      <c r="G13" s="54"/>
      <c r="K13" s="128"/>
      <c r="L13" s="128"/>
    </row>
    <row r="14" spans="2:16" ht="101.25" customHeight="1" x14ac:dyDescent="0.25">
      <c r="B14" s="52">
        <v>11</v>
      </c>
      <c r="C14" s="52" t="s">
        <v>157</v>
      </c>
      <c r="D14" s="52" t="s">
        <v>158</v>
      </c>
      <c r="E14" s="53">
        <f>153630782/26294044</f>
        <v>5.842797783406767</v>
      </c>
      <c r="F14" s="53">
        <f>133799567/26294044</f>
        <v>5.0885883890663601</v>
      </c>
      <c r="G14" s="54"/>
      <c r="K14" s="138"/>
      <c r="L14" s="138"/>
    </row>
    <row r="15" spans="2:16" ht="100.5" customHeight="1" x14ac:dyDescent="0.25">
      <c r="B15" s="52">
        <v>12</v>
      </c>
      <c r="C15" s="52" t="s">
        <v>159</v>
      </c>
      <c r="D15" s="52" t="s">
        <v>160</v>
      </c>
      <c r="E15" s="53">
        <f>365/E14</f>
        <v>62.470072306212693</v>
      </c>
      <c r="F15" s="53">
        <f>365/F14</f>
        <v>71.729126447770952</v>
      </c>
      <c r="G15" s="54"/>
    </row>
    <row r="16" spans="2:16" ht="102.75" customHeight="1" x14ac:dyDescent="0.25">
      <c r="B16" s="52">
        <v>13</v>
      </c>
      <c r="C16" s="52" t="s">
        <v>161</v>
      </c>
      <c r="D16" s="52" t="s">
        <v>162</v>
      </c>
      <c r="E16" s="38">
        <f>269030134/14259619</f>
        <v>18.866572381772613</v>
      </c>
      <c r="F16" s="38">
        <f>192278595/14259619</f>
        <v>13.484132710698653</v>
      </c>
      <c r="G16" s="54"/>
    </row>
    <row r="17" spans="2:12" ht="104.25" customHeight="1" x14ac:dyDescent="0.25">
      <c r="B17" s="52">
        <v>14</v>
      </c>
      <c r="C17" s="52" t="s">
        <v>163</v>
      </c>
      <c r="D17" s="52" t="s">
        <v>164</v>
      </c>
      <c r="E17" s="53">
        <f>365/E16</f>
        <v>19.346386434911413</v>
      </c>
      <c r="F17" s="53">
        <f>365/F16</f>
        <v>27.068852541802688</v>
      </c>
      <c r="G17" s="54"/>
    </row>
    <row r="18" spans="2:12" ht="15" customHeight="1" x14ac:dyDescent="0.25">
      <c r="K18" s="59"/>
    </row>
    <row r="19" spans="2:12" ht="19.5" customHeight="1" x14ac:dyDescent="0.25">
      <c r="B19" s="132" t="s">
        <v>35</v>
      </c>
      <c r="C19" s="132"/>
      <c r="D19" s="132"/>
      <c r="E19" s="132"/>
      <c r="F19" s="132"/>
      <c r="G19" s="132"/>
      <c r="K19" s="37"/>
      <c r="L19" s="37"/>
    </row>
    <row r="20" spans="2:12" ht="15" customHeight="1" x14ac:dyDescent="0.25">
      <c r="B20" s="133" t="s">
        <v>167</v>
      </c>
      <c r="C20" s="133"/>
      <c r="D20" s="133"/>
      <c r="E20" s="133"/>
      <c r="F20" s="133"/>
      <c r="G20" s="133"/>
    </row>
    <row r="21" spans="2:12" ht="15" customHeight="1" x14ac:dyDescent="0.25">
      <c r="B21" s="133"/>
      <c r="C21" s="133"/>
      <c r="D21" s="133"/>
      <c r="E21" s="133"/>
      <c r="F21" s="133"/>
      <c r="G21" s="133"/>
      <c r="K21" s="59"/>
    </row>
    <row r="22" spans="2:12" ht="15.75" customHeight="1" x14ac:dyDescent="0.25">
      <c r="B22" s="133"/>
      <c r="C22" s="133"/>
      <c r="D22" s="133"/>
      <c r="E22" s="133"/>
      <c r="F22" s="133"/>
      <c r="G22" s="133"/>
    </row>
    <row r="23" spans="2:12" ht="15.75" customHeight="1" x14ac:dyDescent="0.25">
      <c r="B23" s="133"/>
      <c r="C23" s="133"/>
      <c r="D23" s="133"/>
      <c r="E23" s="133"/>
      <c r="F23" s="133"/>
      <c r="G23" s="133"/>
    </row>
    <row r="24" spans="2:12" ht="15.75" customHeight="1" x14ac:dyDescent="0.25">
      <c r="B24" s="133"/>
      <c r="C24" s="133"/>
      <c r="D24" s="133"/>
      <c r="E24" s="133"/>
      <c r="F24" s="133"/>
      <c r="G24" s="133"/>
      <c r="K24" s="59"/>
    </row>
    <row r="25" spans="2:12" ht="15.75" customHeight="1" x14ac:dyDescent="0.25">
      <c r="B25" s="133"/>
      <c r="C25" s="133"/>
      <c r="D25" s="133"/>
      <c r="E25" s="133"/>
      <c r="F25" s="133"/>
      <c r="G25" s="133"/>
      <c r="K25" s="37"/>
      <c r="L25" s="61"/>
    </row>
    <row r="26" spans="2:12" ht="15.75" customHeight="1" x14ac:dyDescent="0.25">
      <c r="B26" s="133"/>
      <c r="C26" s="133"/>
      <c r="D26" s="133"/>
      <c r="E26" s="133"/>
      <c r="F26" s="133"/>
      <c r="G26" s="133"/>
    </row>
    <row r="27" spans="2:12" ht="15.75" customHeight="1" x14ac:dyDescent="0.25">
      <c r="B27" s="133"/>
      <c r="C27" s="133"/>
      <c r="D27" s="133"/>
      <c r="E27" s="133"/>
      <c r="F27" s="133"/>
      <c r="G27" s="133"/>
    </row>
    <row r="28" spans="2:12" ht="15.75" customHeight="1" x14ac:dyDescent="0.25">
      <c r="B28" s="133"/>
      <c r="C28" s="133"/>
      <c r="D28" s="133"/>
      <c r="E28" s="133"/>
      <c r="F28" s="133"/>
      <c r="G28" s="133"/>
    </row>
    <row r="29" spans="2:12" ht="15.75" customHeight="1" x14ac:dyDescent="0.25">
      <c r="B29" s="133"/>
      <c r="C29" s="133"/>
      <c r="D29" s="133"/>
      <c r="E29" s="133"/>
      <c r="F29" s="133"/>
      <c r="G29" s="133"/>
    </row>
    <row r="30" spans="2:12" ht="15.75" customHeight="1" x14ac:dyDescent="0.25">
      <c r="B30" s="133"/>
      <c r="C30" s="133"/>
      <c r="D30" s="133"/>
      <c r="E30" s="133"/>
      <c r="F30" s="133"/>
      <c r="G30" s="133"/>
      <c r="K30" s="59"/>
    </row>
    <row r="31" spans="2:12" ht="15.75" customHeight="1" x14ac:dyDescent="0.25">
      <c r="B31" s="133"/>
      <c r="C31" s="133"/>
      <c r="D31" s="133"/>
      <c r="E31" s="133"/>
      <c r="F31" s="133"/>
      <c r="G31" s="133"/>
      <c r="K31" s="37"/>
      <c r="L31" s="37"/>
    </row>
    <row r="32" spans="2:12" ht="15.75" customHeight="1" x14ac:dyDescent="0.25">
      <c r="B32" s="133"/>
      <c r="C32" s="133"/>
      <c r="D32" s="133"/>
      <c r="E32" s="133"/>
      <c r="F32" s="133"/>
      <c r="G32" s="133"/>
    </row>
    <row r="33" spans="2:12" ht="15.75" customHeight="1" x14ac:dyDescent="0.25">
      <c r="B33" s="133"/>
      <c r="C33" s="133"/>
      <c r="D33" s="133"/>
      <c r="E33" s="133"/>
      <c r="F33" s="133"/>
      <c r="G33" s="133"/>
    </row>
    <row r="34" spans="2:12" ht="15.75" customHeight="1" x14ac:dyDescent="0.25">
      <c r="B34" s="133"/>
      <c r="C34" s="133"/>
      <c r="D34" s="133"/>
      <c r="E34" s="133"/>
      <c r="F34" s="133"/>
      <c r="G34" s="133"/>
    </row>
    <row r="35" spans="2:12" ht="15.75" customHeight="1" x14ac:dyDescent="0.25">
      <c r="B35" s="133"/>
      <c r="C35" s="133"/>
      <c r="D35" s="133"/>
      <c r="E35" s="133"/>
      <c r="F35" s="133"/>
      <c r="G35" s="133"/>
    </row>
    <row r="36" spans="2:12" ht="15.75" customHeight="1" x14ac:dyDescent="0.25">
      <c r="B36" s="133"/>
      <c r="C36" s="133"/>
      <c r="D36" s="133"/>
      <c r="E36" s="133"/>
      <c r="F36" s="133"/>
      <c r="G36" s="133"/>
      <c r="K36" s="37"/>
      <c r="L36" s="37"/>
    </row>
    <row r="37" spans="2:12" ht="15.75" customHeight="1" x14ac:dyDescent="0.25">
      <c r="B37" s="133"/>
      <c r="C37" s="133"/>
      <c r="D37" s="133"/>
      <c r="E37" s="133"/>
      <c r="F37" s="133"/>
      <c r="G37" s="133"/>
    </row>
    <row r="38" spans="2:12" ht="15.75" customHeight="1" x14ac:dyDescent="0.25">
      <c r="B38" s="133"/>
      <c r="C38" s="133"/>
      <c r="D38" s="133"/>
      <c r="E38" s="133"/>
      <c r="F38" s="133"/>
      <c r="G38" s="133"/>
    </row>
    <row r="39" spans="2:12" ht="15.75" customHeight="1" x14ac:dyDescent="0.25">
      <c r="B39" s="133"/>
      <c r="C39" s="133"/>
      <c r="D39" s="133"/>
      <c r="E39" s="133"/>
      <c r="F39" s="133"/>
      <c r="G39" s="133"/>
    </row>
    <row r="40" spans="2:12" ht="15.75" customHeight="1" x14ac:dyDescent="0.25">
      <c r="B40" s="133"/>
      <c r="C40" s="133"/>
      <c r="D40" s="133"/>
      <c r="E40" s="133"/>
      <c r="F40" s="133"/>
      <c r="G40" s="133"/>
    </row>
    <row r="41" spans="2:12" ht="15.75" customHeight="1" x14ac:dyDescent="0.25">
      <c r="B41" s="133"/>
      <c r="C41" s="133"/>
      <c r="D41" s="133"/>
      <c r="E41" s="133"/>
      <c r="F41" s="133"/>
      <c r="G41" s="133"/>
    </row>
    <row r="42" spans="2:12" ht="15.75" customHeight="1" x14ac:dyDescent="0.25">
      <c r="B42" s="133"/>
      <c r="C42" s="133"/>
      <c r="D42" s="133"/>
      <c r="E42" s="133"/>
      <c r="F42" s="133"/>
      <c r="G42" s="133"/>
    </row>
    <row r="43" spans="2:12" ht="15.75" customHeight="1" x14ac:dyDescent="0.25">
      <c r="B43" s="133"/>
      <c r="C43" s="133"/>
      <c r="D43" s="133"/>
      <c r="E43" s="133"/>
      <c r="F43" s="133"/>
      <c r="G43" s="133"/>
    </row>
    <row r="44" spans="2:12" ht="15.75" customHeight="1" x14ac:dyDescent="0.25">
      <c r="B44" s="133"/>
      <c r="C44" s="133"/>
      <c r="D44" s="133"/>
      <c r="E44" s="133"/>
      <c r="F44" s="133"/>
      <c r="G44" s="133"/>
    </row>
    <row r="45" spans="2:12" ht="15.75" customHeight="1" x14ac:dyDescent="0.25">
      <c r="B45" s="133"/>
      <c r="C45" s="133"/>
      <c r="D45" s="133"/>
      <c r="E45" s="133"/>
      <c r="F45" s="133"/>
      <c r="G45" s="133"/>
    </row>
    <row r="46" spans="2:12" ht="15.75" customHeight="1" x14ac:dyDescent="0.25">
      <c r="B46" s="133"/>
      <c r="C46" s="133"/>
      <c r="D46" s="133"/>
      <c r="E46" s="133"/>
      <c r="F46" s="133"/>
      <c r="G46" s="133"/>
    </row>
    <row r="47" spans="2:12" ht="15.75" customHeight="1" x14ac:dyDescent="0.25">
      <c r="B47" s="133"/>
      <c r="C47" s="133"/>
      <c r="D47" s="133"/>
      <c r="E47" s="133"/>
      <c r="F47" s="133"/>
      <c r="G47" s="133"/>
    </row>
    <row r="48" spans="2:12" ht="15.75" customHeight="1" x14ac:dyDescent="0.25">
      <c r="B48" s="133"/>
      <c r="C48" s="133"/>
      <c r="D48" s="133"/>
      <c r="E48" s="133"/>
      <c r="F48" s="133"/>
      <c r="G48" s="133"/>
    </row>
    <row r="49" spans="2:7" ht="15.75" customHeight="1" x14ac:dyDescent="0.25">
      <c r="B49" s="133"/>
      <c r="C49" s="133"/>
      <c r="D49" s="133"/>
      <c r="E49" s="133"/>
      <c r="F49" s="133"/>
      <c r="G49" s="133"/>
    </row>
    <row r="50" spans="2:7" ht="15.75" customHeight="1" x14ac:dyDescent="0.25">
      <c r="B50" s="133"/>
      <c r="C50" s="133"/>
      <c r="D50" s="133"/>
      <c r="E50" s="133"/>
      <c r="F50" s="133"/>
      <c r="G50" s="133"/>
    </row>
    <row r="51" spans="2:7" ht="15.75" customHeight="1" x14ac:dyDescent="0.25">
      <c r="B51" s="133"/>
      <c r="C51" s="133"/>
      <c r="D51" s="133"/>
      <c r="E51" s="133"/>
      <c r="F51" s="133"/>
      <c r="G51" s="133"/>
    </row>
    <row r="52" spans="2:7" ht="15.75" customHeight="1" x14ac:dyDescent="0.25">
      <c r="B52" s="133"/>
      <c r="C52" s="133"/>
      <c r="D52" s="133"/>
      <c r="E52" s="133"/>
      <c r="F52" s="133"/>
      <c r="G52" s="133"/>
    </row>
    <row r="53" spans="2:7" ht="15.75" customHeight="1" x14ac:dyDescent="0.25">
      <c r="B53" s="133"/>
      <c r="C53" s="133"/>
      <c r="D53" s="133"/>
      <c r="E53" s="133"/>
      <c r="F53" s="133"/>
      <c r="G53" s="133"/>
    </row>
    <row r="54" spans="2:7" ht="15.75" customHeight="1" x14ac:dyDescent="0.25">
      <c r="B54" s="133"/>
      <c r="C54" s="133"/>
      <c r="D54" s="133"/>
      <c r="E54" s="133"/>
      <c r="F54" s="133"/>
      <c r="G54" s="133"/>
    </row>
    <row r="55" spans="2:7" ht="15.75" customHeight="1" x14ac:dyDescent="0.25">
      <c r="B55" s="133"/>
      <c r="C55" s="133"/>
      <c r="D55" s="133"/>
      <c r="E55" s="133"/>
      <c r="F55" s="133"/>
      <c r="G55" s="133"/>
    </row>
    <row r="56" spans="2:7" ht="15.75" customHeight="1" x14ac:dyDescent="0.25">
      <c r="B56" s="133"/>
      <c r="C56" s="133"/>
      <c r="D56" s="133"/>
      <c r="E56" s="133"/>
      <c r="F56" s="133"/>
      <c r="G56" s="133"/>
    </row>
    <row r="57" spans="2:7" ht="15.75" customHeight="1" x14ac:dyDescent="0.25">
      <c r="B57" s="133"/>
      <c r="C57" s="133"/>
      <c r="D57" s="133"/>
      <c r="E57" s="133"/>
      <c r="F57" s="133"/>
      <c r="G57" s="133"/>
    </row>
    <row r="58" spans="2:7" ht="15.75" customHeight="1" x14ac:dyDescent="0.25">
      <c r="B58" s="133"/>
      <c r="C58" s="133"/>
      <c r="D58" s="133"/>
      <c r="E58" s="133"/>
      <c r="F58" s="133"/>
      <c r="G58" s="133"/>
    </row>
    <row r="59" spans="2:7" ht="15.75" customHeight="1" x14ac:dyDescent="0.25">
      <c r="B59" s="133"/>
      <c r="C59" s="133"/>
      <c r="D59" s="133"/>
      <c r="E59" s="133"/>
      <c r="F59" s="133"/>
      <c r="G59" s="133"/>
    </row>
    <row r="60" spans="2:7" ht="15.75" customHeight="1" x14ac:dyDescent="0.25">
      <c r="B60" s="133"/>
      <c r="C60" s="133"/>
      <c r="D60" s="133"/>
      <c r="E60" s="133"/>
      <c r="F60" s="133"/>
      <c r="G60" s="133"/>
    </row>
    <row r="61" spans="2:7" ht="15.75" customHeight="1" x14ac:dyDescent="0.25">
      <c r="B61" s="133"/>
      <c r="C61" s="133"/>
      <c r="D61" s="133"/>
      <c r="E61" s="133"/>
      <c r="F61" s="133"/>
      <c r="G61" s="133"/>
    </row>
    <row r="62" spans="2:7" ht="15.75" customHeight="1" x14ac:dyDescent="0.25">
      <c r="B62" s="133"/>
      <c r="C62" s="133"/>
      <c r="D62" s="133"/>
      <c r="E62" s="133"/>
      <c r="F62" s="133"/>
      <c r="G62" s="133"/>
    </row>
    <row r="63" spans="2:7" ht="15.75" customHeight="1" x14ac:dyDescent="0.25">
      <c r="B63" s="133"/>
      <c r="C63" s="133"/>
      <c r="D63" s="133"/>
      <c r="E63" s="133"/>
      <c r="F63" s="133"/>
      <c r="G63" s="133"/>
    </row>
    <row r="64" spans="2:7" ht="15.75" customHeight="1" x14ac:dyDescent="0.25">
      <c r="B64" s="133"/>
      <c r="C64" s="133"/>
      <c r="D64" s="133"/>
      <c r="E64" s="133"/>
      <c r="F64" s="133"/>
      <c r="G64" s="133"/>
    </row>
    <row r="65" spans="2:7" ht="15.75" customHeight="1" x14ac:dyDescent="0.25">
      <c r="B65" s="133"/>
      <c r="C65" s="133"/>
      <c r="D65" s="133"/>
      <c r="E65" s="133"/>
      <c r="F65" s="133"/>
      <c r="G65" s="133"/>
    </row>
    <row r="66" spans="2:7" ht="15.75" customHeight="1" x14ac:dyDescent="0.25">
      <c r="B66" s="133"/>
      <c r="C66" s="133"/>
      <c r="D66" s="133"/>
      <c r="E66" s="133"/>
      <c r="F66" s="133"/>
      <c r="G66" s="133"/>
    </row>
    <row r="67" spans="2:7" ht="15.75" customHeight="1" x14ac:dyDescent="0.25">
      <c r="B67" s="133"/>
      <c r="C67" s="133"/>
      <c r="D67" s="133"/>
      <c r="E67" s="133"/>
      <c r="F67" s="133"/>
      <c r="G67" s="133"/>
    </row>
    <row r="68" spans="2:7" ht="15.75" customHeight="1" x14ac:dyDescent="0.25">
      <c r="B68" s="133"/>
      <c r="C68" s="133"/>
      <c r="D68" s="133"/>
      <c r="E68" s="133"/>
      <c r="F68" s="133"/>
      <c r="G68" s="133"/>
    </row>
    <row r="69" spans="2:7" ht="15.75" customHeight="1" x14ac:dyDescent="0.25">
      <c r="B69" s="133"/>
      <c r="C69" s="133"/>
      <c r="D69" s="133"/>
      <c r="E69" s="133"/>
      <c r="F69" s="133"/>
      <c r="G69" s="133"/>
    </row>
    <row r="70" spans="2:7" ht="15.75" customHeight="1" x14ac:dyDescent="0.25">
      <c r="B70" s="133"/>
      <c r="C70" s="133"/>
      <c r="D70" s="133"/>
      <c r="E70" s="133"/>
      <c r="F70" s="133"/>
      <c r="G70" s="133"/>
    </row>
    <row r="71" spans="2:7" ht="15.75" customHeight="1" x14ac:dyDescent="0.25">
      <c r="B71" s="133"/>
      <c r="C71" s="133"/>
      <c r="D71" s="133"/>
      <c r="E71" s="133"/>
      <c r="F71" s="133"/>
      <c r="G71" s="133"/>
    </row>
    <row r="72" spans="2:7" ht="15.75" customHeight="1" x14ac:dyDescent="0.25">
      <c r="B72" s="133"/>
      <c r="C72" s="133"/>
      <c r="D72" s="133"/>
      <c r="E72" s="133"/>
      <c r="F72" s="133"/>
      <c r="G72" s="133"/>
    </row>
    <row r="73" spans="2:7" ht="15.75" customHeight="1" x14ac:dyDescent="0.25">
      <c r="B73" s="133"/>
      <c r="C73" s="133"/>
      <c r="D73" s="133"/>
      <c r="E73" s="133"/>
      <c r="F73" s="133"/>
      <c r="G73" s="133"/>
    </row>
    <row r="74" spans="2:7" ht="15.75" customHeight="1" x14ac:dyDescent="0.25">
      <c r="B74" s="133"/>
      <c r="C74" s="133"/>
      <c r="D74" s="133"/>
      <c r="E74" s="133"/>
      <c r="F74" s="133"/>
      <c r="G74" s="133"/>
    </row>
    <row r="75" spans="2:7" ht="15.75" customHeight="1" x14ac:dyDescent="0.25">
      <c r="B75" s="133"/>
      <c r="C75" s="133"/>
      <c r="D75" s="133"/>
      <c r="E75" s="133"/>
      <c r="F75" s="133"/>
      <c r="G75" s="133"/>
    </row>
    <row r="76" spans="2:7" ht="15.75" customHeight="1" x14ac:dyDescent="0.25">
      <c r="B76" s="133"/>
      <c r="C76" s="133"/>
      <c r="D76" s="133"/>
      <c r="E76" s="133"/>
      <c r="F76" s="133"/>
      <c r="G76" s="133"/>
    </row>
    <row r="77" spans="2:7" ht="15.75" customHeight="1" x14ac:dyDescent="0.25">
      <c r="B77" s="133"/>
      <c r="C77" s="133"/>
      <c r="D77" s="133"/>
      <c r="E77" s="133"/>
      <c r="F77" s="133"/>
      <c r="G77" s="133"/>
    </row>
    <row r="78" spans="2:7" ht="15.75" customHeight="1" x14ac:dyDescent="0.25">
      <c r="B78" s="133"/>
      <c r="C78" s="133"/>
      <c r="D78" s="133"/>
      <c r="E78" s="133"/>
      <c r="F78" s="133"/>
      <c r="G78" s="133"/>
    </row>
    <row r="79" spans="2:7" ht="15.75" customHeight="1" x14ac:dyDescent="0.25">
      <c r="B79" s="133"/>
      <c r="C79" s="133"/>
      <c r="D79" s="133"/>
      <c r="E79" s="133"/>
      <c r="F79" s="133"/>
      <c r="G79" s="133"/>
    </row>
    <row r="80" spans="2:7" ht="15.75" customHeight="1" x14ac:dyDescent="0.25">
      <c r="B80" s="133"/>
      <c r="C80" s="133"/>
      <c r="D80" s="133"/>
      <c r="E80" s="133"/>
      <c r="F80" s="133"/>
      <c r="G80" s="133"/>
    </row>
    <row r="81" spans="2:7" ht="15.75" customHeight="1" x14ac:dyDescent="0.25">
      <c r="B81" s="133"/>
      <c r="C81" s="133"/>
      <c r="D81" s="133"/>
      <c r="E81" s="133"/>
      <c r="F81" s="133"/>
      <c r="G81" s="133"/>
    </row>
    <row r="82" spans="2:7" ht="15.75" customHeight="1" x14ac:dyDescent="0.25">
      <c r="B82" s="133"/>
      <c r="C82" s="133"/>
      <c r="D82" s="133"/>
      <c r="E82" s="133"/>
      <c r="F82" s="133"/>
      <c r="G82" s="133"/>
    </row>
    <row r="83" spans="2:7" ht="15.75" customHeight="1" x14ac:dyDescent="0.25">
      <c r="B83" s="133"/>
      <c r="C83" s="133"/>
      <c r="D83" s="133"/>
      <c r="E83" s="133"/>
      <c r="F83" s="133"/>
      <c r="G83" s="133"/>
    </row>
    <row r="84" spans="2:7" ht="15.75" customHeight="1" x14ac:dyDescent="0.25">
      <c r="B84" s="133"/>
      <c r="C84" s="133"/>
      <c r="D84" s="133"/>
      <c r="E84" s="133"/>
      <c r="F84" s="133"/>
      <c r="G84" s="133"/>
    </row>
    <row r="85" spans="2:7" ht="15.75" customHeight="1" x14ac:dyDescent="0.25">
      <c r="B85" s="133"/>
      <c r="C85" s="133"/>
      <c r="D85" s="133"/>
      <c r="E85" s="133"/>
      <c r="F85" s="133"/>
      <c r="G85" s="133"/>
    </row>
    <row r="86" spans="2:7" ht="15.75" customHeight="1" x14ac:dyDescent="0.25">
      <c r="B86" s="133"/>
      <c r="C86" s="133"/>
      <c r="D86" s="133"/>
      <c r="E86" s="133"/>
      <c r="F86" s="133"/>
      <c r="G86" s="133"/>
    </row>
    <row r="87" spans="2:7" ht="15.75" customHeight="1" x14ac:dyDescent="0.25">
      <c r="B87" s="133"/>
      <c r="C87" s="133"/>
      <c r="D87" s="133"/>
      <c r="E87" s="133"/>
      <c r="F87" s="133"/>
      <c r="G87" s="133"/>
    </row>
    <row r="88" spans="2:7" ht="15.75" customHeight="1" x14ac:dyDescent="0.25">
      <c r="B88" s="133"/>
      <c r="C88" s="133"/>
      <c r="D88" s="133"/>
      <c r="E88" s="133"/>
      <c r="F88" s="133"/>
      <c r="G88" s="133"/>
    </row>
    <row r="89" spans="2:7" ht="15.75" customHeight="1" x14ac:dyDescent="0.25">
      <c r="B89" s="133"/>
      <c r="C89" s="133"/>
      <c r="D89" s="133"/>
      <c r="E89" s="133"/>
      <c r="F89" s="133"/>
      <c r="G89" s="133"/>
    </row>
    <row r="90" spans="2:7" ht="15.75" customHeight="1" x14ac:dyDescent="0.25">
      <c r="B90" s="133"/>
      <c r="C90" s="133"/>
      <c r="D90" s="133"/>
      <c r="E90" s="133"/>
      <c r="F90" s="133"/>
      <c r="G90" s="133"/>
    </row>
    <row r="91" spans="2:7" ht="15.75" customHeight="1" x14ac:dyDescent="0.25">
      <c r="B91" s="133"/>
      <c r="C91" s="133"/>
      <c r="D91" s="133"/>
      <c r="E91" s="133"/>
      <c r="F91" s="133"/>
      <c r="G91" s="133"/>
    </row>
    <row r="92" spans="2:7" ht="15.75" customHeight="1" x14ac:dyDescent="0.25">
      <c r="B92" s="133"/>
      <c r="C92" s="133"/>
      <c r="D92" s="133"/>
      <c r="E92" s="133"/>
      <c r="F92" s="133"/>
      <c r="G92" s="133"/>
    </row>
    <row r="93" spans="2:7" ht="15.75" customHeight="1" x14ac:dyDescent="0.25">
      <c r="B93" s="133"/>
      <c r="C93" s="133"/>
      <c r="D93" s="133"/>
      <c r="E93" s="133"/>
      <c r="F93" s="133"/>
      <c r="G93" s="133"/>
    </row>
    <row r="94" spans="2:7" ht="15.75" customHeight="1" x14ac:dyDescent="0.25">
      <c r="B94" s="133"/>
      <c r="C94" s="133"/>
      <c r="D94" s="133"/>
      <c r="E94" s="133"/>
      <c r="F94" s="133"/>
      <c r="G94" s="133"/>
    </row>
    <row r="95" spans="2:7" ht="15.75" customHeight="1" x14ac:dyDescent="0.25">
      <c r="B95" s="133"/>
      <c r="C95" s="133"/>
      <c r="D95" s="133"/>
      <c r="E95" s="133"/>
      <c r="F95" s="133"/>
      <c r="G95" s="133"/>
    </row>
    <row r="96" spans="2:7" ht="15.75" customHeight="1" x14ac:dyDescent="0.25">
      <c r="B96" s="133"/>
      <c r="C96" s="133"/>
      <c r="D96" s="133"/>
      <c r="E96" s="133"/>
      <c r="F96" s="133"/>
      <c r="G96" s="133"/>
    </row>
    <row r="97" spans="2:7" ht="15.75" customHeight="1" x14ac:dyDescent="0.25">
      <c r="B97" s="133"/>
      <c r="C97" s="133"/>
      <c r="D97" s="133"/>
      <c r="E97" s="133"/>
      <c r="F97" s="133"/>
      <c r="G97" s="133"/>
    </row>
    <row r="98" spans="2:7" ht="15.75" customHeight="1" x14ac:dyDescent="0.25">
      <c r="B98" s="133"/>
      <c r="C98" s="133"/>
      <c r="D98" s="133"/>
      <c r="E98" s="133"/>
      <c r="F98" s="133"/>
      <c r="G98" s="133"/>
    </row>
    <row r="99" spans="2:7" ht="15.75" customHeight="1" x14ac:dyDescent="0.25">
      <c r="B99" s="133"/>
      <c r="C99" s="133"/>
      <c r="D99" s="133"/>
      <c r="E99" s="133"/>
      <c r="F99" s="133"/>
      <c r="G99" s="133"/>
    </row>
    <row r="100" spans="2:7" ht="15.75" customHeight="1" x14ac:dyDescent="0.25">
      <c r="B100" s="133"/>
      <c r="C100" s="133"/>
      <c r="D100" s="133"/>
      <c r="E100" s="133"/>
      <c r="F100" s="133"/>
      <c r="G100" s="133"/>
    </row>
    <row r="101" spans="2:7" ht="15.75" customHeight="1" x14ac:dyDescent="0.25">
      <c r="B101" s="133"/>
      <c r="C101" s="133"/>
      <c r="D101" s="133"/>
      <c r="E101" s="133"/>
      <c r="F101" s="133"/>
      <c r="G101" s="133"/>
    </row>
    <row r="102" spans="2:7" ht="15.75" customHeight="1" x14ac:dyDescent="0.25">
      <c r="B102" s="133"/>
      <c r="C102" s="133"/>
      <c r="D102" s="133"/>
      <c r="E102" s="133"/>
      <c r="F102" s="133"/>
      <c r="G102" s="133"/>
    </row>
    <row r="103" spans="2:7" ht="15.75" customHeight="1" x14ac:dyDescent="0.25">
      <c r="B103" s="133"/>
      <c r="C103" s="133"/>
      <c r="D103" s="133"/>
      <c r="E103" s="133"/>
      <c r="F103" s="133"/>
      <c r="G103" s="133"/>
    </row>
    <row r="104" spans="2:7" ht="15.75" customHeight="1" x14ac:dyDescent="0.25">
      <c r="B104" s="133"/>
      <c r="C104" s="133"/>
      <c r="D104" s="133"/>
      <c r="E104" s="133"/>
      <c r="F104" s="133"/>
      <c r="G104" s="133"/>
    </row>
    <row r="105" spans="2:7" ht="15.75" customHeight="1" x14ac:dyDescent="0.25">
      <c r="B105" s="133"/>
      <c r="C105" s="133"/>
      <c r="D105" s="133"/>
      <c r="E105" s="133"/>
      <c r="F105" s="133"/>
      <c r="G105" s="133"/>
    </row>
    <row r="106" spans="2:7" ht="15.75" customHeight="1" x14ac:dyDescent="0.25">
      <c r="B106" s="133"/>
      <c r="C106" s="133"/>
      <c r="D106" s="133"/>
      <c r="E106" s="133"/>
      <c r="F106" s="133"/>
      <c r="G106" s="133"/>
    </row>
    <row r="107" spans="2:7" ht="15.75" customHeight="1" x14ac:dyDescent="0.25">
      <c r="B107" s="133"/>
      <c r="C107" s="133"/>
      <c r="D107" s="133"/>
      <c r="E107" s="133"/>
      <c r="F107" s="133"/>
      <c r="G107" s="133"/>
    </row>
    <row r="108" spans="2:7" ht="15.75" customHeight="1" x14ac:dyDescent="0.25">
      <c r="B108" s="133"/>
      <c r="C108" s="133"/>
      <c r="D108" s="133"/>
      <c r="E108" s="133"/>
      <c r="F108" s="133"/>
      <c r="G108" s="133"/>
    </row>
    <row r="109" spans="2:7" ht="15.75" customHeight="1" x14ac:dyDescent="0.25">
      <c r="B109" s="133"/>
      <c r="C109" s="133"/>
      <c r="D109" s="133"/>
      <c r="E109" s="133"/>
      <c r="F109" s="133"/>
      <c r="G109" s="133"/>
    </row>
    <row r="110" spans="2:7" ht="15.75" customHeight="1" x14ac:dyDescent="0.25">
      <c r="B110" s="133"/>
      <c r="C110" s="133"/>
      <c r="D110" s="133"/>
      <c r="E110" s="133"/>
      <c r="F110" s="133"/>
      <c r="G110" s="133"/>
    </row>
    <row r="111" spans="2:7" ht="15.75" customHeight="1" x14ac:dyDescent="0.25">
      <c r="B111" s="133"/>
      <c r="C111" s="133"/>
      <c r="D111" s="133"/>
      <c r="E111" s="133"/>
      <c r="F111" s="133"/>
      <c r="G111" s="133"/>
    </row>
    <row r="112" spans="2:7" ht="15.75" customHeight="1" x14ac:dyDescent="0.25">
      <c r="B112" s="133"/>
      <c r="C112" s="133"/>
      <c r="D112" s="133"/>
      <c r="E112" s="133"/>
      <c r="F112" s="133"/>
      <c r="G112" s="133"/>
    </row>
    <row r="113" spans="2:7" ht="15.75" customHeight="1" x14ac:dyDescent="0.25">
      <c r="B113" s="133"/>
      <c r="C113" s="133"/>
      <c r="D113" s="133"/>
      <c r="E113" s="133"/>
      <c r="F113" s="133"/>
      <c r="G113" s="133"/>
    </row>
    <row r="114" spans="2:7" ht="15.75" customHeight="1" x14ac:dyDescent="0.25">
      <c r="B114" s="133"/>
      <c r="C114" s="133"/>
      <c r="D114" s="133"/>
      <c r="E114" s="133"/>
      <c r="F114" s="133"/>
      <c r="G114" s="133"/>
    </row>
    <row r="115" spans="2:7" ht="15.75" customHeight="1" x14ac:dyDescent="0.25">
      <c r="B115" s="133"/>
      <c r="C115" s="133"/>
      <c r="D115" s="133"/>
      <c r="E115" s="133"/>
      <c r="F115" s="133"/>
      <c r="G115" s="133"/>
    </row>
    <row r="116" spans="2:7" ht="15.75" customHeight="1" x14ac:dyDescent="0.25">
      <c r="B116" s="133"/>
      <c r="C116" s="133"/>
      <c r="D116" s="133"/>
      <c r="E116" s="133"/>
      <c r="F116" s="133"/>
      <c r="G116" s="133"/>
    </row>
    <row r="117" spans="2:7" ht="15.75" customHeight="1" x14ac:dyDescent="0.25">
      <c r="B117" s="133"/>
      <c r="C117" s="133"/>
      <c r="D117" s="133"/>
      <c r="E117" s="133"/>
      <c r="F117" s="133"/>
      <c r="G117" s="133"/>
    </row>
    <row r="118" spans="2:7" ht="15.75" customHeight="1" x14ac:dyDescent="0.25"/>
    <row r="119" spans="2:7" ht="15.75" customHeight="1" x14ac:dyDescent="0.25"/>
    <row r="120" spans="2:7" ht="15.75" customHeight="1" x14ac:dyDescent="0.25"/>
    <row r="121" spans="2:7" ht="15.75" customHeight="1" x14ac:dyDescent="0.25"/>
    <row r="122" spans="2:7" ht="15.75" customHeight="1" x14ac:dyDescent="0.25"/>
    <row r="123" spans="2:7" ht="15.75" customHeight="1" x14ac:dyDescent="0.25"/>
    <row r="124" spans="2:7" ht="15.75" customHeight="1" x14ac:dyDescent="0.25"/>
    <row r="125" spans="2:7" ht="15.75" customHeight="1" x14ac:dyDescent="0.25"/>
    <row r="126" spans="2:7" ht="15.75" customHeight="1" x14ac:dyDescent="0.25"/>
    <row r="127" spans="2:7" ht="15.75" customHeight="1" x14ac:dyDescent="0.25"/>
    <row r="128" spans="2:7"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9">
    <mergeCell ref="B19:G19"/>
    <mergeCell ref="B20:G117"/>
    <mergeCell ref="B1:G1"/>
    <mergeCell ref="B2:G2"/>
    <mergeCell ref="K3:L3"/>
    <mergeCell ref="K7:K8"/>
    <mergeCell ref="L7:L8"/>
    <mergeCell ref="K13:K14"/>
    <mergeCell ref="L13:L14"/>
  </mergeCells>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K1001"/>
  <sheetViews>
    <sheetView showGridLines="0" topLeftCell="A5" workbookViewId="0">
      <selection activeCell="I22" sqref="I22"/>
    </sheetView>
  </sheetViews>
  <sheetFormatPr defaultColWidth="14.42578125" defaultRowHeight="15" customHeight="1" x14ac:dyDescent="0.25"/>
  <cols>
    <col min="1" max="1" width="8.7109375" style="62" customWidth="1"/>
    <col min="2" max="2" width="24.7109375" style="62" customWidth="1"/>
    <col min="3" max="3" width="19.7109375" style="62" customWidth="1"/>
    <col min="4" max="4" width="19" style="62" customWidth="1"/>
    <col min="5" max="5" width="22.28515625" style="62" customWidth="1"/>
    <col min="6" max="8" width="8.7109375" style="62" customWidth="1"/>
    <col min="9" max="9" width="14.85546875" style="62" customWidth="1"/>
    <col min="10" max="10" width="14.5703125" style="62" customWidth="1"/>
    <col min="11" max="26" width="8.7109375" style="62" customWidth="1"/>
    <col min="27" max="16384" width="14.42578125" style="62"/>
  </cols>
  <sheetData>
    <row r="1" spans="2:11" ht="56.25" customHeight="1" x14ac:dyDescent="0.25">
      <c r="B1" s="139" t="s">
        <v>178</v>
      </c>
      <c r="C1" s="139"/>
      <c r="D1" s="139"/>
      <c r="E1" s="139"/>
    </row>
    <row r="2" spans="2:11" ht="38.25" customHeight="1" x14ac:dyDescent="0.25">
      <c r="B2" s="140" t="s">
        <v>168</v>
      </c>
      <c r="C2" s="141"/>
      <c r="D2" s="141"/>
      <c r="E2" s="141"/>
    </row>
    <row r="3" spans="2:11" ht="31.5" x14ac:dyDescent="0.25">
      <c r="B3" s="79" t="s">
        <v>38</v>
      </c>
      <c r="C3" s="79" t="s">
        <v>50</v>
      </c>
      <c r="D3" s="79" t="s">
        <v>51</v>
      </c>
      <c r="E3" s="79" t="s">
        <v>169</v>
      </c>
    </row>
    <row r="4" spans="2:11" ht="23.25" customHeight="1" x14ac:dyDescent="0.25">
      <c r="B4" s="63" t="s">
        <v>170</v>
      </c>
      <c r="C4" s="7">
        <v>269030134</v>
      </c>
      <c r="D4" s="7">
        <v>192278595</v>
      </c>
      <c r="E4" s="64">
        <f>D4-C4</f>
        <v>-76751539</v>
      </c>
    </row>
    <row r="5" spans="2:11" ht="50.25" customHeight="1" x14ac:dyDescent="0.25">
      <c r="B5" s="63" t="s">
        <v>171</v>
      </c>
      <c r="C5" s="64">
        <v>365</v>
      </c>
      <c r="D5" s="64">
        <v>365</v>
      </c>
      <c r="E5" s="64">
        <f t="shared" ref="E5:E10" si="0">D5-C5</f>
        <v>0</v>
      </c>
      <c r="J5" s="80"/>
      <c r="K5" s="37"/>
    </row>
    <row r="6" spans="2:11" ht="55.5" customHeight="1" x14ac:dyDescent="0.25">
      <c r="B6" s="63" t="s">
        <v>172</v>
      </c>
      <c r="C6" s="65">
        <f>C4/C5</f>
        <v>737068.86027397262</v>
      </c>
      <c r="D6" s="65">
        <f>D4/D5</f>
        <v>526790.67123287672</v>
      </c>
      <c r="E6" s="65">
        <f t="shared" si="0"/>
        <v>-210278.1890410959</v>
      </c>
    </row>
    <row r="7" spans="2:11" ht="69" customHeight="1" x14ac:dyDescent="0.25">
      <c r="B7" s="63" t="s">
        <v>173</v>
      </c>
      <c r="C7" s="64">
        <v>279409006</v>
      </c>
      <c r="D7" s="64">
        <v>279409006</v>
      </c>
      <c r="E7" s="64">
        <f t="shared" si="0"/>
        <v>0</v>
      </c>
      <c r="I7" s="66"/>
      <c r="J7" s="66"/>
    </row>
    <row r="8" spans="2:11" ht="58.5" customHeight="1" x14ac:dyDescent="0.25">
      <c r="B8" s="63" t="s">
        <v>174</v>
      </c>
      <c r="C8" s="67">
        <f>C7/C6</f>
        <v>379.08127864219108</v>
      </c>
      <c r="D8" s="67">
        <f>D7/D6</f>
        <v>530.39854587038144</v>
      </c>
      <c r="E8" s="67">
        <f t="shared" si="0"/>
        <v>151.31726722819036</v>
      </c>
      <c r="J8" s="68"/>
      <c r="K8" s="69"/>
    </row>
    <row r="9" spans="2:11" ht="73.5" customHeight="1" x14ac:dyDescent="0.25">
      <c r="B9" s="63" t="s">
        <v>175</v>
      </c>
      <c r="C9" s="70">
        <f>C5/C8</f>
        <v>0.96285419661812899</v>
      </c>
      <c r="D9" s="70">
        <f>D5/D8</f>
        <v>0.68816176598115808</v>
      </c>
      <c r="E9" s="70">
        <f t="shared" si="0"/>
        <v>-0.27469243063697091</v>
      </c>
    </row>
    <row r="10" spans="2:11" ht="68.25" customHeight="1" x14ac:dyDescent="0.25">
      <c r="B10" s="71" t="s">
        <v>176</v>
      </c>
      <c r="C10" s="72">
        <f>C7/C4</f>
        <v>1.038578845595044</v>
      </c>
      <c r="D10" s="72">
        <f>D7/D4</f>
        <v>1.4531467010147436</v>
      </c>
      <c r="E10" s="73">
        <f t="shared" si="0"/>
        <v>0.41456785541969965</v>
      </c>
    </row>
    <row r="11" spans="2:11" ht="125.25" customHeight="1" x14ac:dyDescent="0.25">
      <c r="B11" s="74" t="s">
        <v>177</v>
      </c>
      <c r="C11" s="75" t="s">
        <v>24</v>
      </c>
      <c r="D11" s="64">
        <f>(D8-C8)*D6</f>
        <v>79712524.772262976</v>
      </c>
      <c r="E11" s="64" t="s">
        <v>24</v>
      </c>
    </row>
    <row r="12" spans="2:11" ht="18.75" x14ac:dyDescent="0.25">
      <c r="B12" s="76"/>
      <c r="C12" s="77"/>
      <c r="D12" s="77"/>
      <c r="E12" s="78"/>
    </row>
    <row r="13" spans="2:11" x14ac:dyDescent="0.25">
      <c r="B13" s="142" t="s">
        <v>35</v>
      </c>
      <c r="C13" s="142"/>
      <c r="D13" s="142"/>
      <c r="E13" s="142"/>
    </row>
    <row r="14" spans="2:11" ht="15" customHeight="1" x14ac:dyDescent="0.25">
      <c r="B14" s="143" t="s">
        <v>179</v>
      </c>
      <c r="C14" s="144"/>
      <c r="D14" s="144"/>
      <c r="E14" s="144"/>
    </row>
    <row r="15" spans="2:11" ht="15" customHeight="1" x14ac:dyDescent="0.25">
      <c r="B15" s="144"/>
      <c r="C15" s="144"/>
      <c r="D15" s="144"/>
      <c r="E15" s="144"/>
    </row>
    <row r="16" spans="2:11" ht="15" customHeight="1" x14ac:dyDescent="0.25">
      <c r="B16" s="144"/>
      <c r="C16" s="144"/>
      <c r="D16" s="144"/>
      <c r="E16" s="144"/>
    </row>
    <row r="17" spans="2:5" ht="15" customHeight="1" x14ac:dyDescent="0.25">
      <c r="B17" s="144"/>
      <c r="C17" s="144"/>
      <c r="D17" s="144"/>
      <c r="E17" s="144"/>
    </row>
    <row r="18" spans="2:5" ht="15" customHeight="1" x14ac:dyDescent="0.25">
      <c r="B18" s="144"/>
      <c r="C18" s="144"/>
      <c r="D18" s="144"/>
      <c r="E18" s="144"/>
    </row>
    <row r="19" spans="2:5" ht="15" customHeight="1" x14ac:dyDescent="0.25">
      <c r="B19" s="144"/>
      <c r="C19" s="144"/>
      <c r="D19" s="144"/>
      <c r="E19" s="144"/>
    </row>
    <row r="20" spans="2:5" ht="15" customHeight="1" x14ac:dyDescent="0.25">
      <c r="B20" s="144"/>
      <c r="C20" s="144"/>
      <c r="D20" s="144"/>
      <c r="E20" s="144"/>
    </row>
    <row r="21" spans="2:5" ht="15" customHeight="1" x14ac:dyDescent="0.25">
      <c r="B21" s="144"/>
      <c r="C21" s="144"/>
      <c r="D21" s="144"/>
      <c r="E21" s="144"/>
    </row>
    <row r="22" spans="2:5" ht="15.75" customHeight="1" x14ac:dyDescent="0.25">
      <c r="B22" s="144"/>
      <c r="C22" s="144"/>
      <c r="D22" s="144"/>
      <c r="E22" s="144"/>
    </row>
    <row r="23" spans="2:5" ht="15.75" customHeight="1" x14ac:dyDescent="0.25">
      <c r="B23" s="144"/>
      <c r="C23" s="144"/>
      <c r="D23" s="144"/>
      <c r="E23" s="144"/>
    </row>
    <row r="24" spans="2:5" ht="15.75" customHeight="1" x14ac:dyDescent="0.25">
      <c r="B24" s="144"/>
      <c r="C24" s="144"/>
      <c r="D24" s="144"/>
      <c r="E24" s="144"/>
    </row>
    <row r="25" spans="2:5" ht="15.75" customHeight="1" x14ac:dyDescent="0.25">
      <c r="B25" s="144"/>
      <c r="C25" s="144"/>
      <c r="D25" s="144"/>
      <c r="E25" s="144"/>
    </row>
    <row r="26" spans="2:5" ht="15.75" customHeight="1" x14ac:dyDescent="0.25">
      <c r="B26" s="144"/>
      <c r="C26" s="144"/>
      <c r="D26" s="144"/>
      <c r="E26" s="144"/>
    </row>
    <row r="27" spans="2:5" ht="15.75" customHeight="1" x14ac:dyDescent="0.25">
      <c r="B27" s="144"/>
      <c r="C27" s="144"/>
      <c r="D27" s="144"/>
      <c r="E27" s="144"/>
    </row>
    <row r="28" spans="2:5" ht="15.75" customHeight="1" x14ac:dyDescent="0.25">
      <c r="B28" s="144"/>
      <c r="C28" s="144"/>
      <c r="D28" s="144"/>
      <c r="E28" s="144"/>
    </row>
    <row r="29" spans="2:5" ht="15.75" customHeight="1" x14ac:dyDescent="0.25">
      <c r="B29" s="144"/>
      <c r="C29" s="144"/>
      <c r="D29" s="144"/>
      <c r="E29" s="144"/>
    </row>
    <row r="30" spans="2:5" ht="15.75" customHeight="1" x14ac:dyDescent="0.25">
      <c r="B30" s="144"/>
      <c r="C30" s="144"/>
      <c r="D30" s="144"/>
      <c r="E30" s="144"/>
    </row>
    <row r="31" spans="2:5" ht="15.75" customHeight="1" x14ac:dyDescent="0.25">
      <c r="B31" s="144"/>
      <c r="C31" s="144"/>
      <c r="D31" s="144"/>
      <c r="E31" s="144"/>
    </row>
    <row r="32" spans="2:5" ht="15.75" customHeight="1" x14ac:dyDescent="0.25">
      <c r="B32" s="144"/>
      <c r="C32" s="144"/>
      <c r="D32" s="144"/>
      <c r="E32" s="144"/>
    </row>
    <row r="33" spans="2:5" ht="15.75" customHeight="1" x14ac:dyDescent="0.25">
      <c r="B33" s="144"/>
      <c r="C33" s="144"/>
      <c r="D33" s="144"/>
      <c r="E33" s="144"/>
    </row>
    <row r="34" spans="2:5" ht="15.75" customHeight="1" x14ac:dyDescent="0.25">
      <c r="B34" s="144"/>
      <c r="C34" s="144"/>
      <c r="D34" s="144"/>
      <c r="E34" s="144"/>
    </row>
    <row r="35" spans="2:5" ht="15.75" customHeight="1" x14ac:dyDescent="0.25">
      <c r="B35" s="144"/>
      <c r="C35" s="144"/>
      <c r="D35" s="144"/>
      <c r="E35" s="144"/>
    </row>
    <row r="36" spans="2:5" ht="15.75" customHeight="1" x14ac:dyDescent="0.25">
      <c r="B36" s="144"/>
      <c r="C36" s="144"/>
      <c r="D36" s="144"/>
      <c r="E36" s="144"/>
    </row>
    <row r="37" spans="2:5" ht="15.75" customHeight="1" x14ac:dyDescent="0.25">
      <c r="B37" s="144"/>
      <c r="C37" s="144"/>
      <c r="D37" s="144"/>
      <c r="E37" s="144"/>
    </row>
    <row r="38" spans="2:5" ht="15.75" customHeight="1" x14ac:dyDescent="0.25">
      <c r="B38" s="144"/>
      <c r="C38" s="144"/>
      <c r="D38" s="144"/>
      <c r="E38" s="144"/>
    </row>
    <row r="39" spans="2:5" ht="15.75" customHeight="1" x14ac:dyDescent="0.25">
      <c r="B39" s="144"/>
      <c r="C39" s="144"/>
      <c r="D39" s="144"/>
      <c r="E39" s="144"/>
    </row>
    <row r="40" spans="2:5" ht="15.75" customHeight="1" x14ac:dyDescent="0.25">
      <c r="B40" s="144"/>
      <c r="C40" s="144"/>
      <c r="D40" s="144"/>
      <c r="E40" s="144"/>
    </row>
    <row r="41" spans="2:5" ht="15.75" customHeight="1" x14ac:dyDescent="0.25">
      <c r="B41" s="144"/>
      <c r="C41" s="144"/>
      <c r="D41" s="144"/>
      <c r="E41" s="144"/>
    </row>
    <row r="42" spans="2:5" ht="15.75" customHeight="1" x14ac:dyDescent="0.25">
      <c r="B42" s="144"/>
      <c r="C42" s="144"/>
      <c r="D42" s="144"/>
      <c r="E42" s="144"/>
    </row>
    <row r="43" spans="2:5" ht="15.75" customHeight="1" x14ac:dyDescent="0.25">
      <c r="B43" s="144"/>
      <c r="C43" s="144"/>
      <c r="D43" s="144"/>
      <c r="E43" s="144"/>
    </row>
    <row r="44" spans="2:5" ht="15.75" customHeight="1" x14ac:dyDescent="0.25">
      <c r="B44" s="144"/>
      <c r="C44" s="144"/>
      <c r="D44" s="144"/>
      <c r="E44" s="144"/>
    </row>
    <row r="45" spans="2:5" ht="15.75" customHeight="1" x14ac:dyDescent="0.25">
      <c r="B45" s="144"/>
      <c r="C45" s="144"/>
      <c r="D45" s="144"/>
      <c r="E45" s="144"/>
    </row>
    <row r="46" spans="2:5" ht="15.75" customHeight="1" x14ac:dyDescent="0.25">
      <c r="B46" s="144"/>
      <c r="C46" s="144"/>
      <c r="D46" s="144"/>
      <c r="E46" s="144"/>
    </row>
    <row r="47" spans="2:5" ht="15.75" customHeight="1" x14ac:dyDescent="0.25">
      <c r="B47" s="144"/>
      <c r="C47" s="144"/>
      <c r="D47" s="144"/>
      <c r="E47" s="144"/>
    </row>
    <row r="48" spans="2:5" ht="15.75" customHeight="1" x14ac:dyDescent="0.25">
      <c r="B48" s="144"/>
      <c r="C48" s="144"/>
      <c r="D48" s="144"/>
      <c r="E48" s="144"/>
    </row>
    <row r="49" spans="2:5" ht="15.75" customHeight="1" x14ac:dyDescent="0.25">
      <c r="B49" s="144"/>
      <c r="C49" s="144"/>
      <c r="D49" s="144"/>
      <c r="E49" s="144"/>
    </row>
    <row r="50" spans="2:5" ht="15.75" customHeight="1" x14ac:dyDescent="0.25">
      <c r="B50" s="144"/>
      <c r="C50" s="144"/>
      <c r="D50" s="144"/>
      <c r="E50" s="144"/>
    </row>
    <row r="51" spans="2:5" ht="15.75" customHeight="1" x14ac:dyDescent="0.25">
      <c r="B51" s="144"/>
      <c r="C51" s="144"/>
      <c r="D51" s="144"/>
      <c r="E51" s="144"/>
    </row>
    <row r="52" spans="2:5" ht="15.75" customHeight="1" x14ac:dyDescent="0.25">
      <c r="B52" s="144"/>
      <c r="C52" s="144"/>
      <c r="D52" s="144"/>
      <c r="E52" s="144"/>
    </row>
    <row r="53" spans="2:5" ht="15.75" customHeight="1" x14ac:dyDescent="0.25"/>
    <row r="54" spans="2:5" ht="15.75" customHeight="1" x14ac:dyDescent="0.25"/>
    <row r="55" spans="2:5" ht="15.75" customHeight="1" x14ac:dyDescent="0.25"/>
    <row r="56" spans="2:5" ht="15.75" customHeight="1" x14ac:dyDescent="0.25"/>
    <row r="57" spans="2:5" ht="15.75" customHeight="1" x14ac:dyDescent="0.25"/>
    <row r="58" spans="2:5" ht="15.75" customHeight="1" x14ac:dyDescent="0.25"/>
    <row r="59" spans="2:5" ht="15.75" customHeight="1" x14ac:dyDescent="0.25"/>
    <row r="60" spans="2:5" ht="15.75" customHeight="1" x14ac:dyDescent="0.25"/>
    <row r="61" spans="2:5" ht="15.75" customHeight="1" x14ac:dyDescent="0.25"/>
    <row r="62" spans="2:5" ht="15.75" customHeight="1" x14ac:dyDescent="0.25"/>
    <row r="63" spans="2:5" ht="15.75" customHeight="1" x14ac:dyDescent="0.25"/>
    <row r="64" spans="2: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4">
    <mergeCell ref="B1:E1"/>
    <mergeCell ref="B2:E2"/>
    <mergeCell ref="B13:E13"/>
    <mergeCell ref="B14:E52"/>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150"/>
  <sheetViews>
    <sheetView showGridLines="0" zoomScale="70" zoomScaleNormal="70" workbookViewId="0">
      <selection activeCell="J24" sqref="J24"/>
    </sheetView>
  </sheetViews>
  <sheetFormatPr defaultRowHeight="15" x14ac:dyDescent="0.25"/>
  <cols>
    <col min="1" max="1" width="9.140625" style="50"/>
    <col min="2" max="2" width="14.140625" style="50" customWidth="1"/>
    <col min="3" max="3" width="22.7109375" style="50" customWidth="1"/>
    <col min="4" max="4" width="22.28515625" style="50" customWidth="1"/>
    <col min="5" max="5" width="23.28515625" style="50" customWidth="1"/>
    <col min="6" max="6" width="20" style="50" customWidth="1"/>
    <col min="7" max="8" width="9.140625" style="50"/>
    <col min="9" max="9" width="18.5703125" style="50" customWidth="1"/>
    <col min="10" max="10" width="14.85546875" style="50" bestFit="1" customWidth="1"/>
    <col min="11" max="16384" width="9.140625" style="50"/>
  </cols>
  <sheetData>
    <row r="1" spans="2:10" ht="19.5" customHeight="1" x14ac:dyDescent="0.25">
      <c r="B1" s="145" t="s">
        <v>194</v>
      </c>
      <c r="C1" s="145"/>
      <c r="D1" s="145"/>
      <c r="E1" s="145"/>
      <c r="F1" s="145"/>
    </row>
    <row r="2" spans="2:10" ht="42" customHeight="1" x14ac:dyDescent="0.25">
      <c r="B2" s="146" t="s">
        <v>193</v>
      </c>
      <c r="C2" s="147"/>
      <c r="D2" s="147"/>
      <c r="E2" s="147"/>
      <c r="F2" s="147"/>
    </row>
    <row r="3" spans="2:10" ht="31.5" x14ac:dyDescent="0.25">
      <c r="B3" s="85" t="s">
        <v>1</v>
      </c>
      <c r="C3" s="85" t="s">
        <v>132</v>
      </c>
      <c r="D3" s="85" t="s">
        <v>50</v>
      </c>
      <c r="E3" s="85" t="s">
        <v>51</v>
      </c>
      <c r="F3" s="85" t="s">
        <v>169</v>
      </c>
    </row>
    <row r="4" spans="2:10" ht="109.5" customHeight="1" x14ac:dyDescent="0.25">
      <c r="B4" s="52" t="s">
        <v>192</v>
      </c>
      <c r="C4" s="82" t="s">
        <v>191</v>
      </c>
      <c r="D4" s="38">
        <f>(260871829-112689322)/712291929</f>
        <v>0.20803620112337395</v>
      </c>
      <c r="E4" s="38">
        <f>(297946183-101513191)/712291929</f>
        <v>0.27577596207748128</v>
      </c>
      <c r="F4" s="81">
        <f t="shared" ref="F4:F9" si="0">E4-D4</f>
        <v>6.7739760954107331E-2</v>
      </c>
      <c r="I4" s="80"/>
      <c r="J4" s="37"/>
    </row>
    <row r="5" spans="2:10" ht="86.25" customHeight="1" x14ac:dyDescent="0.25">
      <c r="B5" s="52" t="s">
        <v>190</v>
      </c>
      <c r="C5" s="82" t="s">
        <v>189</v>
      </c>
      <c r="D5" s="38">
        <f>357643976/712291929</f>
        <v>0.50210308644392909</v>
      </c>
      <c r="E5" s="38">
        <f>332867482/712291929</f>
        <v>0.46731890177011959</v>
      </c>
      <c r="F5" s="81">
        <f t="shared" si="0"/>
        <v>-3.4784184673809504E-2</v>
      </c>
      <c r="I5" s="60"/>
      <c r="J5" s="60"/>
    </row>
    <row r="6" spans="2:10" ht="81.75" customHeight="1" x14ac:dyDescent="0.25">
      <c r="B6" s="52" t="s">
        <v>188</v>
      </c>
      <c r="C6" s="82" t="s">
        <v>187</v>
      </c>
      <c r="D6" s="83">
        <f>102009789/712291929</f>
        <v>0.14321345623445916</v>
      </c>
      <c r="E6" s="83">
        <f>14035929/712291929</f>
        <v>1.9705304003241064E-2</v>
      </c>
      <c r="F6" s="81">
        <f t="shared" si="0"/>
        <v>-0.1235081522312181</v>
      </c>
      <c r="I6" s="37"/>
      <c r="J6" s="37"/>
    </row>
    <row r="7" spans="2:10" ht="72" customHeight="1" x14ac:dyDescent="0.25">
      <c r="B7" s="52" t="s">
        <v>186</v>
      </c>
      <c r="C7" s="82" t="s">
        <v>185</v>
      </c>
      <c r="D7" s="38">
        <f>1/(324992157/412079355)</f>
        <v>1.2679670758946961</v>
      </c>
      <c r="E7" s="38">
        <f>1/(324992157/387299772)</f>
        <v>1.1917203651163804</v>
      </c>
      <c r="F7" s="84">
        <f t="shared" si="0"/>
        <v>-7.6246710778315796E-2</v>
      </c>
      <c r="H7" s="50" t="s">
        <v>184</v>
      </c>
    </row>
    <row r="8" spans="2:10" ht="93.75" customHeight="1" x14ac:dyDescent="0.25">
      <c r="B8" s="52" t="s">
        <v>183</v>
      </c>
      <c r="C8" s="82" t="s">
        <v>182</v>
      </c>
      <c r="D8" s="38">
        <f>269030134/712291929</f>
        <v>0.37769645147839376</v>
      </c>
      <c r="E8" s="38">
        <f>192278595/712291929</f>
        <v>0.26994352620272355</v>
      </c>
      <c r="F8" s="81">
        <f t="shared" si="0"/>
        <v>-0.10775292527567021</v>
      </c>
    </row>
    <row r="9" spans="2:10" ht="54" customHeight="1" x14ac:dyDescent="0.25">
      <c r="B9" s="52" t="s">
        <v>181</v>
      </c>
      <c r="C9" s="82" t="s">
        <v>180</v>
      </c>
      <c r="D9" s="81">
        <f>1.2*D4+1.4*D5+3.3*D6+0.6*D7+D8</f>
        <v>2.5636688649584758</v>
      </c>
      <c r="E9" s="81">
        <f>1.2*E4+1.4*E5+3.3*E6+0.6*E7+E8</f>
        <v>2.0351808654543921</v>
      </c>
      <c r="F9" s="81">
        <f t="shared" si="0"/>
        <v>-0.52848799950408365</v>
      </c>
    </row>
    <row r="11" spans="2:10" x14ac:dyDescent="0.25">
      <c r="B11" s="148" t="s">
        <v>35</v>
      </c>
      <c r="C11" s="148"/>
      <c r="D11" s="148"/>
      <c r="E11" s="148"/>
      <c r="F11" s="148"/>
    </row>
    <row r="12" spans="2:10" x14ac:dyDescent="0.25">
      <c r="B12" s="130" t="s">
        <v>195</v>
      </c>
      <c r="C12" s="130"/>
      <c r="D12" s="130"/>
      <c r="E12" s="130"/>
      <c r="F12" s="130"/>
    </row>
    <row r="13" spans="2:10" x14ac:dyDescent="0.25">
      <c r="B13" s="130"/>
      <c r="C13" s="130"/>
      <c r="D13" s="130"/>
      <c r="E13" s="130"/>
      <c r="F13" s="130"/>
    </row>
    <row r="14" spans="2:10" x14ac:dyDescent="0.25">
      <c r="B14" s="130"/>
      <c r="C14" s="130"/>
      <c r="D14" s="130"/>
      <c r="E14" s="130"/>
      <c r="F14" s="130"/>
    </row>
    <row r="15" spans="2:10" x14ac:dyDescent="0.25">
      <c r="B15" s="130"/>
      <c r="C15" s="130"/>
      <c r="D15" s="130"/>
      <c r="E15" s="130"/>
      <c r="F15" s="130"/>
    </row>
    <row r="16" spans="2:10" x14ac:dyDescent="0.25">
      <c r="B16" s="130"/>
      <c r="C16" s="130"/>
      <c r="D16" s="130"/>
      <c r="E16" s="130"/>
      <c r="F16" s="130"/>
    </row>
    <row r="17" spans="2:6" x14ac:dyDescent="0.25">
      <c r="B17" s="130"/>
      <c r="C17" s="130"/>
      <c r="D17" s="130"/>
      <c r="E17" s="130"/>
      <c r="F17" s="130"/>
    </row>
    <row r="18" spans="2:6" x14ac:dyDescent="0.25">
      <c r="B18" s="130"/>
      <c r="C18" s="130"/>
      <c r="D18" s="130"/>
      <c r="E18" s="130"/>
      <c r="F18" s="130"/>
    </row>
    <row r="19" spans="2:6" x14ac:dyDescent="0.25">
      <c r="B19" s="130"/>
      <c r="C19" s="130"/>
      <c r="D19" s="130"/>
      <c r="E19" s="130"/>
      <c r="F19" s="130"/>
    </row>
    <row r="20" spans="2:6" x14ac:dyDescent="0.25">
      <c r="B20" s="130"/>
      <c r="C20" s="130"/>
      <c r="D20" s="130"/>
      <c r="E20" s="130"/>
      <c r="F20" s="130"/>
    </row>
    <row r="21" spans="2:6" x14ac:dyDescent="0.25">
      <c r="B21" s="130"/>
      <c r="C21" s="130"/>
      <c r="D21" s="130"/>
      <c r="E21" s="130"/>
      <c r="F21" s="130"/>
    </row>
    <row r="22" spans="2:6" x14ac:dyDescent="0.25">
      <c r="B22" s="130"/>
      <c r="C22" s="130"/>
      <c r="D22" s="130"/>
      <c r="E22" s="130"/>
      <c r="F22" s="130"/>
    </row>
    <row r="23" spans="2:6" x14ac:dyDescent="0.25">
      <c r="B23" s="130"/>
      <c r="C23" s="130"/>
      <c r="D23" s="130"/>
      <c r="E23" s="130"/>
      <c r="F23" s="130"/>
    </row>
    <row r="24" spans="2:6" x14ac:dyDescent="0.25">
      <c r="B24" s="130"/>
      <c r="C24" s="130"/>
      <c r="D24" s="130"/>
      <c r="E24" s="130"/>
      <c r="F24" s="130"/>
    </row>
    <row r="25" spans="2:6" x14ac:dyDescent="0.25">
      <c r="B25" s="130"/>
      <c r="C25" s="130"/>
      <c r="D25" s="130"/>
      <c r="E25" s="130"/>
      <c r="F25" s="130"/>
    </row>
    <row r="26" spans="2:6" x14ac:dyDescent="0.25">
      <c r="B26" s="130"/>
      <c r="C26" s="130"/>
      <c r="D26" s="130"/>
      <c r="E26" s="130"/>
      <c r="F26" s="130"/>
    </row>
    <row r="27" spans="2:6" x14ac:dyDescent="0.25">
      <c r="B27" s="130"/>
      <c r="C27" s="130"/>
      <c r="D27" s="130"/>
      <c r="E27" s="130"/>
      <c r="F27" s="130"/>
    </row>
    <row r="28" spans="2:6" x14ac:dyDescent="0.25">
      <c r="B28" s="130"/>
      <c r="C28" s="130"/>
      <c r="D28" s="130"/>
      <c r="E28" s="130"/>
      <c r="F28" s="130"/>
    </row>
    <row r="29" spans="2:6" x14ac:dyDescent="0.25">
      <c r="B29" s="130"/>
      <c r="C29" s="130"/>
      <c r="D29" s="130"/>
      <c r="E29" s="130"/>
      <c r="F29" s="130"/>
    </row>
    <row r="30" spans="2:6" x14ac:dyDescent="0.25">
      <c r="B30" s="130"/>
      <c r="C30" s="130"/>
      <c r="D30" s="130"/>
      <c r="E30" s="130"/>
      <c r="F30" s="130"/>
    </row>
    <row r="31" spans="2:6" x14ac:dyDescent="0.25">
      <c r="B31" s="130"/>
      <c r="C31" s="130"/>
      <c r="D31" s="130"/>
      <c r="E31" s="130"/>
      <c r="F31" s="130"/>
    </row>
    <row r="32" spans="2:6" x14ac:dyDescent="0.25">
      <c r="B32" s="130"/>
      <c r="C32" s="130"/>
      <c r="D32" s="130"/>
      <c r="E32" s="130"/>
      <c r="F32" s="130"/>
    </row>
    <row r="33" spans="2:6" x14ac:dyDescent="0.25">
      <c r="B33" s="130"/>
      <c r="C33" s="130"/>
      <c r="D33" s="130"/>
      <c r="E33" s="130"/>
      <c r="F33" s="130"/>
    </row>
    <row r="34" spans="2:6" x14ac:dyDescent="0.25">
      <c r="B34" s="130"/>
      <c r="C34" s="130"/>
      <c r="D34" s="130"/>
      <c r="E34" s="130"/>
      <c r="F34" s="130"/>
    </row>
    <row r="35" spans="2:6" x14ac:dyDescent="0.25">
      <c r="B35" s="130"/>
      <c r="C35" s="130"/>
      <c r="D35" s="130"/>
      <c r="E35" s="130"/>
      <c r="F35" s="130"/>
    </row>
    <row r="36" spans="2:6" x14ac:dyDescent="0.25">
      <c r="B36" s="130"/>
      <c r="C36" s="130"/>
      <c r="D36" s="130"/>
      <c r="E36" s="130"/>
      <c r="F36" s="130"/>
    </row>
    <row r="37" spans="2:6" x14ac:dyDescent="0.25">
      <c r="B37" s="130"/>
      <c r="C37" s="130"/>
      <c r="D37" s="130"/>
      <c r="E37" s="130"/>
      <c r="F37" s="130"/>
    </row>
    <row r="38" spans="2:6" x14ac:dyDescent="0.25">
      <c r="B38" s="130"/>
      <c r="C38" s="130"/>
      <c r="D38" s="130"/>
      <c r="E38" s="130"/>
      <c r="F38" s="130"/>
    </row>
    <row r="39" spans="2:6" x14ac:dyDescent="0.25">
      <c r="B39" s="130"/>
      <c r="C39" s="130"/>
      <c r="D39" s="130"/>
      <c r="E39" s="130"/>
      <c r="F39" s="130"/>
    </row>
    <row r="40" spans="2:6" x14ac:dyDescent="0.25">
      <c r="B40" s="130"/>
      <c r="C40" s="130"/>
      <c r="D40" s="130"/>
      <c r="E40" s="130"/>
      <c r="F40" s="130"/>
    </row>
    <row r="41" spans="2:6" x14ac:dyDescent="0.25">
      <c r="B41" s="130"/>
      <c r="C41" s="130"/>
      <c r="D41" s="130"/>
      <c r="E41" s="130"/>
      <c r="F41" s="130"/>
    </row>
    <row r="42" spans="2:6" x14ac:dyDescent="0.25">
      <c r="B42" s="130"/>
      <c r="C42" s="130"/>
      <c r="D42" s="130"/>
      <c r="E42" s="130"/>
      <c r="F42" s="130"/>
    </row>
    <row r="43" spans="2:6" x14ac:dyDescent="0.25">
      <c r="B43" s="130"/>
      <c r="C43" s="130"/>
      <c r="D43" s="130"/>
      <c r="E43" s="130"/>
      <c r="F43" s="130"/>
    </row>
    <row r="44" spans="2:6" x14ac:dyDescent="0.25">
      <c r="B44" s="130"/>
      <c r="C44" s="130"/>
      <c r="D44" s="130"/>
      <c r="E44" s="130"/>
      <c r="F44" s="130"/>
    </row>
    <row r="45" spans="2:6" x14ac:dyDescent="0.25">
      <c r="B45" s="130"/>
      <c r="C45" s="130"/>
      <c r="D45" s="130"/>
      <c r="E45" s="130"/>
      <c r="F45" s="130"/>
    </row>
    <row r="46" spans="2:6" x14ac:dyDescent="0.25">
      <c r="B46" s="130"/>
      <c r="C46" s="130"/>
      <c r="D46" s="130"/>
      <c r="E46" s="130"/>
      <c r="F46" s="130"/>
    </row>
    <row r="47" spans="2:6" x14ac:dyDescent="0.25">
      <c r="B47" s="130"/>
      <c r="C47" s="130"/>
      <c r="D47" s="130"/>
      <c r="E47" s="130"/>
      <c r="F47" s="130"/>
    </row>
    <row r="48" spans="2:6" x14ac:dyDescent="0.25">
      <c r="B48" s="130"/>
      <c r="C48" s="130"/>
      <c r="D48" s="130"/>
      <c r="E48" s="130"/>
      <c r="F48" s="130"/>
    </row>
    <row r="49" spans="2:6" x14ac:dyDescent="0.25">
      <c r="B49" s="130"/>
      <c r="C49" s="130"/>
      <c r="D49" s="130"/>
      <c r="E49" s="130"/>
      <c r="F49" s="130"/>
    </row>
    <row r="50" spans="2:6" x14ac:dyDescent="0.25">
      <c r="B50" s="130"/>
      <c r="C50" s="130"/>
      <c r="D50" s="130"/>
      <c r="E50" s="130"/>
      <c r="F50" s="130"/>
    </row>
    <row r="51" spans="2:6" x14ac:dyDescent="0.25">
      <c r="B51" s="130"/>
      <c r="C51" s="130"/>
      <c r="D51" s="130"/>
      <c r="E51" s="130"/>
      <c r="F51" s="130"/>
    </row>
    <row r="52" spans="2:6" x14ac:dyDescent="0.25">
      <c r="B52" s="130"/>
      <c r="C52" s="130"/>
      <c r="D52" s="130"/>
      <c r="E52" s="130"/>
      <c r="F52" s="130"/>
    </row>
    <row r="53" spans="2:6" x14ac:dyDescent="0.25">
      <c r="B53" s="130"/>
      <c r="C53" s="130"/>
      <c r="D53" s="130"/>
      <c r="E53" s="130"/>
      <c r="F53" s="130"/>
    </row>
    <row r="54" spans="2:6" x14ac:dyDescent="0.25">
      <c r="B54" s="130"/>
      <c r="C54" s="130"/>
      <c r="D54" s="130"/>
      <c r="E54" s="130"/>
      <c r="F54" s="130"/>
    </row>
    <row r="55" spans="2:6" x14ac:dyDescent="0.25">
      <c r="B55" s="130"/>
      <c r="C55" s="130"/>
      <c r="D55" s="130"/>
      <c r="E55" s="130"/>
      <c r="F55" s="130"/>
    </row>
    <row r="56" spans="2:6" x14ac:dyDescent="0.25">
      <c r="B56" s="130"/>
      <c r="C56" s="130"/>
      <c r="D56" s="130"/>
      <c r="E56" s="130"/>
      <c r="F56" s="130"/>
    </row>
    <row r="57" spans="2:6" x14ac:dyDescent="0.25">
      <c r="B57" s="130"/>
      <c r="C57" s="130"/>
      <c r="D57" s="130"/>
      <c r="E57" s="130"/>
      <c r="F57" s="130"/>
    </row>
    <row r="58" spans="2:6" x14ac:dyDescent="0.25">
      <c r="B58" s="130"/>
      <c r="C58" s="130"/>
      <c r="D58" s="130"/>
      <c r="E58" s="130"/>
      <c r="F58" s="130"/>
    </row>
    <row r="59" spans="2:6" x14ac:dyDescent="0.25">
      <c r="B59" s="130"/>
      <c r="C59" s="130"/>
      <c r="D59" s="130"/>
      <c r="E59" s="130"/>
      <c r="F59" s="130"/>
    </row>
    <row r="60" spans="2:6" x14ac:dyDescent="0.25">
      <c r="B60" s="130"/>
      <c r="C60" s="130"/>
      <c r="D60" s="130"/>
      <c r="E60" s="130"/>
      <c r="F60" s="130"/>
    </row>
    <row r="61" spans="2:6" x14ac:dyDescent="0.25">
      <c r="B61" s="130"/>
      <c r="C61" s="130"/>
      <c r="D61" s="130"/>
      <c r="E61" s="130"/>
      <c r="F61" s="130"/>
    </row>
    <row r="62" spans="2:6" x14ac:dyDescent="0.25">
      <c r="B62" s="130"/>
      <c r="C62" s="130"/>
      <c r="D62" s="130"/>
      <c r="E62" s="130"/>
      <c r="F62" s="130"/>
    </row>
    <row r="63" spans="2:6" x14ac:dyDescent="0.25">
      <c r="B63" s="130"/>
      <c r="C63" s="130"/>
      <c r="D63" s="130"/>
      <c r="E63" s="130"/>
      <c r="F63" s="130"/>
    </row>
    <row r="64" spans="2:6" x14ac:dyDescent="0.25">
      <c r="B64" s="130"/>
      <c r="C64" s="130"/>
      <c r="D64" s="130"/>
      <c r="E64" s="130"/>
      <c r="F64" s="130"/>
    </row>
    <row r="65" spans="2:6" x14ac:dyDescent="0.25">
      <c r="B65" s="130"/>
      <c r="C65" s="130"/>
      <c r="D65" s="130"/>
      <c r="E65" s="130"/>
      <c r="F65" s="130"/>
    </row>
    <row r="66" spans="2:6" x14ac:dyDescent="0.25">
      <c r="B66" s="130"/>
      <c r="C66" s="130"/>
      <c r="D66" s="130"/>
      <c r="E66" s="130"/>
      <c r="F66" s="130"/>
    </row>
    <row r="67" spans="2:6" x14ac:dyDescent="0.25">
      <c r="B67" s="130"/>
      <c r="C67" s="130"/>
      <c r="D67" s="130"/>
      <c r="E67" s="130"/>
      <c r="F67" s="130"/>
    </row>
    <row r="68" spans="2:6" x14ac:dyDescent="0.25">
      <c r="B68" s="130"/>
      <c r="C68" s="130"/>
      <c r="D68" s="130"/>
      <c r="E68" s="130"/>
      <c r="F68" s="130"/>
    </row>
    <row r="69" spans="2:6" x14ac:dyDescent="0.25">
      <c r="B69" s="130"/>
      <c r="C69" s="130"/>
      <c r="D69" s="130"/>
      <c r="E69" s="130"/>
      <c r="F69" s="130"/>
    </row>
    <row r="70" spans="2:6" x14ac:dyDescent="0.25">
      <c r="B70" s="130"/>
      <c r="C70" s="130"/>
      <c r="D70" s="130"/>
      <c r="E70" s="130"/>
      <c r="F70" s="130"/>
    </row>
    <row r="71" spans="2:6" x14ac:dyDescent="0.25">
      <c r="B71" s="130"/>
      <c r="C71" s="130"/>
      <c r="D71" s="130"/>
      <c r="E71" s="130"/>
      <c r="F71" s="130"/>
    </row>
    <row r="72" spans="2:6" x14ac:dyDescent="0.25">
      <c r="B72" s="130"/>
      <c r="C72" s="130"/>
      <c r="D72" s="130"/>
      <c r="E72" s="130"/>
      <c r="F72" s="130"/>
    </row>
    <row r="73" spans="2:6" x14ac:dyDescent="0.25">
      <c r="B73" s="130"/>
      <c r="C73" s="130"/>
      <c r="D73" s="130"/>
      <c r="E73" s="130"/>
      <c r="F73" s="130"/>
    </row>
    <row r="74" spans="2:6" x14ac:dyDescent="0.25">
      <c r="B74" s="130"/>
      <c r="C74" s="130"/>
      <c r="D74" s="130"/>
      <c r="E74" s="130"/>
      <c r="F74" s="130"/>
    </row>
    <row r="75" spans="2:6" x14ac:dyDescent="0.25">
      <c r="B75" s="130"/>
      <c r="C75" s="130"/>
      <c r="D75" s="130"/>
      <c r="E75" s="130"/>
      <c r="F75" s="130"/>
    </row>
    <row r="76" spans="2:6" x14ac:dyDescent="0.25">
      <c r="B76" s="130"/>
      <c r="C76" s="130"/>
      <c r="D76" s="130"/>
      <c r="E76" s="130"/>
      <c r="F76" s="130"/>
    </row>
    <row r="77" spans="2:6" x14ac:dyDescent="0.25">
      <c r="B77" s="130"/>
      <c r="C77" s="130"/>
      <c r="D77" s="130"/>
      <c r="E77" s="130"/>
      <c r="F77" s="130"/>
    </row>
    <row r="78" spans="2:6" x14ac:dyDescent="0.25">
      <c r="B78" s="130"/>
      <c r="C78" s="130"/>
      <c r="D78" s="130"/>
      <c r="E78" s="130"/>
      <c r="F78" s="130"/>
    </row>
    <row r="79" spans="2:6" x14ac:dyDescent="0.25">
      <c r="B79" s="130"/>
      <c r="C79" s="130"/>
      <c r="D79" s="130"/>
      <c r="E79" s="130"/>
      <c r="F79" s="130"/>
    </row>
    <row r="80" spans="2:6" x14ac:dyDescent="0.25">
      <c r="B80" s="130"/>
      <c r="C80" s="130"/>
      <c r="D80" s="130"/>
      <c r="E80" s="130"/>
      <c r="F80" s="130"/>
    </row>
    <row r="81" spans="2:6" x14ac:dyDescent="0.25">
      <c r="B81" s="130"/>
      <c r="C81" s="130"/>
      <c r="D81" s="130"/>
      <c r="E81" s="130"/>
      <c r="F81" s="130"/>
    </row>
    <row r="82" spans="2:6" x14ac:dyDescent="0.25">
      <c r="B82" s="130"/>
      <c r="C82" s="130"/>
      <c r="D82" s="130"/>
      <c r="E82" s="130"/>
      <c r="F82" s="130"/>
    </row>
    <row r="83" spans="2:6" x14ac:dyDescent="0.25">
      <c r="B83" s="130"/>
      <c r="C83" s="130"/>
      <c r="D83" s="130"/>
      <c r="E83" s="130"/>
      <c r="F83" s="130"/>
    </row>
    <row r="84" spans="2:6" x14ac:dyDescent="0.25">
      <c r="B84" s="130"/>
      <c r="C84" s="130"/>
      <c r="D84" s="130"/>
      <c r="E84" s="130"/>
      <c r="F84" s="130"/>
    </row>
    <row r="85" spans="2:6" x14ac:dyDescent="0.25">
      <c r="B85" s="130"/>
      <c r="C85" s="130"/>
      <c r="D85" s="130"/>
      <c r="E85" s="130"/>
      <c r="F85" s="130"/>
    </row>
    <row r="86" spans="2:6" x14ac:dyDescent="0.25">
      <c r="B86" s="130"/>
      <c r="C86" s="130"/>
      <c r="D86" s="130"/>
      <c r="E86" s="130"/>
      <c r="F86" s="130"/>
    </row>
    <row r="87" spans="2:6" x14ac:dyDescent="0.25">
      <c r="B87" s="130"/>
      <c r="C87" s="130"/>
      <c r="D87" s="130"/>
      <c r="E87" s="130"/>
      <c r="F87" s="130"/>
    </row>
    <row r="88" spans="2:6" x14ac:dyDescent="0.25">
      <c r="B88" s="130"/>
      <c r="C88" s="130"/>
      <c r="D88" s="130"/>
      <c r="E88" s="130"/>
      <c r="F88" s="130"/>
    </row>
    <row r="89" spans="2:6" x14ac:dyDescent="0.25">
      <c r="B89" s="130"/>
      <c r="C89" s="130"/>
      <c r="D89" s="130"/>
      <c r="E89" s="130"/>
      <c r="F89" s="130"/>
    </row>
    <row r="90" spans="2:6" x14ac:dyDescent="0.25">
      <c r="B90" s="130"/>
      <c r="C90" s="130"/>
      <c r="D90" s="130"/>
      <c r="E90" s="130"/>
      <c r="F90" s="130"/>
    </row>
    <row r="91" spans="2:6" x14ac:dyDescent="0.25">
      <c r="B91" s="130"/>
      <c r="C91" s="130"/>
      <c r="D91" s="130"/>
      <c r="E91" s="130"/>
      <c r="F91" s="130"/>
    </row>
    <row r="92" spans="2:6" x14ac:dyDescent="0.25">
      <c r="B92" s="130"/>
      <c r="C92" s="130"/>
      <c r="D92" s="130"/>
      <c r="E92" s="130"/>
      <c r="F92" s="130"/>
    </row>
    <row r="93" spans="2:6" x14ac:dyDescent="0.25">
      <c r="B93" s="130"/>
      <c r="C93" s="130"/>
      <c r="D93" s="130"/>
      <c r="E93" s="130"/>
      <c r="F93" s="130"/>
    </row>
    <row r="94" spans="2:6" x14ac:dyDescent="0.25">
      <c r="B94" s="130"/>
      <c r="C94" s="130"/>
      <c r="D94" s="130"/>
      <c r="E94" s="130"/>
      <c r="F94" s="130"/>
    </row>
    <row r="95" spans="2:6" x14ac:dyDescent="0.25">
      <c r="B95" s="130"/>
      <c r="C95" s="130"/>
      <c r="D95" s="130"/>
      <c r="E95" s="130"/>
      <c r="F95" s="130"/>
    </row>
    <row r="96" spans="2:6" x14ac:dyDescent="0.25">
      <c r="B96" s="130"/>
      <c r="C96" s="130"/>
      <c r="D96" s="130"/>
      <c r="E96" s="130"/>
      <c r="F96" s="130"/>
    </row>
    <row r="97" spans="2:6" x14ac:dyDescent="0.25">
      <c r="B97" s="130"/>
      <c r="C97" s="130"/>
      <c r="D97" s="130"/>
      <c r="E97" s="130"/>
      <c r="F97" s="130"/>
    </row>
    <row r="98" spans="2:6" x14ac:dyDescent="0.25">
      <c r="B98" s="130"/>
      <c r="C98" s="130"/>
      <c r="D98" s="130"/>
      <c r="E98" s="130"/>
      <c r="F98" s="130"/>
    </row>
    <row r="99" spans="2:6" x14ac:dyDescent="0.25">
      <c r="B99" s="130"/>
      <c r="C99" s="130"/>
      <c r="D99" s="130"/>
      <c r="E99" s="130"/>
      <c r="F99" s="130"/>
    </row>
    <row r="100" spans="2:6" x14ac:dyDescent="0.25">
      <c r="B100" s="130"/>
      <c r="C100" s="130"/>
      <c r="D100" s="130"/>
      <c r="E100" s="130"/>
      <c r="F100" s="130"/>
    </row>
    <row r="101" spans="2:6" x14ac:dyDescent="0.25">
      <c r="B101" s="130"/>
      <c r="C101" s="130"/>
      <c r="D101" s="130"/>
      <c r="E101" s="130"/>
      <c r="F101" s="130"/>
    </row>
    <row r="102" spans="2:6" x14ac:dyDescent="0.25">
      <c r="B102" s="130"/>
      <c r="C102" s="130"/>
      <c r="D102" s="130"/>
      <c r="E102" s="130"/>
      <c r="F102" s="130"/>
    </row>
    <row r="103" spans="2:6" x14ac:dyDescent="0.25">
      <c r="B103" s="130"/>
      <c r="C103" s="130"/>
      <c r="D103" s="130"/>
      <c r="E103" s="130"/>
      <c r="F103" s="130"/>
    </row>
    <row r="104" spans="2:6" x14ac:dyDescent="0.25">
      <c r="B104" s="130"/>
      <c r="C104" s="130"/>
      <c r="D104" s="130"/>
      <c r="E104" s="130"/>
      <c r="F104" s="130"/>
    </row>
    <row r="105" spans="2:6" x14ac:dyDescent="0.25">
      <c r="B105" s="130"/>
      <c r="C105" s="130"/>
      <c r="D105" s="130"/>
      <c r="E105" s="130"/>
      <c r="F105" s="130"/>
    </row>
    <row r="106" spans="2:6" x14ac:dyDescent="0.25">
      <c r="B106" s="130"/>
      <c r="C106" s="130"/>
      <c r="D106" s="130"/>
      <c r="E106" s="130"/>
      <c r="F106" s="130"/>
    </row>
    <row r="107" spans="2:6" x14ac:dyDescent="0.25">
      <c r="B107" s="130"/>
      <c r="C107" s="130"/>
      <c r="D107" s="130"/>
      <c r="E107" s="130"/>
      <c r="F107" s="130"/>
    </row>
    <row r="108" spans="2:6" x14ac:dyDescent="0.25">
      <c r="B108" s="130"/>
      <c r="C108" s="130"/>
      <c r="D108" s="130"/>
      <c r="E108" s="130"/>
      <c r="F108" s="130"/>
    </row>
    <row r="109" spans="2:6" x14ac:dyDescent="0.25">
      <c r="B109" s="130"/>
      <c r="C109" s="130"/>
      <c r="D109" s="130"/>
      <c r="E109" s="130"/>
      <c r="F109" s="130"/>
    </row>
    <row r="110" spans="2:6" x14ac:dyDescent="0.25">
      <c r="B110" s="130"/>
      <c r="C110" s="130"/>
      <c r="D110" s="130"/>
      <c r="E110" s="130"/>
      <c r="F110" s="130"/>
    </row>
    <row r="111" spans="2:6" x14ac:dyDescent="0.25">
      <c r="B111" s="130"/>
      <c r="C111" s="130"/>
      <c r="D111" s="130"/>
      <c r="E111" s="130"/>
      <c r="F111" s="130"/>
    </row>
    <row r="112" spans="2:6" x14ac:dyDescent="0.25">
      <c r="B112" s="130"/>
      <c r="C112" s="130"/>
      <c r="D112" s="130"/>
      <c r="E112" s="130"/>
      <c r="F112" s="130"/>
    </row>
    <row r="113" spans="2:6" x14ac:dyDescent="0.25">
      <c r="B113" s="130"/>
      <c r="C113" s="130"/>
      <c r="D113" s="130"/>
      <c r="E113" s="130"/>
      <c r="F113" s="130"/>
    </row>
    <row r="114" spans="2:6" x14ac:dyDescent="0.25">
      <c r="B114" s="130"/>
      <c r="C114" s="130"/>
      <c r="D114" s="130"/>
      <c r="E114" s="130"/>
      <c r="F114" s="130"/>
    </row>
    <row r="115" spans="2:6" x14ac:dyDescent="0.25">
      <c r="B115" s="130"/>
      <c r="C115" s="130"/>
      <c r="D115" s="130"/>
      <c r="E115" s="130"/>
      <c r="F115" s="130"/>
    </row>
    <row r="116" spans="2:6" x14ac:dyDescent="0.25">
      <c r="B116" s="130"/>
      <c r="C116" s="130"/>
      <c r="D116" s="130"/>
      <c r="E116" s="130"/>
      <c r="F116" s="130"/>
    </row>
    <row r="117" spans="2:6" x14ac:dyDescent="0.25">
      <c r="B117" s="130"/>
      <c r="C117" s="130"/>
      <c r="D117" s="130"/>
      <c r="E117" s="130"/>
      <c r="F117" s="130"/>
    </row>
    <row r="118" spans="2:6" x14ac:dyDescent="0.25">
      <c r="B118" s="130"/>
      <c r="C118" s="130"/>
      <c r="D118" s="130"/>
      <c r="E118" s="130"/>
      <c r="F118" s="130"/>
    </row>
    <row r="119" spans="2:6" x14ac:dyDescent="0.25">
      <c r="B119" s="130"/>
      <c r="C119" s="130"/>
      <c r="D119" s="130"/>
      <c r="E119" s="130"/>
      <c r="F119" s="130"/>
    </row>
    <row r="120" spans="2:6" x14ac:dyDescent="0.25">
      <c r="B120" s="130"/>
      <c r="C120" s="130"/>
      <c r="D120" s="130"/>
      <c r="E120" s="130"/>
      <c r="F120" s="130"/>
    </row>
    <row r="121" spans="2:6" x14ac:dyDescent="0.25">
      <c r="B121" s="130"/>
      <c r="C121" s="130"/>
      <c r="D121" s="130"/>
      <c r="E121" s="130"/>
      <c r="F121" s="130"/>
    </row>
    <row r="122" spans="2:6" x14ac:dyDescent="0.25">
      <c r="B122" s="130"/>
      <c r="C122" s="130"/>
      <c r="D122" s="130"/>
      <c r="E122" s="130"/>
      <c r="F122" s="130"/>
    </row>
    <row r="123" spans="2:6" x14ac:dyDescent="0.25">
      <c r="B123" s="130"/>
      <c r="C123" s="130"/>
      <c r="D123" s="130"/>
      <c r="E123" s="130"/>
      <c r="F123" s="130"/>
    </row>
    <row r="124" spans="2:6" x14ac:dyDescent="0.25">
      <c r="B124" s="130"/>
      <c r="C124" s="130"/>
      <c r="D124" s="130"/>
      <c r="E124" s="130"/>
      <c r="F124" s="130"/>
    </row>
    <row r="125" spans="2:6" x14ac:dyDescent="0.25">
      <c r="B125" s="130"/>
      <c r="C125" s="130"/>
      <c r="D125" s="130"/>
      <c r="E125" s="130"/>
      <c r="F125" s="130"/>
    </row>
    <row r="126" spans="2:6" x14ac:dyDescent="0.25">
      <c r="B126" s="130"/>
      <c r="C126" s="130"/>
      <c r="D126" s="130"/>
      <c r="E126" s="130"/>
      <c r="F126" s="130"/>
    </row>
    <row r="127" spans="2:6" x14ac:dyDescent="0.25">
      <c r="B127" s="130"/>
      <c r="C127" s="130"/>
      <c r="D127" s="130"/>
      <c r="E127" s="130"/>
      <c r="F127" s="130"/>
    </row>
    <row r="128" spans="2:6" x14ac:dyDescent="0.25">
      <c r="B128" s="130"/>
      <c r="C128" s="130"/>
      <c r="D128" s="130"/>
      <c r="E128" s="130"/>
      <c r="F128" s="130"/>
    </row>
    <row r="129" spans="2:6" x14ac:dyDescent="0.25">
      <c r="B129" s="130"/>
      <c r="C129" s="130"/>
      <c r="D129" s="130"/>
      <c r="E129" s="130"/>
      <c r="F129" s="130"/>
    </row>
    <row r="130" spans="2:6" x14ac:dyDescent="0.25">
      <c r="B130" s="130"/>
      <c r="C130" s="130"/>
      <c r="D130" s="130"/>
      <c r="E130" s="130"/>
      <c r="F130" s="130"/>
    </row>
    <row r="131" spans="2:6" x14ac:dyDescent="0.25">
      <c r="B131" s="130"/>
      <c r="C131" s="130"/>
      <c r="D131" s="130"/>
      <c r="E131" s="130"/>
      <c r="F131" s="130"/>
    </row>
    <row r="132" spans="2:6" x14ac:dyDescent="0.25">
      <c r="B132" s="130"/>
      <c r="C132" s="130"/>
      <c r="D132" s="130"/>
      <c r="E132" s="130"/>
      <c r="F132" s="130"/>
    </row>
    <row r="133" spans="2:6" x14ac:dyDescent="0.25">
      <c r="B133" s="130"/>
      <c r="C133" s="130"/>
      <c r="D133" s="130"/>
      <c r="E133" s="130"/>
      <c r="F133" s="130"/>
    </row>
    <row r="134" spans="2:6" x14ac:dyDescent="0.25">
      <c r="B134" s="130"/>
      <c r="C134" s="130"/>
      <c r="D134" s="130"/>
      <c r="E134" s="130"/>
      <c r="F134" s="130"/>
    </row>
    <row r="135" spans="2:6" x14ac:dyDescent="0.25">
      <c r="B135" s="130"/>
      <c r="C135" s="130"/>
      <c r="D135" s="130"/>
      <c r="E135" s="130"/>
      <c r="F135" s="130"/>
    </row>
    <row r="136" spans="2:6" x14ac:dyDescent="0.25">
      <c r="B136" s="130"/>
      <c r="C136" s="130"/>
      <c r="D136" s="130"/>
      <c r="E136" s="130"/>
      <c r="F136" s="130"/>
    </row>
    <row r="137" spans="2:6" x14ac:dyDescent="0.25">
      <c r="B137" s="130"/>
      <c r="C137" s="130"/>
      <c r="D137" s="130"/>
      <c r="E137" s="130"/>
      <c r="F137" s="130"/>
    </row>
    <row r="138" spans="2:6" x14ac:dyDescent="0.25">
      <c r="B138" s="130"/>
      <c r="C138" s="130"/>
      <c r="D138" s="130"/>
      <c r="E138" s="130"/>
      <c r="F138" s="130"/>
    </row>
    <row r="139" spans="2:6" x14ac:dyDescent="0.25">
      <c r="B139" s="130"/>
      <c r="C139" s="130"/>
      <c r="D139" s="130"/>
      <c r="E139" s="130"/>
      <c r="F139" s="130"/>
    </row>
    <row r="140" spans="2:6" x14ac:dyDescent="0.25">
      <c r="B140" s="130"/>
      <c r="C140" s="130"/>
      <c r="D140" s="130"/>
      <c r="E140" s="130"/>
      <c r="F140" s="130"/>
    </row>
    <row r="141" spans="2:6" x14ac:dyDescent="0.25">
      <c r="B141" s="130"/>
      <c r="C141" s="130"/>
      <c r="D141" s="130"/>
      <c r="E141" s="130"/>
      <c r="F141" s="130"/>
    </row>
    <row r="142" spans="2:6" x14ac:dyDescent="0.25">
      <c r="B142" s="130"/>
      <c r="C142" s="130"/>
      <c r="D142" s="130"/>
      <c r="E142" s="130"/>
      <c r="F142" s="130"/>
    </row>
    <row r="143" spans="2:6" x14ac:dyDescent="0.25">
      <c r="B143" s="130"/>
      <c r="C143" s="130"/>
      <c r="D143" s="130"/>
      <c r="E143" s="130"/>
      <c r="F143" s="130"/>
    </row>
    <row r="144" spans="2:6" x14ac:dyDescent="0.25">
      <c r="B144" s="130"/>
      <c r="C144" s="130"/>
      <c r="D144" s="130"/>
      <c r="E144" s="130"/>
      <c r="F144" s="130"/>
    </row>
    <row r="145" spans="2:6" x14ac:dyDescent="0.25">
      <c r="B145" s="130"/>
      <c r="C145" s="130"/>
      <c r="D145" s="130"/>
      <c r="E145" s="130"/>
      <c r="F145" s="130"/>
    </row>
    <row r="146" spans="2:6" x14ac:dyDescent="0.25">
      <c r="B146" s="130"/>
      <c r="C146" s="130"/>
      <c r="D146" s="130"/>
      <c r="E146" s="130"/>
      <c r="F146" s="130"/>
    </row>
    <row r="147" spans="2:6" x14ac:dyDescent="0.25">
      <c r="B147" s="130"/>
      <c r="C147" s="130"/>
      <c r="D147" s="130"/>
      <c r="E147" s="130"/>
      <c r="F147" s="130"/>
    </row>
    <row r="148" spans="2:6" x14ac:dyDescent="0.25">
      <c r="B148" s="130"/>
      <c r="C148" s="130"/>
      <c r="D148" s="130"/>
      <c r="E148" s="130"/>
      <c r="F148" s="130"/>
    </row>
    <row r="149" spans="2:6" x14ac:dyDescent="0.25">
      <c r="B149" s="130"/>
      <c r="C149" s="130"/>
      <c r="D149" s="130"/>
      <c r="E149" s="130"/>
      <c r="F149" s="130"/>
    </row>
    <row r="150" spans="2:6" x14ac:dyDescent="0.25">
      <c r="B150" s="130"/>
      <c r="C150" s="130"/>
      <c r="D150" s="130"/>
      <c r="E150" s="130"/>
      <c r="F150" s="130"/>
    </row>
  </sheetData>
  <mergeCells count="4">
    <mergeCell ref="B1:F1"/>
    <mergeCell ref="B2:F2"/>
    <mergeCell ref="B11:F11"/>
    <mergeCell ref="B12:F15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L58"/>
  <sheetViews>
    <sheetView showGridLines="0" zoomScale="85" zoomScaleNormal="85" workbookViewId="0">
      <selection activeCell="R33" sqref="R33"/>
    </sheetView>
  </sheetViews>
  <sheetFormatPr defaultRowHeight="15" x14ac:dyDescent="0.25"/>
  <cols>
    <col min="1" max="1" width="9.140625" style="50"/>
    <col min="2" max="2" width="8.85546875" style="50" customWidth="1"/>
    <col min="3" max="16384" width="9.140625" style="50"/>
  </cols>
  <sheetData>
    <row r="2" spans="2:12" ht="84" customHeight="1" x14ac:dyDescent="0.25">
      <c r="B2" s="149" t="s">
        <v>196</v>
      </c>
      <c r="C2" s="149"/>
      <c r="D2" s="149"/>
      <c r="E2" s="149"/>
      <c r="F2" s="149"/>
      <c r="G2" s="149"/>
      <c r="H2" s="149"/>
      <c r="I2" s="149"/>
      <c r="J2" s="149"/>
      <c r="K2" s="149"/>
      <c r="L2" s="149"/>
    </row>
    <row r="3" spans="2:12" ht="15.75" x14ac:dyDescent="0.25">
      <c r="B3" s="150" t="s">
        <v>197</v>
      </c>
      <c r="C3" s="150"/>
      <c r="D3" s="150"/>
      <c r="E3" s="150"/>
      <c r="F3" s="150"/>
      <c r="G3" s="150"/>
      <c r="H3" s="150"/>
      <c r="I3" s="150"/>
      <c r="J3" s="150"/>
      <c r="K3" s="150"/>
      <c r="L3" s="150"/>
    </row>
    <row r="4" spans="2:12" x14ac:dyDescent="0.25">
      <c r="B4" s="151" t="s">
        <v>199</v>
      </c>
      <c r="C4" s="151"/>
      <c r="D4" s="151"/>
      <c r="E4" s="151"/>
      <c r="F4" s="151"/>
      <c r="G4" s="151"/>
      <c r="H4" s="151"/>
      <c r="I4" s="151"/>
      <c r="J4" s="151"/>
      <c r="K4" s="151"/>
      <c r="L4" s="151"/>
    </row>
    <row r="5" spans="2:12" x14ac:dyDescent="0.25">
      <c r="B5" s="151"/>
      <c r="C5" s="151"/>
      <c r="D5" s="151"/>
      <c r="E5" s="151"/>
      <c r="F5" s="151"/>
      <c r="G5" s="151"/>
      <c r="H5" s="151"/>
      <c r="I5" s="151"/>
      <c r="J5" s="151"/>
      <c r="K5" s="151"/>
      <c r="L5" s="151"/>
    </row>
    <row r="6" spans="2:12" x14ac:dyDescent="0.25">
      <c r="B6" s="151"/>
      <c r="C6" s="151"/>
      <c r="D6" s="151"/>
      <c r="E6" s="151"/>
      <c r="F6" s="151"/>
      <c r="G6" s="151"/>
      <c r="H6" s="151"/>
      <c r="I6" s="151"/>
      <c r="J6" s="151"/>
      <c r="K6" s="151"/>
      <c r="L6" s="151"/>
    </row>
    <row r="7" spans="2:12" x14ac:dyDescent="0.25">
      <c r="B7" s="151"/>
      <c r="C7" s="151"/>
      <c r="D7" s="151"/>
      <c r="E7" s="151"/>
      <c r="F7" s="151"/>
      <c r="G7" s="151"/>
      <c r="H7" s="151"/>
      <c r="I7" s="151"/>
      <c r="J7" s="151"/>
      <c r="K7" s="151"/>
      <c r="L7" s="151"/>
    </row>
    <row r="8" spans="2:12" x14ac:dyDescent="0.25">
      <c r="B8" s="151"/>
      <c r="C8" s="151"/>
      <c r="D8" s="151"/>
      <c r="E8" s="151"/>
      <c r="F8" s="151"/>
      <c r="G8" s="151"/>
      <c r="H8" s="151"/>
      <c r="I8" s="151"/>
      <c r="J8" s="151"/>
      <c r="K8" s="151"/>
      <c r="L8" s="151"/>
    </row>
    <row r="9" spans="2:12" x14ac:dyDescent="0.25">
      <c r="B9" s="151"/>
      <c r="C9" s="151"/>
      <c r="D9" s="151"/>
      <c r="E9" s="151"/>
      <c r="F9" s="151"/>
      <c r="G9" s="151"/>
      <c r="H9" s="151"/>
      <c r="I9" s="151"/>
      <c r="J9" s="151"/>
      <c r="K9" s="151"/>
      <c r="L9" s="151"/>
    </row>
    <row r="10" spans="2:12" x14ac:dyDescent="0.25">
      <c r="B10" s="151"/>
      <c r="C10" s="151"/>
      <c r="D10" s="151"/>
      <c r="E10" s="151"/>
      <c r="F10" s="151"/>
      <c r="G10" s="151"/>
      <c r="H10" s="151"/>
      <c r="I10" s="151"/>
      <c r="J10" s="151"/>
      <c r="K10" s="151"/>
      <c r="L10" s="151"/>
    </row>
    <row r="11" spans="2:12" x14ac:dyDescent="0.25">
      <c r="B11" s="151"/>
      <c r="C11" s="151"/>
      <c r="D11" s="151"/>
      <c r="E11" s="151"/>
      <c r="F11" s="151"/>
      <c r="G11" s="151"/>
      <c r="H11" s="151"/>
      <c r="I11" s="151"/>
      <c r="J11" s="151"/>
      <c r="K11" s="151"/>
      <c r="L11" s="151"/>
    </row>
    <row r="12" spans="2:12" x14ac:dyDescent="0.25">
      <c r="B12" s="151"/>
      <c r="C12" s="151"/>
      <c r="D12" s="151"/>
      <c r="E12" s="151"/>
      <c r="F12" s="151"/>
      <c r="G12" s="151"/>
      <c r="H12" s="151"/>
      <c r="I12" s="151"/>
      <c r="J12" s="151"/>
      <c r="K12" s="151"/>
      <c r="L12" s="151"/>
    </row>
    <row r="13" spans="2:12" x14ac:dyDescent="0.25">
      <c r="B13" s="151"/>
      <c r="C13" s="151"/>
      <c r="D13" s="151"/>
      <c r="E13" s="151"/>
      <c r="F13" s="151"/>
      <c r="G13" s="151"/>
      <c r="H13" s="151"/>
      <c r="I13" s="151"/>
      <c r="J13" s="151"/>
      <c r="K13" s="151"/>
      <c r="L13" s="151"/>
    </row>
    <row r="14" spans="2:12" x14ac:dyDescent="0.25">
      <c r="B14" s="151"/>
      <c r="C14" s="151"/>
      <c r="D14" s="151"/>
      <c r="E14" s="151"/>
      <c r="F14" s="151"/>
      <c r="G14" s="151"/>
      <c r="H14" s="151"/>
      <c r="I14" s="151"/>
      <c r="J14" s="151"/>
      <c r="K14" s="151"/>
      <c r="L14" s="151"/>
    </row>
    <row r="15" spans="2:12" x14ac:dyDescent="0.25">
      <c r="B15" s="151"/>
      <c r="C15" s="151"/>
      <c r="D15" s="151"/>
      <c r="E15" s="151"/>
      <c r="F15" s="151"/>
      <c r="G15" s="151"/>
      <c r="H15" s="151"/>
      <c r="I15" s="151"/>
      <c r="J15" s="151"/>
      <c r="K15" s="151"/>
      <c r="L15" s="151"/>
    </row>
    <row r="16" spans="2:12" x14ac:dyDescent="0.25">
      <c r="B16" s="151"/>
      <c r="C16" s="151"/>
      <c r="D16" s="151"/>
      <c r="E16" s="151"/>
      <c r="F16" s="151"/>
      <c r="G16" s="151"/>
      <c r="H16" s="151"/>
      <c r="I16" s="151"/>
      <c r="J16" s="151"/>
      <c r="K16" s="151"/>
      <c r="L16" s="151"/>
    </row>
    <row r="17" spans="2:12" x14ac:dyDescent="0.25">
      <c r="B17" s="151"/>
      <c r="C17" s="151"/>
      <c r="D17" s="151"/>
      <c r="E17" s="151"/>
      <c r="F17" s="151"/>
      <c r="G17" s="151"/>
      <c r="H17" s="151"/>
      <c r="I17" s="151"/>
      <c r="J17" s="151"/>
      <c r="K17" s="151"/>
      <c r="L17" s="151"/>
    </row>
    <row r="18" spans="2:12" x14ac:dyDescent="0.25">
      <c r="B18" s="151"/>
      <c r="C18" s="151"/>
      <c r="D18" s="151"/>
      <c r="E18" s="151"/>
      <c r="F18" s="151"/>
      <c r="G18" s="151"/>
      <c r="H18" s="151"/>
      <c r="I18" s="151"/>
      <c r="J18" s="151"/>
      <c r="K18" s="151"/>
      <c r="L18" s="151"/>
    </row>
    <row r="19" spans="2:12" x14ac:dyDescent="0.25">
      <c r="B19" s="151"/>
      <c r="C19" s="151"/>
      <c r="D19" s="151"/>
      <c r="E19" s="151"/>
      <c r="F19" s="151"/>
      <c r="G19" s="151"/>
      <c r="H19" s="151"/>
      <c r="I19" s="151"/>
      <c r="J19" s="151"/>
      <c r="K19" s="151"/>
      <c r="L19" s="151"/>
    </row>
    <row r="20" spans="2:12" x14ac:dyDescent="0.25">
      <c r="B20" s="151"/>
      <c r="C20" s="151"/>
      <c r="D20" s="151"/>
      <c r="E20" s="151"/>
      <c r="F20" s="151"/>
      <c r="G20" s="151"/>
      <c r="H20" s="151"/>
      <c r="I20" s="151"/>
      <c r="J20" s="151"/>
      <c r="K20" s="151"/>
      <c r="L20" s="151"/>
    </row>
    <row r="21" spans="2:12" x14ac:dyDescent="0.25">
      <c r="B21" s="151"/>
      <c r="C21" s="151"/>
      <c r="D21" s="151"/>
      <c r="E21" s="151"/>
      <c r="F21" s="151"/>
      <c r="G21" s="151"/>
      <c r="H21" s="151"/>
      <c r="I21" s="151"/>
      <c r="J21" s="151"/>
      <c r="K21" s="151"/>
      <c r="L21" s="151"/>
    </row>
    <row r="22" spans="2:12" x14ac:dyDescent="0.25">
      <c r="B22" s="151"/>
      <c r="C22" s="151"/>
      <c r="D22" s="151"/>
      <c r="E22" s="151"/>
      <c r="F22" s="151"/>
      <c r="G22" s="151"/>
      <c r="H22" s="151"/>
      <c r="I22" s="151"/>
      <c r="J22" s="151"/>
      <c r="K22" s="151"/>
      <c r="L22" s="151"/>
    </row>
    <row r="23" spans="2:12" x14ac:dyDescent="0.25">
      <c r="B23" s="151"/>
      <c r="C23" s="151"/>
      <c r="D23" s="151"/>
      <c r="E23" s="151"/>
      <c r="F23" s="151"/>
      <c r="G23" s="151"/>
      <c r="H23" s="151"/>
      <c r="I23" s="151"/>
      <c r="J23" s="151"/>
      <c r="K23" s="151"/>
      <c r="L23" s="151"/>
    </row>
    <row r="24" spans="2:12" x14ac:dyDescent="0.25">
      <c r="B24" s="151"/>
      <c r="C24" s="151"/>
      <c r="D24" s="151"/>
      <c r="E24" s="151"/>
      <c r="F24" s="151"/>
      <c r="G24" s="151"/>
      <c r="H24" s="151"/>
      <c r="I24" s="151"/>
      <c r="J24" s="151"/>
      <c r="K24" s="151"/>
      <c r="L24" s="151"/>
    </row>
    <row r="25" spans="2:12" x14ac:dyDescent="0.25">
      <c r="B25" s="151"/>
      <c r="C25" s="151"/>
      <c r="D25" s="151"/>
      <c r="E25" s="151"/>
      <c r="F25" s="151"/>
      <c r="G25" s="151"/>
      <c r="H25" s="151"/>
      <c r="I25" s="151"/>
      <c r="J25" s="151"/>
      <c r="K25" s="151"/>
      <c r="L25" s="151"/>
    </row>
    <row r="26" spans="2:12" x14ac:dyDescent="0.25">
      <c r="B26" s="151"/>
      <c r="C26" s="151"/>
      <c r="D26" s="151"/>
      <c r="E26" s="151"/>
      <c r="F26" s="151"/>
      <c r="G26" s="151"/>
      <c r="H26" s="151"/>
      <c r="I26" s="151"/>
      <c r="J26" s="151"/>
      <c r="K26" s="151"/>
      <c r="L26" s="151"/>
    </row>
    <row r="27" spans="2:12" x14ac:dyDescent="0.25">
      <c r="B27" s="151"/>
      <c r="C27" s="151"/>
      <c r="D27" s="151"/>
      <c r="E27" s="151"/>
      <c r="F27" s="151"/>
      <c r="G27" s="151"/>
      <c r="H27" s="151"/>
      <c r="I27" s="151"/>
      <c r="J27" s="151"/>
      <c r="K27" s="151"/>
      <c r="L27" s="151"/>
    </row>
    <row r="28" spans="2:12" x14ac:dyDescent="0.25">
      <c r="B28" s="151"/>
      <c r="C28" s="151"/>
      <c r="D28" s="151"/>
      <c r="E28" s="151"/>
      <c r="F28" s="151"/>
      <c r="G28" s="151"/>
      <c r="H28" s="151"/>
      <c r="I28" s="151"/>
      <c r="J28" s="151"/>
      <c r="K28" s="151"/>
      <c r="L28" s="151"/>
    </row>
    <row r="29" spans="2:12" x14ac:dyDescent="0.25">
      <c r="B29" s="151"/>
      <c r="C29" s="151"/>
      <c r="D29" s="151"/>
      <c r="E29" s="151"/>
      <c r="F29" s="151"/>
      <c r="G29" s="151"/>
      <c r="H29" s="151"/>
      <c r="I29" s="151"/>
      <c r="J29" s="151"/>
      <c r="K29" s="151"/>
      <c r="L29" s="151"/>
    </row>
    <row r="30" spans="2:12" x14ac:dyDescent="0.25">
      <c r="B30" s="151"/>
      <c r="C30" s="151"/>
      <c r="D30" s="151"/>
      <c r="E30" s="151"/>
      <c r="F30" s="151"/>
      <c r="G30" s="151"/>
      <c r="H30" s="151"/>
      <c r="I30" s="151"/>
      <c r="J30" s="151"/>
      <c r="K30" s="151"/>
      <c r="L30" s="151"/>
    </row>
    <row r="31" spans="2:12" x14ac:dyDescent="0.25">
      <c r="B31" s="151"/>
      <c r="C31" s="151"/>
      <c r="D31" s="151"/>
      <c r="E31" s="151"/>
      <c r="F31" s="151"/>
      <c r="G31" s="151"/>
      <c r="H31" s="151"/>
      <c r="I31" s="151"/>
      <c r="J31" s="151"/>
      <c r="K31" s="151"/>
      <c r="L31" s="151"/>
    </row>
    <row r="32" spans="2:12" x14ac:dyDescent="0.25">
      <c r="B32" s="151"/>
      <c r="C32" s="151"/>
      <c r="D32" s="151"/>
      <c r="E32" s="151"/>
      <c r="F32" s="151"/>
      <c r="G32" s="151"/>
      <c r="H32" s="151"/>
      <c r="I32" s="151"/>
      <c r="J32" s="151"/>
      <c r="K32" s="151"/>
      <c r="L32" s="151"/>
    </row>
    <row r="33" spans="2:12" x14ac:dyDescent="0.25">
      <c r="B33" s="151"/>
      <c r="C33" s="151"/>
      <c r="D33" s="151"/>
      <c r="E33" s="151"/>
      <c r="F33" s="151"/>
      <c r="G33" s="151"/>
      <c r="H33" s="151"/>
      <c r="I33" s="151"/>
      <c r="J33" s="151"/>
      <c r="K33" s="151"/>
      <c r="L33" s="151"/>
    </row>
    <row r="34" spans="2:12" x14ac:dyDescent="0.25">
      <c r="B34" s="151"/>
      <c r="C34" s="151"/>
      <c r="D34" s="151"/>
      <c r="E34" s="151"/>
      <c r="F34" s="151"/>
      <c r="G34" s="151"/>
      <c r="H34" s="151"/>
      <c r="I34" s="151"/>
      <c r="J34" s="151"/>
      <c r="K34" s="151"/>
      <c r="L34" s="151"/>
    </row>
    <row r="35" spans="2:12" x14ac:dyDescent="0.25">
      <c r="B35" s="151"/>
      <c r="C35" s="151"/>
      <c r="D35" s="151"/>
      <c r="E35" s="151"/>
      <c r="F35" s="151"/>
      <c r="G35" s="151"/>
      <c r="H35" s="151"/>
      <c r="I35" s="151"/>
      <c r="J35" s="151"/>
      <c r="K35" s="151"/>
      <c r="L35" s="151"/>
    </row>
    <row r="36" spans="2:12" x14ac:dyDescent="0.25">
      <c r="B36" s="151"/>
      <c r="C36" s="151"/>
      <c r="D36" s="151"/>
      <c r="E36" s="151"/>
      <c r="F36" s="151"/>
      <c r="G36" s="151"/>
      <c r="H36" s="151"/>
      <c r="I36" s="151"/>
      <c r="J36" s="151"/>
      <c r="K36" s="151"/>
      <c r="L36" s="151"/>
    </row>
    <row r="37" spans="2:12" x14ac:dyDescent="0.25">
      <c r="B37" s="151"/>
      <c r="C37" s="151"/>
      <c r="D37" s="151"/>
      <c r="E37" s="151"/>
      <c r="F37" s="151"/>
      <c r="G37" s="151"/>
      <c r="H37" s="151"/>
      <c r="I37" s="151"/>
      <c r="J37" s="151"/>
      <c r="K37" s="151"/>
      <c r="L37" s="151"/>
    </row>
    <row r="38" spans="2:12" x14ac:dyDescent="0.25">
      <c r="B38" s="151"/>
      <c r="C38" s="151"/>
      <c r="D38" s="151"/>
      <c r="E38" s="151"/>
      <c r="F38" s="151"/>
      <c r="G38" s="151"/>
      <c r="H38" s="151"/>
      <c r="I38" s="151"/>
      <c r="J38" s="151"/>
      <c r="K38" s="151"/>
      <c r="L38" s="151"/>
    </row>
    <row r="39" spans="2:12" x14ac:dyDescent="0.25">
      <c r="B39" s="151"/>
      <c r="C39" s="151"/>
      <c r="D39" s="151"/>
      <c r="E39" s="151"/>
      <c r="F39" s="151"/>
      <c r="G39" s="151"/>
      <c r="H39" s="151"/>
      <c r="I39" s="151"/>
      <c r="J39" s="151"/>
      <c r="K39" s="151"/>
      <c r="L39" s="151"/>
    </row>
    <row r="40" spans="2:12" x14ac:dyDescent="0.25">
      <c r="B40" s="151"/>
      <c r="C40" s="151"/>
      <c r="D40" s="151"/>
      <c r="E40" s="151"/>
      <c r="F40" s="151"/>
      <c r="G40" s="151"/>
      <c r="H40" s="151"/>
      <c r="I40" s="151"/>
      <c r="J40" s="151"/>
      <c r="K40" s="151"/>
      <c r="L40" s="151"/>
    </row>
    <row r="41" spans="2:12" x14ac:dyDescent="0.25">
      <c r="B41" s="151"/>
      <c r="C41" s="151"/>
      <c r="D41" s="151"/>
      <c r="E41" s="151"/>
      <c r="F41" s="151"/>
      <c r="G41" s="151"/>
      <c r="H41" s="151"/>
      <c r="I41" s="151"/>
      <c r="J41" s="151"/>
      <c r="K41" s="151"/>
      <c r="L41" s="151"/>
    </row>
    <row r="42" spans="2:12" x14ac:dyDescent="0.25">
      <c r="B42" s="151"/>
      <c r="C42" s="151"/>
      <c r="D42" s="151"/>
      <c r="E42" s="151"/>
      <c r="F42" s="151"/>
      <c r="G42" s="151"/>
      <c r="H42" s="151"/>
      <c r="I42" s="151"/>
      <c r="J42" s="151"/>
      <c r="K42" s="151"/>
      <c r="L42" s="151"/>
    </row>
    <row r="43" spans="2:12" x14ac:dyDescent="0.25">
      <c r="B43" s="151"/>
      <c r="C43" s="151"/>
      <c r="D43" s="151"/>
      <c r="E43" s="151"/>
      <c r="F43" s="151"/>
      <c r="G43" s="151"/>
      <c r="H43" s="151"/>
      <c r="I43" s="151"/>
      <c r="J43" s="151"/>
      <c r="K43" s="151"/>
      <c r="L43" s="151"/>
    </row>
    <row r="44" spans="2:12" x14ac:dyDescent="0.25">
      <c r="B44" s="151"/>
      <c r="C44" s="151"/>
      <c r="D44" s="151"/>
      <c r="E44" s="151"/>
      <c r="F44" s="151"/>
      <c r="G44" s="151"/>
      <c r="H44" s="151"/>
      <c r="I44" s="151"/>
      <c r="J44" s="151"/>
      <c r="K44" s="151"/>
      <c r="L44" s="151"/>
    </row>
    <row r="45" spans="2:12" x14ac:dyDescent="0.25">
      <c r="B45" s="151"/>
      <c r="C45" s="151"/>
      <c r="D45" s="151"/>
      <c r="E45" s="151"/>
      <c r="F45" s="151"/>
      <c r="G45" s="151"/>
      <c r="H45" s="151"/>
      <c r="I45" s="151"/>
      <c r="J45" s="151"/>
      <c r="K45" s="151"/>
      <c r="L45" s="151"/>
    </row>
    <row r="46" spans="2:12" x14ac:dyDescent="0.25">
      <c r="B46" s="151"/>
      <c r="C46" s="151"/>
      <c r="D46" s="151"/>
      <c r="E46" s="151"/>
      <c r="F46" s="151"/>
      <c r="G46" s="151"/>
      <c r="H46" s="151"/>
      <c r="I46" s="151"/>
      <c r="J46" s="151"/>
      <c r="K46" s="151"/>
      <c r="L46" s="151"/>
    </row>
    <row r="47" spans="2:12" x14ac:dyDescent="0.25">
      <c r="B47" s="151"/>
      <c r="C47" s="151"/>
      <c r="D47" s="151"/>
      <c r="E47" s="151"/>
      <c r="F47" s="151"/>
      <c r="G47" s="151"/>
      <c r="H47" s="151"/>
      <c r="I47" s="151"/>
      <c r="J47" s="151"/>
      <c r="K47" s="151"/>
      <c r="L47" s="151"/>
    </row>
    <row r="48" spans="2:12" x14ac:dyDescent="0.25">
      <c r="B48" s="151"/>
      <c r="C48" s="151"/>
      <c r="D48" s="151"/>
      <c r="E48" s="151"/>
      <c r="F48" s="151"/>
      <c r="G48" s="151"/>
      <c r="H48" s="151"/>
      <c r="I48" s="151"/>
      <c r="J48" s="151"/>
      <c r="K48" s="151"/>
      <c r="L48" s="151"/>
    </row>
    <row r="49" spans="2:12" x14ac:dyDescent="0.25">
      <c r="B49" s="151"/>
      <c r="C49" s="151"/>
      <c r="D49" s="151"/>
      <c r="E49" s="151"/>
      <c r="F49" s="151"/>
      <c r="G49" s="151"/>
      <c r="H49" s="151"/>
      <c r="I49" s="151"/>
      <c r="J49" s="151"/>
      <c r="K49" s="151"/>
      <c r="L49" s="151"/>
    </row>
    <row r="50" spans="2:12" x14ac:dyDescent="0.25">
      <c r="B50" s="151"/>
      <c r="C50" s="151"/>
      <c r="D50" s="151"/>
      <c r="E50" s="151"/>
      <c r="F50" s="151"/>
      <c r="G50" s="151"/>
      <c r="H50" s="151"/>
      <c r="I50" s="151"/>
      <c r="J50" s="151"/>
      <c r="K50" s="151"/>
      <c r="L50" s="151"/>
    </row>
    <row r="51" spans="2:12" x14ac:dyDescent="0.25">
      <c r="B51" s="151"/>
      <c r="C51" s="151"/>
      <c r="D51" s="151"/>
      <c r="E51" s="151"/>
      <c r="F51" s="151"/>
      <c r="G51" s="151"/>
      <c r="H51" s="151"/>
      <c r="I51" s="151"/>
      <c r="J51" s="151"/>
      <c r="K51" s="151"/>
      <c r="L51" s="151"/>
    </row>
    <row r="52" spans="2:12" x14ac:dyDescent="0.25">
      <c r="B52" s="151"/>
      <c r="C52" s="151"/>
      <c r="D52" s="151"/>
      <c r="E52" s="151"/>
      <c r="F52" s="151"/>
      <c r="G52" s="151"/>
      <c r="H52" s="151"/>
      <c r="I52" s="151"/>
      <c r="J52" s="151"/>
      <c r="K52" s="151"/>
      <c r="L52" s="151"/>
    </row>
    <row r="53" spans="2:12" x14ac:dyDescent="0.25">
      <c r="B53" s="151"/>
      <c r="C53" s="151"/>
      <c r="D53" s="151"/>
      <c r="E53" s="151"/>
      <c r="F53" s="151"/>
      <c r="G53" s="151"/>
      <c r="H53" s="151"/>
      <c r="I53" s="151"/>
      <c r="J53" s="151"/>
      <c r="K53" s="151"/>
      <c r="L53" s="151"/>
    </row>
    <row r="54" spans="2:12" x14ac:dyDescent="0.25">
      <c r="B54" s="151"/>
      <c r="C54" s="151"/>
      <c r="D54" s="151"/>
      <c r="E54" s="151"/>
      <c r="F54" s="151"/>
      <c r="G54" s="151"/>
      <c r="H54" s="151"/>
      <c r="I54" s="151"/>
      <c r="J54" s="151"/>
      <c r="K54" s="151"/>
      <c r="L54" s="151"/>
    </row>
    <row r="55" spans="2:12" x14ac:dyDescent="0.25">
      <c r="B55" s="151"/>
      <c r="C55" s="151"/>
      <c r="D55" s="151"/>
      <c r="E55" s="151"/>
      <c r="F55" s="151"/>
      <c r="G55" s="151"/>
      <c r="H55" s="151"/>
      <c r="I55" s="151"/>
      <c r="J55" s="151"/>
      <c r="K55" s="151"/>
      <c r="L55" s="151"/>
    </row>
    <row r="56" spans="2:12" x14ac:dyDescent="0.25">
      <c r="B56" s="151"/>
      <c r="C56" s="151"/>
      <c r="D56" s="151"/>
      <c r="E56" s="151"/>
      <c r="F56" s="151"/>
      <c r="G56" s="151"/>
      <c r="H56" s="151"/>
      <c r="I56" s="151"/>
      <c r="J56" s="151"/>
      <c r="K56" s="151"/>
      <c r="L56" s="151"/>
    </row>
    <row r="57" spans="2:12" x14ac:dyDescent="0.25">
      <c r="B57" s="151"/>
      <c r="C57" s="151"/>
      <c r="D57" s="151"/>
      <c r="E57" s="151"/>
      <c r="F57" s="151"/>
      <c r="G57" s="151"/>
      <c r="H57" s="151"/>
      <c r="I57" s="151"/>
      <c r="J57" s="151"/>
      <c r="K57" s="151"/>
      <c r="L57" s="151"/>
    </row>
    <row r="58" spans="2:12" x14ac:dyDescent="0.25">
      <c r="B58" s="151"/>
      <c r="C58" s="151"/>
      <c r="D58" s="151"/>
      <c r="E58" s="151"/>
      <c r="F58" s="151"/>
      <c r="G58" s="151"/>
      <c r="H58" s="151"/>
      <c r="I58" s="151"/>
      <c r="J58" s="151"/>
      <c r="K58" s="151"/>
      <c r="L58" s="151"/>
    </row>
  </sheetData>
  <mergeCells count="3">
    <mergeCell ref="B2:L2"/>
    <mergeCell ref="B3:L3"/>
    <mergeCell ref="B4:L5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1:A1000"/>
  <sheetViews>
    <sheetView showGridLines="0" topLeftCell="A7"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000"/>
  <sheetViews>
    <sheetView showGridLines="0" topLeftCell="B7" zoomScale="130" zoomScaleNormal="130" workbookViewId="0">
      <selection activeCell="E20" sqref="E20"/>
    </sheetView>
  </sheetViews>
  <sheetFormatPr defaultColWidth="14.42578125" defaultRowHeight="15" customHeight="1" x14ac:dyDescent="0.25"/>
  <cols>
    <col min="1" max="1" width="8.7109375" customWidth="1"/>
    <col min="2" max="2" width="28.140625" customWidth="1"/>
    <col min="3" max="4" width="15.42578125" customWidth="1"/>
    <col min="5" max="5" width="12.42578125" customWidth="1"/>
    <col min="6" max="6" width="13.5703125" customWidth="1"/>
    <col min="7" max="7" width="14.5703125" customWidth="1"/>
    <col min="8" max="8" width="13" customWidth="1"/>
    <col min="9" max="9" width="12.42578125" customWidth="1"/>
    <col min="10" max="11" width="8.7109375" customWidth="1"/>
    <col min="12" max="12" width="14.28515625" customWidth="1"/>
    <col min="13" max="13" width="15.5703125" customWidth="1"/>
    <col min="14" max="26" width="8.7109375" customWidth="1"/>
  </cols>
  <sheetData>
    <row r="1" spans="2:11" ht="285" customHeight="1" x14ac:dyDescent="0.25">
      <c r="B1" s="92" t="s">
        <v>0</v>
      </c>
      <c r="C1" s="93"/>
      <c r="D1" s="93"/>
      <c r="E1" s="93"/>
      <c r="F1" s="93"/>
      <c r="G1" s="93"/>
      <c r="H1" s="93"/>
      <c r="I1" s="93"/>
    </row>
    <row r="2" spans="2:11" ht="31.5" customHeight="1" x14ac:dyDescent="0.25">
      <c r="B2" s="94" t="s">
        <v>1</v>
      </c>
      <c r="C2" s="97" t="s">
        <v>2</v>
      </c>
      <c r="D2" s="98"/>
      <c r="E2" s="98"/>
      <c r="F2" s="99"/>
      <c r="G2" s="97" t="s">
        <v>3</v>
      </c>
      <c r="H2" s="98"/>
      <c r="I2" s="99"/>
    </row>
    <row r="3" spans="2:11" x14ac:dyDescent="0.25">
      <c r="B3" s="95"/>
      <c r="C3" s="97" t="s">
        <v>4</v>
      </c>
      <c r="D3" s="99"/>
      <c r="E3" s="97" t="s">
        <v>5</v>
      </c>
      <c r="F3" s="99"/>
      <c r="G3" s="100" t="s">
        <v>6</v>
      </c>
      <c r="H3" s="100" t="s">
        <v>7</v>
      </c>
      <c r="I3" s="100" t="s">
        <v>8</v>
      </c>
    </row>
    <row r="4" spans="2:11" ht="31.5" x14ac:dyDescent="0.25">
      <c r="B4" s="96"/>
      <c r="C4" s="3" t="s">
        <v>9</v>
      </c>
      <c r="D4" s="3" t="s">
        <v>10</v>
      </c>
      <c r="E4" s="3" t="s">
        <v>11</v>
      </c>
      <c r="F4" s="3" t="s">
        <v>12</v>
      </c>
      <c r="G4" s="96"/>
      <c r="H4" s="96"/>
      <c r="I4" s="96"/>
    </row>
    <row r="5" spans="2:11" ht="15.75" x14ac:dyDescent="0.25">
      <c r="B5" s="4">
        <v>1</v>
      </c>
      <c r="C5" s="4">
        <v>2</v>
      </c>
      <c r="D5" s="4">
        <v>3</v>
      </c>
      <c r="E5" s="4">
        <v>4</v>
      </c>
      <c r="F5" s="4">
        <v>5</v>
      </c>
      <c r="G5" s="4">
        <v>6</v>
      </c>
      <c r="H5" s="4">
        <v>7</v>
      </c>
      <c r="I5" s="5">
        <v>8</v>
      </c>
    </row>
    <row r="6" spans="2:11" x14ac:dyDescent="0.25">
      <c r="B6" s="101" t="s">
        <v>13</v>
      </c>
      <c r="C6" s="98"/>
      <c r="D6" s="98"/>
      <c r="E6" s="98"/>
      <c r="F6" s="98"/>
      <c r="G6" s="98"/>
      <c r="H6" s="98"/>
      <c r="I6" s="99"/>
    </row>
    <row r="7" spans="2:11" ht="31.5" x14ac:dyDescent="0.25">
      <c r="B7" s="6" t="s">
        <v>14</v>
      </c>
      <c r="C7" s="7">
        <v>400242456</v>
      </c>
      <c r="D7" s="7">
        <v>414345746</v>
      </c>
      <c r="E7" s="8">
        <f t="shared" ref="E7:E8" si="0">C7/$C$17</f>
        <v>0.60540585051796303</v>
      </c>
      <c r="F7" s="8">
        <f t="shared" ref="F7:F8" si="1">D7/$D$17</f>
        <v>0.58170776493523912</v>
      </c>
      <c r="G7" s="7">
        <f t="shared" ref="G7:G8" si="2">D7-C7</f>
        <v>14103290</v>
      </c>
      <c r="H7" s="8">
        <f t="shared" ref="H7:H8" si="3">F7-E7</f>
        <v>-2.3698085582723905E-2</v>
      </c>
      <c r="I7" s="8">
        <f t="shared" ref="I7:I8" si="4">D7/C7</f>
        <v>1.0352368665257241</v>
      </c>
      <c r="K7" s="9"/>
    </row>
    <row r="8" spans="2:11" ht="15.75" x14ac:dyDescent="0.25">
      <c r="B8" s="6" t="s">
        <v>15</v>
      </c>
      <c r="C8" s="105">
        <v>287652210</v>
      </c>
      <c r="D8" s="102">
        <v>292981955</v>
      </c>
      <c r="E8" s="103">
        <f t="shared" si="0"/>
        <v>0.4351020943375925</v>
      </c>
      <c r="F8" s="103">
        <f t="shared" si="1"/>
        <v>0.4113228622586288</v>
      </c>
      <c r="G8" s="104">
        <f t="shared" si="2"/>
        <v>5329745</v>
      </c>
      <c r="H8" s="103">
        <f t="shared" si="3"/>
        <v>-2.3779232078963708E-2</v>
      </c>
      <c r="I8" s="103">
        <f t="shared" si="4"/>
        <v>1.0185284340419287</v>
      </c>
    </row>
    <row r="9" spans="2:11" ht="15.75" x14ac:dyDescent="0.25">
      <c r="B9" s="11" t="s">
        <v>16</v>
      </c>
      <c r="C9" s="106"/>
      <c r="D9" s="96"/>
      <c r="E9" s="96"/>
      <c r="F9" s="96"/>
      <c r="G9" s="96"/>
      <c r="H9" s="96"/>
      <c r="I9" s="96"/>
    </row>
    <row r="10" spans="2:11" ht="31.5" x14ac:dyDescent="0.25">
      <c r="B10" s="11" t="s">
        <v>17</v>
      </c>
      <c r="C10" s="7">
        <v>88609063</v>
      </c>
      <c r="D10" s="7">
        <v>87128579</v>
      </c>
      <c r="E10" s="8">
        <f t="shared" ref="E10:E12" si="5">C10/$C$17</f>
        <v>0.13402987200616909</v>
      </c>
      <c r="F10" s="8">
        <f>D10/D17</f>
        <v>0.12232144637988732</v>
      </c>
      <c r="G10" s="7">
        <f t="shared" ref="G10:G12" si="6">D10-C10</f>
        <v>-1480484</v>
      </c>
      <c r="H10" s="8">
        <f t="shared" ref="H10:H12" si="7">F10-E10</f>
        <v>-1.1708425626281771E-2</v>
      </c>
      <c r="I10" s="8">
        <f>D10/C10</f>
        <v>0.98329195739266539</v>
      </c>
    </row>
    <row r="11" spans="2:11" ht="15.75" x14ac:dyDescent="0.25">
      <c r="B11" s="6" t="s">
        <v>18</v>
      </c>
      <c r="C11" s="12">
        <v>260871829</v>
      </c>
      <c r="D11" s="7">
        <v>297946183</v>
      </c>
      <c r="E11" s="8">
        <f t="shared" si="5"/>
        <v>0.39459414948203697</v>
      </c>
      <c r="F11" s="8">
        <f t="shared" ref="F11:F12" si="8">D11/$D$17</f>
        <v>0.41829223506476093</v>
      </c>
      <c r="G11" s="7">
        <f t="shared" si="6"/>
        <v>37074354</v>
      </c>
      <c r="H11" s="8">
        <f t="shared" si="7"/>
        <v>2.369808558272396E-2</v>
      </c>
      <c r="I11" s="8">
        <f>'Задание 1'!_GoBack/C11</f>
        <v>1.1421171237312864</v>
      </c>
    </row>
    <row r="12" spans="2:11" ht="15.75" x14ac:dyDescent="0.25">
      <c r="B12" s="6" t="s">
        <v>15</v>
      </c>
      <c r="C12" s="105">
        <v>138990795</v>
      </c>
      <c r="D12" s="102">
        <v>179894309</v>
      </c>
      <c r="E12" s="103">
        <f t="shared" si="5"/>
        <v>0.2102371679958481</v>
      </c>
      <c r="F12" s="103">
        <f t="shared" si="8"/>
        <v>0.25255699478801757</v>
      </c>
      <c r="G12" s="104">
        <f t="shared" si="6"/>
        <v>40903514</v>
      </c>
      <c r="H12" s="103">
        <f t="shared" si="7"/>
        <v>4.2319826792169474E-2</v>
      </c>
      <c r="I12" s="103">
        <f>D12/C12</f>
        <v>1.2942893736236274</v>
      </c>
    </row>
    <row r="13" spans="2:11" ht="15.75" x14ac:dyDescent="0.25">
      <c r="B13" s="11" t="s">
        <v>19</v>
      </c>
      <c r="C13" s="106"/>
      <c r="D13" s="96"/>
      <c r="E13" s="96"/>
      <c r="F13" s="96"/>
      <c r="G13" s="96"/>
      <c r="H13" s="96"/>
      <c r="I13" s="96"/>
    </row>
    <row r="14" spans="2:11" ht="31.5" x14ac:dyDescent="0.25">
      <c r="B14" s="11" t="s">
        <v>20</v>
      </c>
      <c r="C14" s="7">
        <v>15263884</v>
      </c>
      <c r="D14" s="7">
        <v>13255354</v>
      </c>
      <c r="E14" s="8">
        <f t="shared" ref="E14:E16" si="9">C14/$C$17</f>
        <v>2.3088117056796011E-2</v>
      </c>
      <c r="F14" s="8">
        <f>D14/D17</f>
        <v>1.8609440119038607E-2</v>
      </c>
      <c r="G14" s="7">
        <f t="shared" ref="G14:G17" si="10">D14-C14</f>
        <v>-2008530</v>
      </c>
      <c r="H14" s="8">
        <f t="shared" ref="H14:H16" si="11">F14-E14</f>
        <v>-4.4786769377574039E-3</v>
      </c>
      <c r="I14" s="8">
        <f t="shared" ref="I14:I17" si="12">D14/C14</f>
        <v>0.86841291508766705</v>
      </c>
    </row>
    <row r="15" spans="2:11" ht="47.25" x14ac:dyDescent="0.25">
      <c r="B15" s="14" t="s">
        <v>21</v>
      </c>
      <c r="C15" s="7">
        <v>74663863</v>
      </c>
      <c r="D15" s="15">
        <v>27048515</v>
      </c>
      <c r="E15" s="8">
        <f t="shared" si="9"/>
        <v>0.11293639344065905</v>
      </c>
      <c r="F15" s="16">
        <f>D15/D17</f>
        <v>3.7973917573338109E-2</v>
      </c>
      <c r="G15" s="7">
        <f t="shared" si="10"/>
        <v>-47615348</v>
      </c>
      <c r="H15" s="16">
        <f t="shared" si="11"/>
        <v>-7.4962475867320938E-2</v>
      </c>
      <c r="I15" s="8">
        <f t="shared" si="12"/>
        <v>0.36227050025525737</v>
      </c>
    </row>
    <row r="16" spans="2:11" ht="15.75" x14ac:dyDescent="0.25">
      <c r="B16" s="14" t="s">
        <v>22</v>
      </c>
      <c r="C16" s="7">
        <v>31364328</v>
      </c>
      <c r="D16" s="7">
        <v>76721242</v>
      </c>
      <c r="E16" s="8">
        <f t="shared" si="9"/>
        <v>4.7441612912660025E-2</v>
      </c>
      <c r="F16" s="8">
        <f>D16/D17</f>
        <v>0.10771039074907166</v>
      </c>
      <c r="G16" s="7">
        <f t="shared" si="10"/>
        <v>45356914</v>
      </c>
      <c r="H16" s="8">
        <f t="shared" si="11"/>
        <v>6.026877783641163E-2</v>
      </c>
      <c r="I16" s="8">
        <f t="shared" si="12"/>
        <v>2.4461305850391564</v>
      </c>
    </row>
    <row r="17" spans="2:13" ht="15.75" x14ac:dyDescent="0.25">
      <c r="B17" s="14" t="s">
        <v>23</v>
      </c>
      <c r="C17" s="7">
        <v>661114285</v>
      </c>
      <c r="D17" s="7">
        <v>712291929</v>
      </c>
      <c r="E17" s="17">
        <v>1</v>
      </c>
      <c r="F17" s="17">
        <v>1</v>
      </c>
      <c r="G17" s="7">
        <f t="shared" si="10"/>
        <v>51177644</v>
      </c>
      <c r="H17" s="4" t="s">
        <v>24</v>
      </c>
      <c r="I17" s="8">
        <f t="shared" si="12"/>
        <v>1.0774111907141743</v>
      </c>
    </row>
    <row r="18" spans="2:13" x14ac:dyDescent="0.25">
      <c r="B18" s="109" t="s">
        <v>25</v>
      </c>
      <c r="C18" s="98"/>
      <c r="D18" s="98"/>
      <c r="E18" s="98"/>
      <c r="F18" s="98"/>
      <c r="G18" s="98"/>
      <c r="H18" s="98"/>
      <c r="I18" s="99"/>
    </row>
    <row r="19" spans="2:13" ht="31.5" x14ac:dyDescent="0.25">
      <c r="B19" s="18" t="s">
        <v>26</v>
      </c>
      <c r="C19" s="7">
        <v>412079355</v>
      </c>
      <c r="D19" s="7">
        <v>387299772</v>
      </c>
      <c r="E19" s="8">
        <f t="shared" ref="E19:E23" si="13">C19/$C$29</f>
        <v>0.62331031767071865</v>
      </c>
      <c r="F19" s="8">
        <f t="shared" ref="F19:F21" si="14">D19/$D$29</f>
        <v>0.54373741471946402</v>
      </c>
      <c r="G19" s="7">
        <f t="shared" ref="G19:G23" si="15">D19-C19</f>
        <v>-24779583</v>
      </c>
      <c r="H19" s="8">
        <f t="shared" ref="H19:H23" si="16">F19-E19</f>
        <v>-7.9572902951254632E-2</v>
      </c>
      <c r="I19" s="8">
        <f t="shared" ref="I19:I23" si="17">D19/C19</f>
        <v>0.93986696324546515</v>
      </c>
    </row>
    <row r="20" spans="2:13" ht="31.5" x14ac:dyDescent="0.25">
      <c r="B20" s="18" t="s">
        <v>27</v>
      </c>
      <c r="C20" s="7">
        <v>357643976</v>
      </c>
      <c r="D20" s="7">
        <v>332867482</v>
      </c>
      <c r="E20" s="8">
        <f t="shared" si="13"/>
        <v>0.54097148422681562</v>
      </c>
      <c r="F20" s="8">
        <f t="shared" si="14"/>
        <v>0.46731890177011959</v>
      </c>
      <c r="G20" s="7">
        <f t="shared" si="15"/>
        <v>-24776494</v>
      </c>
      <c r="H20" s="8">
        <f t="shared" si="16"/>
        <v>-7.3652582456696036E-2</v>
      </c>
      <c r="I20" s="8">
        <f t="shared" si="17"/>
        <v>0.93072302160067699</v>
      </c>
    </row>
    <row r="21" spans="2:13" ht="15.75" customHeight="1" x14ac:dyDescent="0.25">
      <c r="B21" s="18" t="s">
        <v>28</v>
      </c>
      <c r="C21" s="12">
        <v>50016396</v>
      </c>
      <c r="D21" s="12">
        <v>50013307</v>
      </c>
      <c r="E21" s="8">
        <f t="shared" si="13"/>
        <v>7.5654689567023953E-2</v>
      </c>
      <c r="F21" s="8">
        <f t="shared" si="14"/>
        <v>7.0214619826192079E-2</v>
      </c>
      <c r="G21" s="7">
        <f t="shared" si="15"/>
        <v>-3089</v>
      </c>
      <c r="H21" s="8">
        <f t="shared" si="16"/>
        <v>-5.4400697408318738E-3</v>
      </c>
      <c r="I21" s="8">
        <f t="shared" si="17"/>
        <v>0.99993824025225653</v>
      </c>
      <c r="L21" s="19"/>
      <c r="M21" s="19"/>
    </row>
    <row r="22" spans="2:13" ht="15.75" customHeight="1" x14ac:dyDescent="0.25">
      <c r="B22" s="6" t="s">
        <v>29</v>
      </c>
      <c r="C22" s="7">
        <v>136345608</v>
      </c>
      <c r="D22" s="7">
        <v>223478966</v>
      </c>
      <c r="E22" s="8">
        <f t="shared" si="13"/>
        <v>0.20623606401123218</v>
      </c>
      <c r="F22" s="8">
        <f>D22/D29</f>
        <v>0.31374631229325639</v>
      </c>
      <c r="G22" s="7">
        <f t="shared" si="15"/>
        <v>87133358</v>
      </c>
      <c r="H22" s="8">
        <f t="shared" si="16"/>
        <v>0.10751024828202421</v>
      </c>
      <c r="I22" s="8">
        <f t="shared" si="17"/>
        <v>1.63906244783477</v>
      </c>
    </row>
    <row r="23" spans="2:13" ht="15.75" customHeight="1" x14ac:dyDescent="0.25">
      <c r="B23" s="6" t="s">
        <v>15</v>
      </c>
      <c r="C23" s="104">
        <v>74182607</v>
      </c>
      <c r="D23" s="104">
        <v>150566427</v>
      </c>
      <c r="E23" s="103">
        <f t="shared" si="13"/>
        <v>0.11220844668331437</v>
      </c>
      <c r="F23" s="103">
        <f>D23/D29</f>
        <v>0.21138303112795764</v>
      </c>
      <c r="G23" s="102">
        <f t="shared" si="15"/>
        <v>76383820</v>
      </c>
      <c r="H23" s="103">
        <f t="shared" si="16"/>
        <v>9.9174584444643277E-2</v>
      </c>
      <c r="I23" s="103">
        <f t="shared" si="17"/>
        <v>2.0296728989316861</v>
      </c>
    </row>
    <row r="24" spans="2:13" ht="15.75" customHeight="1" x14ac:dyDescent="0.25">
      <c r="B24" s="11" t="s">
        <v>30</v>
      </c>
      <c r="C24" s="96"/>
      <c r="D24" s="96"/>
      <c r="E24" s="96"/>
      <c r="F24" s="96"/>
      <c r="G24" s="96"/>
      <c r="H24" s="96"/>
      <c r="I24" s="96"/>
    </row>
    <row r="25" spans="2:13" ht="15.75" customHeight="1" x14ac:dyDescent="0.25">
      <c r="B25" s="20" t="s">
        <v>31</v>
      </c>
      <c r="C25" s="7">
        <v>112689322</v>
      </c>
      <c r="D25" s="7">
        <v>101513191</v>
      </c>
      <c r="E25" s="8">
        <f>C25/$C$29</f>
        <v>0.1704536183180492</v>
      </c>
      <c r="F25" s="8">
        <f>D25/D29</f>
        <v>0.14251627298727962</v>
      </c>
      <c r="G25" s="7">
        <f t="shared" ref="G25:G26" si="18">D25-C25</f>
        <v>-11176131</v>
      </c>
      <c r="H25" s="8">
        <f t="shared" ref="H25:H26" si="19">F25-E25</f>
        <v>-2.7937345330769581E-2</v>
      </c>
      <c r="I25" s="8">
        <f t="shared" ref="I25:I26" si="20">D25/C25</f>
        <v>0.90082351369546798</v>
      </c>
    </row>
    <row r="26" spans="2:13" ht="15.75" customHeight="1" x14ac:dyDescent="0.25">
      <c r="B26" s="6" t="s">
        <v>15</v>
      </c>
      <c r="C26" s="104">
        <v>75752126</v>
      </c>
      <c r="D26" s="104">
        <v>58978302</v>
      </c>
      <c r="E26" s="103">
        <f t="shared" ref="E26:F26" si="21">C26/C29</f>
        <v>0.11458249763881596</v>
      </c>
      <c r="F26" s="103">
        <f t="shared" si="21"/>
        <v>8.2800744468354073E-2</v>
      </c>
      <c r="G26" s="102">
        <f t="shared" si="18"/>
        <v>-16773824</v>
      </c>
      <c r="H26" s="103">
        <f t="shared" si="19"/>
        <v>-3.1781753170461891E-2</v>
      </c>
      <c r="I26" s="103">
        <f t="shared" si="20"/>
        <v>0.77856959420518446</v>
      </c>
    </row>
    <row r="27" spans="2:13" ht="15.75" customHeight="1" x14ac:dyDescent="0.25">
      <c r="B27" s="11" t="s">
        <v>32</v>
      </c>
      <c r="C27" s="96"/>
      <c r="D27" s="96"/>
      <c r="E27" s="96"/>
      <c r="F27" s="96"/>
      <c r="G27" s="96"/>
      <c r="H27" s="96"/>
      <c r="I27" s="96"/>
    </row>
    <row r="28" spans="2:13" ht="15.75" customHeight="1" x14ac:dyDescent="0.25">
      <c r="B28" s="11" t="s">
        <v>33</v>
      </c>
      <c r="C28" s="7">
        <v>23145070</v>
      </c>
      <c r="D28" s="7">
        <v>29443018</v>
      </c>
      <c r="E28" s="8">
        <f t="shared" ref="E28:F28" si="22">C28/C29</f>
        <v>3.5009181506341219E-2</v>
      </c>
      <c r="F28" s="8">
        <f t="shared" si="22"/>
        <v>4.1335605250133335E-2</v>
      </c>
      <c r="G28" s="7">
        <f t="shared" ref="G28:G29" si="23">D28-C28</f>
        <v>6297948</v>
      </c>
      <c r="H28" s="8">
        <f>F28-E28</f>
        <v>6.3264237437921159E-3</v>
      </c>
      <c r="I28" s="8">
        <f t="shared" ref="I28:I29" si="24">D28/C28</f>
        <v>1.2721075373718895</v>
      </c>
    </row>
    <row r="29" spans="2:13" ht="15.75" customHeight="1" x14ac:dyDescent="0.25">
      <c r="B29" s="21" t="s">
        <v>34</v>
      </c>
      <c r="C29" s="7">
        <v>661114285</v>
      </c>
      <c r="D29" s="7">
        <v>712291929</v>
      </c>
      <c r="E29" s="17">
        <v>1</v>
      </c>
      <c r="F29" s="17">
        <v>1</v>
      </c>
      <c r="G29" s="7">
        <f t="shared" si="23"/>
        <v>51177644</v>
      </c>
      <c r="H29" s="4" t="s">
        <v>24</v>
      </c>
      <c r="I29" s="8">
        <f t="shared" si="24"/>
        <v>1.0774111907141743</v>
      </c>
    </row>
    <row r="30" spans="2:13" ht="15.75" customHeight="1" x14ac:dyDescent="0.25"/>
    <row r="31" spans="2:13" ht="15.75" customHeight="1" x14ac:dyDescent="0.25">
      <c r="B31" s="22" t="s">
        <v>35</v>
      </c>
      <c r="D31" s="9"/>
      <c r="E31" s="9"/>
    </row>
    <row r="32" spans="2:13" ht="15.75" customHeight="1" x14ac:dyDescent="0.25">
      <c r="B32" s="107" t="s">
        <v>36</v>
      </c>
      <c r="C32" s="108"/>
      <c r="D32" s="108"/>
      <c r="E32" s="108"/>
      <c r="F32" s="108"/>
      <c r="G32" s="108"/>
      <c r="H32" s="108"/>
      <c r="I32" s="108"/>
      <c r="J32" s="108"/>
      <c r="K32" s="108"/>
      <c r="L32" s="108"/>
    </row>
    <row r="33" spans="2:12" ht="15.75" customHeight="1" x14ac:dyDescent="0.25">
      <c r="B33" s="108"/>
      <c r="C33" s="108"/>
      <c r="D33" s="108"/>
      <c r="E33" s="108"/>
      <c r="F33" s="108"/>
      <c r="G33" s="108"/>
      <c r="H33" s="108"/>
      <c r="I33" s="108"/>
      <c r="J33" s="108"/>
      <c r="K33" s="108"/>
      <c r="L33" s="108"/>
    </row>
    <row r="34" spans="2:12" ht="15.75" customHeight="1" x14ac:dyDescent="0.25">
      <c r="B34" s="108"/>
      <c r="C34" s="108"/>
      <c r="D34" s="108"/>
      <c r="E34" s="108"/>
      <c r="F34" s="108"/>
      <c r="G34" s="108"/>
      <c r="H34" s="108"/>
      <c r="I34" s="108"/>
      <c r="J34" s="108"/>
      <c r="K34" s="108"/>
      <c r="L34" s="108"/>
    </row>
    <row r="35" spans="2:12" ht="15.75" customHeight="1" x14ac:dyDescent="0.25">
      <c r="B35" s="108"/>
      <c r="C35" s="108"/>
      <c r="D35" s="108"/>
      <c r="E35" s="108"/>
      <c r="F35" s="108"/>
      <c r="G35" s="108"/>
      <c r="H35" s="108"/>
      <c r="I35" s="108"/>
      <c r="J35" s="108"/>
      <c r="K35" s="108"/>
      <c r="L35" s="108"/>
    </row>
    <row r="36" spans="2:12" ht="15.75" customHeight="1" x14ac:dyDescent="0.25">
      <c r="B36" s="108"/>
      <c r="C36" s="108"/>
      <c r="D36" s="108"/>
      <c r="E36" s="108"/>
      <c r="F36" s="108"/>
      <c r="G36" s="108"/>
      <c r="H36" s="108"/>
      <c r="I36" s="108"/>
      <c r="J36" s="108"/>
      <c r="K36" s="108"/>
      <c r="L36" s="108"/>
    </row>
    <row r="37" spans="2:12" ht="15.75" customHeight="1" x14ac:dyDescent="0.25">
      <c r="B37" s="108"/>
      <c r="C37" s="108"/>
      <c r="D37" s="108"/>
      <c r="E37" s="108"/>
      <c r="F37" s="108"/>
      <c r="G37" s="108"/>
      <c r="H37" s="108"/>
      <c r="I37" s="108"/>
      <c r="J37" s="108"/>
      <c r="K37" s="108"/>
      <c r="L37" s="108"/>
    </row>
    <row r="38" spans="2:12" ht="15.75" customHeight="1" x14ac:dyDescent="0.25">
      <c r="B38" s="108"/>
      <c r="C38" s="108"/>
      <c r="D38" s="108"/>
      <c r="E38" s="108"/>
      <c r="F38" s="108"/>
      <c r="G38" s="108"/>
      <c r="H38" s="108"/>
      <c r="I38" s="108"/>
      <c r="J38" s="108"/>
      <c r="K38" s="108"/>
      <c r="L38" s="108"/>
    </row>
    <row r="39" spans="2:12" ht="15.75" customHeight="1" x14ac:dyDescent="0.25">
      <c r="B39" s="108"/>
      <c r="C39" s="108"/>
      <c r="D39" s="108"/>
      <c r="E39" s="108"/>
      <c r="F39" s="108"/>
      <c r="G39" s="108"/>
      <c r="H39" s="108"/>
      <c r="I39" s="108"/>
      <c r="J39" s="108"/>
      <c r="K39" s="108"/>
      <c r="L39" s="108"/>
    </row>
    <row r="40" spans="2:12" ht="15.75" customHeight="1" x14ac:dyDescent="0.25">
      <c r="B40" s="108"/>
      <c r="C40" s="108"/>
      <c r="D40" s="108"/>
      <c r="E40" s="108"/>
      <c r="F40" s="108"/>
      <c r="G40" s="108"/>
      <c r="H40" s="108"/>
      <c r="I40" s="108"/>
      <c r="J40" s="108"/>
      <c r="K40" s="108"/>
      <c r="L40" s="108"/>
    </row>
    <row r="41" spans="2:12" ht="15.75" customHeight="1" x14ac:dyDescent="0.25">
      <c r="B41" s="108"/>
      <c r="C41" s="108"/>
      <c r="D41" s="108"/>
      <c r="E41" s="108"/>
      <c r="F41" s="108"/>
      <c r="G41" s="108"/>
      <c r="H41" s="108"/>
      <c r="I41" s="108"/>
      <c r="J41" s="108"/>
      <c r="K41" s="108"/>
      <c r="L41" s="108"/>
    </row>
    <row r="42" spans="2:12" ht="15.75" customHeight="1" x14ac:dyDescent="0.25">
      <c r="B42" s="108"/>
      <c r="C42" s="108"/>
      <c r="D42" s="108"/>
      <c r="E42" s="108"/>
      <c r="F42" s="108"/>
      <c r="G42" s="108"/>
      <c r="H42" s="108"/>
      <c r="I42" s="108"/>
      <c r="J42" s="108"/>
      <c r="K42" s="108"/>
      <c r="L42" s="108"/>
    </row>
    <row r="43" spans="2:12" ht="15.75" customHeight="1" x14ac:dyDescent="0.25">
      <c r="B43" s="108"/>
      <c r="C43" s="108"/>
      <c r="D43" s="108"/>
      <c r="E43" s="108"/>
      <c r="F43" s="108"/>
      <c r="G43" s="108"/>
      <c r="H43" s="108"/>
      <c r="I43" s="108"/>
      <c r="J43" s="108"/>
      <c r="K43" s="108"/>
      <c r="L43" s="108"/>
    </row>
    <row r="44" spans="2:12" ht="15.75" customHeight="1" x14ac:dyDescent="0.25">
      <c r="B44" s="108"/>
      <c r="C44" s="108"/>
      <c r="D44" s="108"/>
      <c r="E44" s="108"/>
      <c r="F44" s="108"/>
      <c r="G44" s="108"/>
      <c r="H44" s="108"/>
      <c r="I44" s="108"/>
      <c r="J44" s="108"/>
      <c r="K44" s="108"/>
      <c r="L44" s="108"/>
    </row>
    <row r="45" spans="2:12" ht="15.75" customHeight="1" x14ac:dyDescent="0.25">
      <c r="B45" s="108"/>
      <c r="C45" s="108"/>
      <c r="D45" s="108"/>
      <c r="E45" s="108"/>
      <c r="F45" s="108"/>
      <c r="G45" s="108"/>
      <c r="H45" s="108"/>
      <c r="I45" s="108"/>
      <c r="J45" s="108"/>
      <c r="K45" s="108"/>
      <c r="L45" s="108"/>
    </row>
    <row r="46" spans="2:12" ht="15.75" customHeight="1" x14ac:dyDescent="0.25">
      <c r="B46" s="108"/>
      <c r="C46" s="108"/>
      <c r="D46" s="108"/>
      <c r="E46" s="108"/>
      <c r="F46" s="108"/>
      <c r="G46" s="108"/>
      <c r="H46" s="108"/>
      <c r="I46" s="108"/>
      <c r="J46" s="108"/>
      <c r="K46" s="108"/>
      <c r="L46" s="108"/>
    </row>
    <row r="47" spans="2:12" ht="15.75" customHeight="1" x14ac:dyDescent="0.25">
      <c r="B47" s="108"/>
      <c r="C47" s="108"/>
      <c r="D47" s="108"/>
      <c r="E47" s="108"/>
      <c r="F47" s="108"/>
      <c r="G47" s="108"/>
      <c r="H47" s="108"/>
      <c r="I47" s="108"/>
      <c r="J47" s="108"/>
      <c r="K47" s="108"/>
      <c r="L47" s="108"/>
    </row>
    <row r="48" spans="2:12" ht="15.75" customHeight="1" x14ac:dyDescent="0.25">
      <c r="B48" s="108"/>
      <c r="C48" s="108"/>
      <c r="D48" s="108"/>
      <c r="E48" s="108"/>
      <c r="F48" s="108"/>
      <c r="G48" s="108"/>
      <c r="H48" s="108"/>
      <c r="I48" s="108"/>
      <c r="J48" s="108"/>
      <c r="K48" s="108"/>
      <c r="L48" s="108"/>
    </row>
    <row r="49" spans="2:12" ht="15.75" customHeight="1" x14ac:dyDescent="0.25">
      <c r="B49" s="108"/>
      <c r="C49" s="108"/>
      <c r="D49" s="108"/>
      <c r="E49" s="108"/>
      <c r="F49" s="108"/>
      <c r="G49" s="108"/>
      <c r="H49" s="108"/>
      <c r="I49" s="108"/>
      <c r="J49" s="108"/>
      <c r="K49" s="108"/>
      <c r="L49" s="108"/>
    </row>
    <row r="50" spans="2:12" ht="15.75" customHeight="1" x14ac:dyDescent="0.25">
      <c r="B50" s="108"/>
      <c r="C50" s="108"/>
      <c r="D50" s="108"/>
      <c r="E50" s="108"/>
      <c r="F50" s="108"/>
      <c r="G50" s="108"/>
      <c r="H50" s="108"/>
      <c r="I50" s="108"/>
      <c r="J50" s="108"/>
      <c r="K50" s="108"/>
      <c r="L50" s="108"/>
    </row>
    <row r="51" spans="2:12" ht="15.75" customHeight="1" x14ac:dyDescent="0.25">
      <c r="B51" s="108"/>
      <c r="C51" s="108"/>
      <c r="D51" s="108"/>
      <c r="E51" s="108"/>
      <c r="F51" s="108"/>
      <c r="G51" s="108"/>
      <c r="H51" s="108"/>
      <c r="I51" s="108"/>
      <c r="J51" s="108"/>
      <c r="K51" s="108"/>
      <c r="L51" s="108"/>
    </row>
    <row r="52" spans="2:12" ht="15.75" customHeight="1" x14ac:dyDescent="0.25">
      <c r="B52" s="108"/>
      <c r="C52" s="108"/>
      <c r="D52" s="108"/>
      <c r="E52" s="108"/>
      <c r="F52" s="108"/>
      <c r="G52" s="108"/>
      <c r="H52" s="108"/>
      <c r="I52" s="108"/>
      <c r="J52" s="108"/>
      <c r="K52" s="108"/>
      <c r="L52" s="108"/>
    </row>
    <row r="53" spans="2:12" ht="15.75" customHeight="1" x14ac:dyDescent="0.25">
      <c r="B53" s="108"/>
      <c r="C53" s="108"/>
      <c r="D53" s="108"/>
      <c r="E53" s="108"/>
      <c r="F53" s="108"/>
      <c r="G53" s="108"/>
      <c r="H53" s="108"/>
      <c r="I53" s="108"/>
      <c r="J53" s="108"/>
      <c r="K53" s="108"/>
      <c r="L53" s="108"/>
    </row>
    <row r="54" spans="2:12" ht="15.75" customHeight="1" x14ac:dyDescent="0.25">
      <c r="B54" s="108"/>
      <c r="C54" s="108"/>
      <c r="D54" s="108"/>
      <c r="E54" s="108"/>
      <c r="F54" s="108"/>
      <c r="G54" s="108"/>
      <c r="H54" s="108"/>
      <c r="I54" s="108"/>
      <c r="J54" s="108"/>
      <c r="K54" s="108"/>
      <c r="L54" s="108"/>
    </row>
    <row r="55" spans="2:12" ht="15.75" customHeight="1" x14ac:dyDescent="0.25">
      <c r="B55" s="108"/>
      <c r="C55" s="108"/>
      <c r="D55" s="108"/>
      <c r="E55" s="108"/>
      <c r="F55" s="108"/>
      <c r="G55" s="108"/>
      <c r="H55" s="108"/>
      <c r="I55" s="108"/>
      <c r="J55" s="108"/>
      <c r="K55" s="108"/>
      <c r="L55" s="108"/>
    </row>
    <row r="56" spans="2:12" ht="15.75" customHeight="1" x14ac:dyDescent="0.25">
      <c r="B56" s="108"/>
      <c r="C56" s="108"/>
      <c r="D56" s="108"/>
      <c r="E56" s="108"/>
      <c r="F56" s="108"/>
      <c r="G56" s="108"/>
      <c r="H56" s="108"/>
      <c r="I56" s="108"/>
      <c r="J56" s="108"/>
      <c r="K56" s="108"/>
      <c r="L56" s="108"/>
    </row>
    <row r="57" spans="2:12" ht="15.75" customHeight="1" x14ac:dyDescent="0.25">
      <c r="B57" s="108"/>
      <c r="C57" s="108"/>
      <c r="D57" s="108"/>
      <c r="E57" s="108"/>
      <c r="F57" s="108"/>
      <c r="G57" s="108"/>
      <c r="H57" s="108"/>
      <c r="I57" s="108"/>
      <c r="J57" s="108"/>
      <c r="K57" s="108"/>
      <c r="L57" s="108"/>
    </row>
    <row r="58" spans="2:12" ht="15.75" customHeight="1" x14ac:dyDescent="0.25">
      <c r="B58" s="108"/>
      <c r="C58" s="108"/>
      <c r="D58" s="108"/>
      <c r="E58" s="108"/>
      <c r="F58" s="108"/>
      <c r="G58" s="108"/>
      <c r="H58" s="108"/>
      <c r="I58" s="108"/>
      <c r="J58" s="108"/>
      <c r="K58" s="108"/>
      <c r="L58" s="108"/>
    </row>
    <row r="59" spans="2:12" ht="15.75" customHeight="1" x14ac:dyDescent="0.25">
      <c r="B59" s="108"/>
      <c r="C59" s="108"/>
      <c r="D59" s="108"/>
      <c r="E59" s="108"/>
      <c r="F59" s="108"/>
      <c r="G59" s="108"/>
      <c r="H59" s="108"/>
      <c r="I59" s="108"/>
      <c r="J59" s="108"/>
      <c r="K59" s="108"/>
      <c r="L59" s="108"/>
    </row>
    <row r="60" spans="2:12" ht="15.75" customHeight="1" x14ac:dyDescent="0.25">
      <c r="B60" s="108"/>
      <c r="C60" s="108"/>
      <c r="D60" s="108"/>
      <c r="E60" s="108"/>
      <c r="F60" s="108"/>
      <c r="G60" s="108"/>
      <c r="H60" s="108"/>
      <c r="I60" s="108"/>
      <c r="J60" s="108"/>
      <c r="K60" s="108"/>
      <c r="L60" s="108"/>
    </row>
    <row r="61" spans="2:12" ht="15.75" customHeight="1" x14ac:dyDescent="0.25">
      <c r="B61" s="108"/>
      <c r="C61" s="108"/>
      <c r="D61" s="108"/>
      <c r="E61" s="108"/>
      <c r="F61" s="108"/>
      <c r="G61" s="108"/>
      <c r="H61" s="108"/>
      <c r="I61" s="108"/>
      <c r="J61" s="108"/>
      <c r="K61" s="108"/>
      <c r="L61" s="108"/>
    </row>
    <row r="62" spans="2:12" ht="15.75" customHeight="1" x14ac:dyDescent="0.25">
      <c r="B62" s="108"/>
      <c r="C62" s="108"/>
      <c r="D62" s="108"/>
      <c r="E62" s="108"/>
      <c r="F62" s="108"/>
      <c r="G62" s="108"/>
      <c r="H62" s="108"/>
      <c r="I62" s="108"/>
      <c r="J62" s="108"/>
      <c r="K62" s="108"/>
      <c r="L62" s="108"/>
    </row>
    <row r="63" spans="2:12" ht="15.75" customHeight="1" x14ac:dyDescent="0.25">
      <c r="B63" s="108"/>
      <c r="C63" s="108"/>
      <c r="D63" s="108"/>
      <c r="E63" s="108"/>
      <c r="F63" s="108"/>
      <c r="G63" s="108"/>
      <c r="H63" s="108"/>
      <c r="I63" s="108"/>
      <c r="J63" s="108"/>
      <c r="K63" s="108"/>
      <c r="L63" s="108"/>
    </row>
    <row r="64" spans="2:12" ht="15.75" customHeight="1" x14ac:dyDescent="0.25">
      <c r="B64" s="108"/>
      <c r="C64" s="108"/>
      <c r="D64" s="108"/>
      <c r="E64" s="108"/>
      <c r="F64" s="108"/>
      <c r="G64" s="108"/>
      <c r="H64" s="108"/>
      <c r="I64" s="108"/>
      <c r="J64" s="108"/>
      <c r="K64" s="108"/>
      <c r="L64" s="108"/>
    </row>
    <row r="65" spans="2:12" ht="15.75" customHeight="1" x14ac:dyDescent="0.25">
      <c r="B65" s="108"/>
      <c r="C65" s="108"/>
      <c r="D65" s="108"/>
      <c r="E65" s="108"/>
      <c r="F65" s="108"/>
      <c r="G65" s="108"/>
      <c r="H65" s="108"/>
      <c r="I65" s="108"/>
      <c r="J65" s="108"/>
      <c r="K65" s="108"/>
      <c r="L65" s="108"/>
    </row>
    <row r="66" spans="2:12" ht="15.75" customHeight="1" x14ac:dyDescent="0.25">
      <c r="B66" s="108"/>
      <c r="C66" s="108"/>
      <c r="D66" s="108"/>
      <c r="E66" s="108"/>
      <c r="F66" s="108"/>
      <c r="G66" s="108"/>
      <c r="H66" s="108"/>
      <c r="I66" s="108"/>
      <c r="J66" s="108"/>
      <c r="K66" s="108"/>
      <c r="L66" s="108"/>
    </row>
    <row r="67" spans="2:12" ht="15.75" customHeight="1" x14ac:dyDescent="0.25">
      <c r="B67" s="108"/>
      <c r="C67" s="108"/>
      <c r="D67" s="108"/>
      <c r="E67" s="108"/>
      <c r="F67" s="108"/>
      <c r="G67" s="108"/>
      <c r="H67" s="108"/>
      <c r="I67" s="108"/>
      <c r="J67" s="108"/>
      <c r="K67" s="108"/>
      <c r="L67" s="108"/>
    </row>
    <row r="68" spans="2:12" ht="15.75" customHeight="1" x14ac:dyDescent="0.25">
      <c r="B68" s="108"/>
      <c r="C68" s="108"/>
      <c r="D68" s="108"/>
      <c r="E68" s="108"/>
      <c r="F68" s="108"/>
      <c r="G68" s="108"/>
      <c r="H68" s="108"/>
      <c r="I68" s="108"/>
      <c r="J68" s="108"/>
      <c r="K68" s="108"/>
      <c r="L68" s="108"/>
    </row>
    <row r="69" spans="2:12" ht="15.75" customHeight="1" x14ac:dyDescent="0.25">
      <c r="B69" s="108"/>
      <c r="C69" s="108"/>
      <c r="D69" s="108"/>
      <c r="E69" s="108"/>
      <c r="F69" s="108"/>
      <c r="G69" s="108"/>
      <c r="H69" s="108"/>
      <c r="I69" s="108"/>
      <c r="J69" s="108"/>
      <c r="K69" s="108"/>
      <c r="L69" s="108"/>
    </row>
    <row r="70" spans="2:12" ht="15.75" customHeight="1" x14ac:dyDescent="0.25">
      <c r="B70" s="108"/>
      <c r="C70" s="108"/>
      <c r="D70" s="108"/>
      <c r="E70" s="108"/>
      <c r="F70" s="108"/>
      <c r="G70" s="108"/>
      <c r="H70" s="108"/>
      <c r="I70" s="108"/>
      <c r="J70" s="108"/>
      <c r="K70" s="108"/>
      <c r="L70" s="108"/>
    </row>
    <row r="71" spans="2:12" ht="15.75" customHeight="1" x14ac:dyDescent="0.25">
      <c r="B71" s="108"/>
      <c r="C71" s="108"/>
      <c r="D71" s="108"/>
      <c r="E71" s="108"/>
      <c r="F71" s="108"/>
      <c r="G71" s="108"/>
      <c r="H71" s="108"/>
      <c r="I71" s="108"/>
      <c r="J71" s="108"/>
      <c r="K71" s="108"/>
      <c r="L71" s="108"/>
    </row>
    <row r="72" spans="2:12" ht="15.75" customHeight="1" x14ac:dyDescent="0.25">
      <c r="B72" s="108"/>
      <c r="C72" s="108"/>
      <c r="D72" s="108"/>
      <c r="E72" s="108"/>
      <c r="F72" s="108"/>
      <c r="G72" s="108"/>
      <c r="H72" s="108"/>
      <c r="I72" s="108"/>
      <c r="J72" s="108"/>
      <c r="K72" s="108"/>
      <c r="L72" s="108"/>
    </row>
    <row r="73" spans="2:12" ht="15.75" customHeight="1" x14ac:dyDescent="0.25">
      <c r="B73" s="108"/>
      <c r="C73" s="108"/>
      <c r="D73" s="108"/>
      <c r="E73" s="108"/>
      <c r="F73" s="108"/>
      <c r="G73" s="108"/>
      <c r="H73" s="108"/>
      <c r="I73" s="108"/>
      <c r="J73" s="108"/>
      <c r="K73" s="108"/>
      <c r="L73" s="108"/>
    </row>
    <row r="74" spans="2:12" ht="15.75" customHeight="1" x14ac:dyDescent="0.25">
      <c r="B74" s="108"/>
      <c r="C74" s="108"/>
      <c r="D74" s="108"/>
      <c r="E74" s="108"/>
      <c r="F74" s="108"/>
      <c r="G74" s="108"/>
      <c r="H74" s="108"/>
      <c r="I74" s="108"/>
      <c r="J74" s="108"/>
      <c r="K74" s="108"/>
      <c r="L74" s="108"/>
    </row>
    <row r="75" spans="2:12" ht="15.75" customHeight="1" x14ac:dyDescent="0.25">
      <c r="B75" s="108"/>
      <c r="C75" s="108"/>
      <c r="D75" s="108"/>
      <c r="E75" s="108"/>
      <c r="F75" s="108"/>
      <c r="G75" s="108"/>
      <c r="H75" s="108"/>
      <c r="I75" s="108"/>
      <c r="J75" s="108"/>
      <c r="K75" s="108"/>
      <c r="L75" s="108"/>
    </row>
    <row r="76" spans="2:12" ht="15.75" customHeight="1" x14ac:dyDescent="0.25">
      <c r="B76" s="108"/>
      <c r="C76" s="108"/>
      <c r="D76" s="108"/>
      <c r="E76" s="108"/>
      <c r="F76" s="108"/>
      <c r="G76" s="108"/>
      <c r="H76" s="108"/>
      <c r="I76" s="108"/>
      <c r="J76" s="108"/>
      <c r="K76" s="108"/>
      <c r="L76" s="108"/>
    </row>
    <row r="77" spans="2:12" ht="15.75" customHeight="1" x14ac:dyDescent="0.25">
      <c r="B77" s="108"/>
      <c r="C77" s="108"/>
      <c r="D77" s="108"/>
      <c r="E77" s="108"/>
      <c r="F77" s="108"/>
      <c r="G77" s="108"/>
      <c r="H77" s="108"/>
      <c r="I77" s="108"/>
      <c r="J77" s="108"/>
      <c r="K77" s="108"/>
      <c r="L77" s="108"/>
    </row>
    <row r="78" spans="2:12" ht="15.75" customHeight="1" x14ac:dyDescent="0.25">
      <c r="B78" s="108"/>
      <c r="C78" s="108"/>
      <c r="D78" s="108"/>
      <c r="E78" s="108"/>
      <c r="F78" s="108"/>
      <c r="G78" s="108"/>
      <c r="H78" s="108"/>
      <c r="I78" s="108"/>
      <c r="J78" s="108"/>
      <c r="K78" s="108"/>
      <c r="L78" s="108"/>
    </row>
    <row r="79" spans="2:12" ht="15.75" customHeight="1" x14ac:dyDescent="0.25">
      <c r="B79" s="108"/>
      <c r="C79" s="108"/>
      <c r="D79" s="108"/>
      <c r="E79" s="108"/>
      <c r="F79" s="108"/>
      <c r="G79" s="108"/>
      <c r="H79" s="108"/>
      <c r="I79" s="108"/>
      <c r="J79" s="108"/>
      <c r="K79" s="108"/>
      <c r="L79" s="108"/>
    </row>
    <row r="80" spans="2:12" ht="15.75" customHeight="1" x14ac:dyDescent="0.25">
      <c r="B80" s="108"/>
      <c r="C80" s="108"/>
      <c r="D80" s="108"/>
      <c r="E80" s="108"/>
      <c r="F80" s="108"/>
      <c r="G80" s="108"/>
      <c r="H80" s="108"/>
      <c r="I80" s="108"/>
      <c r="J80" s="108"/>
      <c r="K80" s="108"/>
      <c r="L80" s="108"/>
    </row>
    <row r="81" spans="2:12" ht="15.75" customHeight="1" x14ac:dyDescent="0.25">
      <c r="B81" s="108"/>
      <c r="C81" s="108"/>
      <c r="D81" s="108"/>
      <c r="E81" s="108"/>
      <c r="F81" s="108"/>
      <c r="G81" s="108"/>
      <c r="H81" s="108"/>
      <c r="I81" s="108"/>
      <c r="J81" s="108"/>
      <c r="K81" s="108"/>
      <c r="L81" s="108"/>
    </row>
    <row r="82" spans="2:12" ht="15.75" customHeight="1" x14ac:dyDescent="0.25">
      <c r="B82" s="23"/>
      <c r="C82" s="23"/>
      <c r="D82" s="23"/>
      <c r="E82" s="23"/>
      <c r="F82" s="23"/>
      <c r="G82" s="23"/>
      <c r="H82" s="23"/>
      <c r="I82" s="23"/>
      <c r="J82" s="23"/>
      <c r="K82" s="23"/>
      <c r="L82" s="23"/>
    </row>
    <row r="83" spans="2:12" ht="15.75" customHeight="1" x14ac:dyDescent="0.25">
      <c r="B83" s="23"/>
      <c r="C83" s="23"/>
      <c r="D83" s="23"/>
      <c r="E83" s="23"/>
      <c r="F83" s="23"/>
      <c r="G83" s="23"/>
      <c r="H83" s="23"/>
      <c r="I83" s="23"/>
      <c r="J83" s="23"/>
      <c r="K83" s="23"/>
      <c r="L83" s="23"/>
    </row>
    <row r="84" spans="2:12" ht="15.75" customHeight="1" x14ac:dyDescent="0.25">
      <c r="B84" s="23"/>
      <c r="C84" s="23"/>
      <c r="D84" s="23"/>
      <c r="E84" s="23"/>
      <c r="F84" s="23"/>
      <c r="G84" s="23"/>
      <c r="H84" s="23"/>
      <c r="I84" s="23"/>
      <c r="J84" s="23"/>
      <c r="K84" s="23"/>
      <c r="L84" s="23"/>
    </row>
    <row r="85" spans="2:12" ht="15.75" customHeight="1" x14ac:dyDescent="0.25">
      <c r="B85" s="23"/>
      <c r="C85" s="23"/>
      <c r="D85" s="23"/>
      <c r="E85" s="23"/>
      <c r="F85" s="23"/>
      <c r="G85" s="23"/>
      <c r="H85" s="23"/>
      <c r="I85" s="23"/>
      <c r="J85" s="23"/>
      <c r="K85" s="23"/>
      <c r="L85" s="23"/>
    </row>
    <row r="86" spans="2:12" ht="15.75" customHeight="1" x14ac:dyDescent="0.25">
      <c r="B86" s="23"/>
      <c r="C86" s="23"/>
      <c r="D86" s="23"/>
      <c r="E86" s="23"/>
      <c r="F86" s="23"/>
      <c r="G86" s="23"/>
      <c r="H86" s="23"/>
      <c r="I86" s="23"/>
      <c r="J86" s="23"/>
      <c r="K86" s="23"/>
      <c r="L86" s="23"/>
    </row>
    <row r="87" spans="2:12" ht="15.75" customHeight="1" x14ac:dyDescent="0.25">
      <c r="B87" s="23"/>
      <c r="C87" s="23"/>
      <c r="D87" s="23"/>
      <c r="E87" s="23"/>
      <c r="F87" s="23"/>
      <c r="G87" s="23"/>
      <c r="H87" s="23"/>
      <c r="I87" s="23"/>
      <c r="J87" s="23"/>
      <c r="K87" s="23"/>
      <c r="L87" s="23"/>
    </row>
    <row r="88" spans="2:12" ht="15.75" customHeight="1" x14ac:dyDescent="0.25">
      <c r="B88" s="23"/>
      <c r="C88" s="23"/>
      <c r="D88" s="23"/>
      <c r="E88" s="23"/>
      <c r="F88" s="23"/>
      <c r="G88" s="23"/>
      <c r="H88" s="23"/>
      <c r="I88" s="23"/>
      <c r="J88" s="23"/>
      <c r="K88" s="23"/>
      <c r="L88" s="23"/>
    </row>
    <row r="89" spans="2:12" ht="15.75" customHeight="1" x14ac:dyDescent="0.25">
      <c r="B89" s="23"/>
      <c r="C89" s="23"/>
      <c r="D89" s="23"/>
      <c r="E89" s="23"/>
      <c r="F89" s="23"/>
      <c r="G89" s="23"/>
      <c r="H89" s="23"/>
      <c r="I89" s="23"/>
      <c r="J89" s="23"/>
      <c r="K89" s="23"/>
      <c r="L89" s="23"/>
    </row>
    <row r="90" spans="2:12" ht="15.75" customHeight="1" x14ac:dyDescent="0.25">
      <c r="B90" s="23"/>
      <c r="C90" s="23"/>
      <c r="D90" s="23"/>
      <c r="E90" s="23"/>
      <c r="F90" s="23"/>
      <c r="G90" s="23"/>
      <c r="H90" s="23"/>
      <c r="I90" s="23"/>
      <c r="J90" s="23"/>
      <c r="K90" s="23"/>
      <c r="L90" s="23"/>
    </row>
    <row r="91" spans="2:12" ht="15.75" customHeight="1" x14ac:dyDescent="0.25">
      <c r="B91" s="23"/>
      <c r="C91" s="23"/>
      <c r="D91" s="23"/>
      <c r="E91" s="23"/>
      <c r="F91" s="23"/>
      <c r="G91" s="23"/>
      <c r="H91" s="23"/>
      <c r="I91" s="23"/>
      <c r="J91" s="23"/>
      <c r="K91" s="23"/>
      <c r="L91" s="23"/>
    </row>
    <row r="92" spans="2:12" ht="15.75" customHeight="1" x14ac:dyDescent="0.25">
      <c r="B92" s="23"/>
      <c r="C92" s="23"/>
      <c r="D92" s="23"/>
      <c r="E92" s="23"/>
      <c r="F92" s="23"/>
      <c r="G92" s="23"/>
      <c r="H92" s="23"/>
      <c r="I92" s="23"/>
      <c r="J92" s="23"/>
      <c r="K92" s="23"/>
      <c r="L92" s="23"/>
    </row>
    <row r="93" spans="2:12" ht="15.75" customHeight="1" x14ac:dyDescent="0.25">
      <c r="B93" s="23"/>
      <c r="C93" s="23"/>
      <c r="D93" s="23"/>
      <c r="E93" s="23"/>
      <c r="F93" s="23"/>
      <c r="G93" s="23"/>
      <c r="H93" s="23"/>
      <c r="I93" s="23"/>
      <c r="J93" s="23"/>
      <c r="K93" s="23"/>
      <c r="L93" s="23"/>
    </row>
    <row r="94" spans="2:12" ht="15.75" customHeight="1" x14ac:dyDescent="0.25">
      <c r="B94" s="23"/>
      <c r="C94" s="23"/>
      <c r="D94" s="23"/>
      <c r="E94" s="23"/>
      <c r="F94" s="23"/>
      <c r="G94" s="23"/>
      <c r="H94" s="23"/>
      <c r="I94" s="23"/>
      <c r="J94" s="23"/>
      <c r="K94" s="23"/>
      <c r="L94" s="23"/>
    </row>
    <row r="95" spans="2:12" ht="15.75" customHeight="1" x14ac:dyDescent="0.25">
      <c r="B95" s="23"/>
      <c r="C95" s="23"/>
      <c r="D95" s="23"/>
      <c r="E95" s="23"/>
      <c r="F95" s="23"/>
      <c r="G95" s="23"/>
      <c r="H95" s="23"/>
      <c r="I95" s="23"/>
      <c r="J95" s="23"/>
      <c r="K95" s="23"/>
      <c r="L95" s="23"/>
    </row>
    <row r="96" spans="2:12" ht="15.75" customHeight="1" x14ac:dyDescent="0.25">
      <c r="B96" s="23"/>
      <c r="C96" s="23"/>
      <c r="D96" s="23"/>
      <c r="E96" s="23"/>
      <c r="F96" s="23"/>
      <c r="G96" s="23"/>
      <c r="H96" s="23"/>
      <c r="I96" s="23"/>
      <c r="J96" s="23"/>
      <c r="K96" s="23"/>
      <c r="L96" s="23"/>
    </row>
    <row r="97" spans="2:12" ht="15.75" customHeight="1" x14ac:dyDescent="0.25">
      <c r="B97" s="23"/>
      <c r="C97" s="23"/>
      <c r="D97" s="23"/>
      <c r="E97" s="23"/>
      <c r="F97" s="23"/>
      <c r="G97" s="23"/>
      <c r="H97" s="23"/>
      <c r="I97" s="23"/>
      <c r="J97" s="23"/>
      <c r="K97" s="23"/>
      <c r="L97" s="23"/>
    </row>
    <row r="98" spans="2:12" ht="15.75" customHeight="1" x14ac:dyDescent="0.25">
      <c r="B98" s="23"/>
      <c r="C98" s="23"/>
      <c r="D98" s="23"/>
      <c r="E98" s="23"/>
      <c r="F98" s="23"/>
      <c r="G98" s="23"/>
      <c r="H98" s="23"/>
      <c r="I98" s="23"/>
      <c r="J98" s="23"/>
      <c r="K98" s="23"/>
      <c r="L98" s="23"/>
    </row>
    <row r="99" spans="2:12" ht="15.75" customHeight="1" x14ac:dyDescent="0.25">
      <c r="B99" s="23"/>
      <c r="C99" s="23"/>
      <c r="D99" s="23"/>
      <c r="E99" s="23"/>
      <c r="F99" s="23"/>
      <c r="G99" s="23"/>
      <c r="H99" s="23"/>
      <c r="I99" s="23"/>
      <c r="J99" s="23"/>
      <c r="K99" s="23"/>
      <c r="L99" s="23"/>
    </row>
    <row r="100" spans="2:12" ht="15.75" customHeight="1" x14ac:dyDescent="0.25">
      <c r="B100" s="23"/>
      <c r="C100" s="23"/>
      <c r="D100" s="23"/>
      <c r="E100" s="23"/>
      <c r="F100" s="23"/>
      <c r="G100" s="23"/>
      <c r="H100" s="23"/>
      <c r="I100" s="23"/>
      <c r="J100" s="23"/>
      <c r="K100" s="23"/>
      <c r="L100" s="23"/>
    </row>
    <row r="101" spans="2:12" ht="15.75" customHeight="1" x14ac:dyDescent="0.25">
      <c r="B101" s="23"/>
      <c r="C101" s="23"/>
      <c r="D101" s="23"/>
      <c r="E101" s="23"/>
      <c r="F101" s="23"/>
      <c r="G101" s="23"/>
      <c r="H101" s="23"/>
      <c r="I101" s="23"/>
      <c r="J101" s="23"/>
      <c r="K101" s="23"/>
      <c r="L101" s="23"/>
    </row>
    <row r="102" spans="2:12" ht="15.75" customHeight="1" x14ac:dyDescent="0.25">
      <c r="B102" s="23"/>
      <c r="C102" s="23"/>
      <c r="D102" s="23"/>
      <c r="E102" s="23"/>
      <c r="F102" s="23"/>
      <c r="G102" s="23"/>
      <c r="H102" s="23"/>
      <c r="I102" s="23"/>
      <c r="J102" s="23"/>
      <c r="K102" s="23"/>
      <c r="L102" s="23"/>
    </row>
    <row r="103" spans="2:12" ht="15.75" customHeight="1" x14ac:dyDescent="0.25">
      <c r="B103" s="23"/>
      <c r="C103" s="23"/>
      <c r="D103" s="23"/>
      <c r="E103" s="23"/>
      <c r="F103" s="23"/>
      <c r="G103" s="23"/>
      <c r="H103" s="23"/>
      <c r="I103" s="23"/>
      <c r="J103" s="23"/>
      <c r="K103" s="23"/>
      <c r="L103" s="23"/>
    </row>
    <row r="104" spans="2:12" ht="15.75" customHeight="1" x14ac:dyDescent="0.25">
      <c r="B104" s="23"/>
      <c r="C104" s="23"/>
      <c r="D104" s="23"/>
      <c r="E104" s="23"/>
      <c r="F104" s="23"/>
      <c r="G104" s="23"/>
      <c r="H104" s="23"/>
      <c r="I104" s="23"/>
      <c r="J104" s="23"/>
      <c r="K104" s="23"/>
      <c r="L104" s="23"/>
    </row>
    <row r="105" spans="2:12" ht="15.75" customHeight="1" x14ac:dyDescent="0.25">
      <c r="B105" s="23"/>
      <c r="C105" s="23"/>
      <c r="D105" s="23"/>
      <c r="E105" s="23"/>
      <c r="F105" s="23"/>
      <c r="G105" s="23"/>
      <c r="H105" s="23"/>
      <c r="I105" s="23"/>
      <c r="J105" s="23"/>
      <c r="K105" s="23"/>
      <c r="L105" s="23"/>
    </row>
    <row r="106" spans="2:12" ht="15.75" customHeight="1" x14ac:dyDescent="0.25">
      <c r="B106" s="23"/>
      <c r="C106" s="23"/>
      <c r="D106" s="23"/>
      <c r="E106" s="23"/>
      <c r="F106" s="23"/>
      <c r="G106" s="23"/>
      <c r="H106" s="23"/>
      <c r="I106" s="23"/>
      <c r="J106" s="23"/>
      <c r="K106" s="23"/>
      <c r="L106" s="23"/>
    </row>
    <row r="107" spans="2:12" ht="15.75" customHeight="1" x14ac:dyDescent="0.25">
      <c r="B107" s="23"/>
      <c r="C107" s="23"/>
      <c r="D107" s="23"/>
      <c r="E107" s="23"/>
      <c r="F107" s="23"/>
      <c r="G107" s="23"/>
      <c r="H107" s="23"/>
      <c r="I107" s="23"/>
      <c r="J107" s="23"/>
      <c r="K107" s="23"/>
      <c r="L107" s="23"/>
    </row>
    <row r="108" spans="2:12" ht="15.75" customHeight="1" x14ac:dyDescent="0.25">
      <c r="B108" s="23"/>
      <c r="C108" s="23"/>
      <c r="D108" s="23"/>
      <c r="E108" s="23"/>
      <c r="F108" s="23"/>
      <c r="G108" s="23"/>
      <c r="H108" s="23"/>
      <c r="I108" s="23"/>
      <c r="J108" s="23"/>
      <c r="K108" s="23"/>
      <c r="L108" s="23"/>
    </row>
    <row r="109" spans="2:12" ht="15.75" customHeight="1" x14ac:dyDescent="0.25">
      <c r="B109" s="23"/>
      <c r="C109" s="23"/>
      <c r="D109" s="23"/>
      <c r="E109" s="23"/>
      <c r="F109" s="23"/>
      <c r="G109" s="23"/>
      <c r="H109" s="23"/>
      <c r="I109" s="23"/>
      <c r="J109" s="23"/>
      <c r="K109" s="23"/>
      <c r="L109" s="23"/>
    </row>
    <row r="110" spans="2:12" ht="15.75" customHeight="1" x14ac:dyDescent="0.25">
      <c r="B110" s="23"/>
      <c r="C110" s="23"/>
      <c r="D110" s="23"/>
      <c r="E110" s="23"/>
      <c r="F110" s="23"/>
      <c r="G110" s="23"/>
      <c r="H110" s="23"/>
      <c r="I110" s="23"/>
      <c r="J110" s="23"/>
      <c r="K110" s="23"/>
      <c r="L110" s="23"/>
    </row>
    <row r="111" spans="2:12" ht="15.75" customHeight="1" x14ac:dyDescent="0.25">
      <c r="B111" s="23"/>
      <c r="C111" s="23"/>
      <c r="D111" s="23"/>
      <c r="E111" s="23"/>
      <c r="F111" s="23"/>
      <c r="G111" s="23"/>
      <c r="H111" s="23"/>
      <c r="I111" s="23"/>
      <c r="J111" s="23"/>
      <c r="K111" s="23"/>
      <c r="L111" s="23"/>
    </row>
    <row r="112" spans="2:12" ht="15.75" customHeight="1" x14ac:dyDescent="0.25">
      <c r="B112" s="23"/>
      <c r="C112" s="23"/>
      <c r="D112" s="23"/>
      <c r="E112" s="23"/>
      <c r="F112" s="23"/>
      <c r="G112" s="23"/>
      <c r="H112" s="23"/>
      <c r="I112" s="23"/>
      <c r="J112" s="23"/>
      <c r="K112" s="23"/>
      <c r="L112" s="23"/>
    </row>
    <row r="113" spans="2:12" ht="15.75" customHeight="1" x14ac:dyDescent="0.25">
      <c r="B113" s="23"/>
      <c r="C113" s="23"/>
      <c r="D113" s="23"/>
      <c r="E113" s="23"/>
      <c r="F113" s="23"/>
      <c r="G113" s="23"/>
      <c r="H113" s="23"/>
      <c r="I113" s="23"/>
      <c r="J113" s="23"/>
      <c r="K113" s="23"/>
      <c r="L113" s="23"/>
    </row>
    <row r="114" spans="2:12" ht="15.75" customHeight="1" x14ac:dyDescent="0.25">
      <c r="B114" s="23"/>
      <c r="C114" s="23"/>
      <c r="D114" s="23"/>
      <c r="E114" s="23"/>
      <c r="F114" s="23"/>
      <c r="G114" s="23"/>
      <c r="H114" s="23"/>
      <c r="I114" s="23"/>
      <c r="J114" s="23"/>
      <c r="K114" s="23"/>
      <c r="L114" s="23"/>
    </row>
    <row r="115" spans="2:12" ht="15.75" customHeight="1" x14ac:dyDescent="0.25">
      <c r="B115" s="23"/>
      <c r="C115" s="23"/>
      <c r="D115" s="23"/>
      <c r="E115" s="23"/>
      <c r="F115" s="23"/>
      <c r="G115" s="23"/>
      <c r="H115" s="23"/>
      <c r="I115" s="23"/>
      <c r="J115" s="23"/>
      <c r="K115" s="23"/>
      <c r="L115" s="23"/>
    </row>
    <row r="116" spans="2:12" ht="15.75" customHeight="1" x14ac:dyDescent="0.25">
      <c r="B116" s="23"/>
      <c r="C116" s="23"/>
      <c r="D116" s="23"/>
      <c r="E116" s="23"/>
      <c r="F116" s="23"/>
      <c r="G116" s="23"/>
      <c r="H116" s="23"/>
      <c r="I116" s="23"/>
      <c r="J116" s="23"/>
      <c r="K116" s="23"/>
      <c r="L116" s="23"/>
    </row>
    <row r="117" spans="2:12" ht="15.75" customHeight="1" x14ac:dyDescent="0.25">
      <c r="B117" s="23"/>
      <c r="C117" s="23"/>
      <c r="D117" s="23"/>
      <c r="E117" s="23"/>
      <c r="F117" s="23"/>
      <c r="G117" s="23"/>
      <c r="H117" s="23"/>
      <c r="I117" s="23"/>
      <c r="J117" s="23"/>
      <c r="K117" s="23"/>
      <c r="L117" s="23"/>
    </row>
    <row r="118" spans="2:12" ht="15.75" customHeight="1" x14ac:dyDescent="0.25">
      <c r="B118" s="23"/>
      <c r="C118" s="23"/>
      <c r="D118" s="23"/>
      <c r="E118" s="23"/>
      <c r="F118" s="23"/>
      <c r="G118" s="23"/>
      <c r="H118" s="23"/>
      <c r="I118" s="23"/>
      <c r="J118" s="23"/>
      <c r="K118" s="23"/>
      <c r="L118" s="23"/>
    </row>
    <row r="119" spans="2:12" ht="15.75" customHeight="1" x14ac:dyDescent="0.25">
      <c r="B119" s="23"/>
      <c r="C119" s="23"/>
      <c r="D119" s="23"/>
      <c r="E119" s="23"/>
      <c r="F119" s="23"/>
      <c r="G119" s="23"/>
      <c r="H119" s="23"/>
      <c r="I119" s="23"/>
      <c r="J119" s="23"/>
      <c r="K119" s="23"/>
      <c r="L119" s="23"/>
    </row>
    <row r="120" spans="2:12" ht="15.75" customHeight="1" x14ac:dyDescent="0.25">
      <c r="B120" s="23"/>
      <c r="C120" s="23"/>
      <c r="D120" s="23"/>
      <c r="E120" s="23"/>
      <c r="F120" s="23"/>
      <c r="G120" s="23"/>
      <c r="H120" s="23"/>
      <c r="I120" s="23"/>
      <c r="J120" s="23"/>
      <c r="K120" s="23"/>
      <c r="L120" s="23"/>
    </row>
    <row r="121" spans="2:12" ht="15.75" customHeight="1" x14ac:dyDescent="0.25">
      <c r="B121" s="23"/>
      <c r="C121" s="23"/>
      <c r="D121" s="23"/>
      <c r="E121" s="23"/>
      <c r="F121" s="23"/>
      <c r="G121" s="23"/>
      <c r="H121" s="23"/>
      <c r="I121" s="23"/>
      <c r="J121" s="23"/>
      <c r="K121" s="23"/>
      <c r="L121" s="23"/>
    </row>
    <row r="122" spans="2:12" ht="15.75" customHeight="1" x14ac:dyDescent="0.25">
      <c r="B122" s="23"/>
      <c r="C122" s="23"/>
      <c r="D122" s="23"/>
      <c r="E122" s="23"/>
      <c r="F122" s="23"/>
      <c r="G122" s="23"/>
      <c r="H122" s="23"/>
      <c r="I122" s="23"/>
      <c r="J122" s="23"/>
      <c r="K122" s="23"/>
      <c r="L122" s="23"/>
    </row>
    <row r="123" spans="2:12" ht="15.75" customHeight="1" x14ac:dyDescent="0.25">
      <c r="B123" s="23"/>
      <c r="C123" s="23"/>
      <c r="D123" s="23"/>
      <c r="E123" s="23"/>
      <c r="F123" s="23"/>
      <c r="G123" s="23"/>
      <c r="H123" s="23"/>
      <c r="I123" s="23"/>
      <c r="J123" s="23"/>
      <c r="K123" s="23"/>
      <c r="L123" s="23"/>
    </row>
    <row r="124" spans="2:12" ht="15.75" customHeight="1" x14ac:dyDescent="0.25">
      <c r="B124" s="23"/>
      <c r="C124" s="23"/>
      <c r="D124" s="23"/>
      <c r="E124" s="23"/>
      <c r="F124" s="23"/>
      <c r="G124" s="23"/>
      <c r="H124" s="23"/>
      <c r="I124" s="23"/>
      <c r="J124" s="23"/>
      <c r="K124" s="23"/>
      <c r="L124" s="23"/>
    </row>
    <row r="125" spans="2:12" ht="15.75" customHeight="1" x14ac:dyDescent="0.25">
      <c r="B125" s="23"/>
      <c r="C125" s="23"/>
      <c r="D125" s="23"/>
      <c r="E125" s="23"/>
      <c r="F125" s="23"/>
      <c r="G125" s="23"/>
      <c r="H125" s="23"/>
      <c r="I125" s="23"/>
      <c r="J125" s="23"/>
      <c r="K125" s="23"/>
      <c r="L125" s="23"/>
    </row>
    <row r="126" spans="2:12" ht="15.75" customHeight="1" x14ac:dyDescent="0.25">
      <c r="B126" s="23"/>
      <c r="C126" s="23"/>
      <c r="D126" s="23"/>
      <c r="E126" s="23"/>
      <c r="F126" s="23"/>
      <c r="G126" s="23"/>
      <c r="H126" s="23"/>
      <c r="I126" s="23"/>
      <c r="J126" s="23"/>
      <c r="K126" s="23"/>
      <c r="L126" s="23"/>
    </row>
    <row r="127" spans="2:12" ht="15.75" customHeight="1" x14ac:dyDescent="0.25">
      <c r="B127" s="23"/>
      <c r="C127" s="23"/>
      <c r="D127" s="23"/>
      <c r="E127" s="23"/>
      <c r="F127" s="23"/>
      <c r="G127" s="23"/>
      <c r="H127" s="23"/>
      <c r="I127" s="23"/>
      <c r="J127" s="23"/>
      <c r="K127" s="23"/>
      <c r="L127" s="23"/>
    </row>
    <row r="128" spans="2:12" ht="15.75" customHeight="1" x14ac:dyDescent="0.25">
      <c r="B128" s="23"/>
      <c r="C128" s="23"/>
      <c r="D128" s="23"/>
      <c r="E128" s="23"/>
      <c r="F128" s="23"/>
      <c r="G128" s="23"/>
      <c r="H128" s="23"/>
      <c r="I128" s="23"/>
      <c r="J128" s="23"/>
      <c r="K128" s="23"/>
      <c r="L128" s="23"/>
    </row>
    <row r="129" spans="2:12" ht="15.75" customHeight="1" x14ac:dyDescent="0.25">
      <c r="B129" s="23"/>
      <c r="C129" s="23"/>
      <c r="D129" s="23"/>
      <c r="E129" s="23"/>
      <c r="F129" s="23"/>
      <c r="G129" s="23"/>
      <c r="H129" s="23"/>
      <c r="I129" s="23"/>
      <c r="J129" s="23"/>
      <c r="K129" s="23"/>
      <c r="L129" s="23"/>
    </row>
    <row r="130" spans="2:12" ht="15.75" customHeight="1" x14ac:dyDescent="0.25">
      <c r="B130" s="23"/>
      <c r="C130" s="23"/>
      <c r="D130" s="23"/>
      <c r="E130" s="23"/>
      <c r="F130" s="23"/>
      <c r="G130" s="23"/>
      <c r="H130" s="23"/>
      <c r="I130" s="23"/>
      <c r="J130" s="23"/>
      <c r="K130" s="23"/>
      <c r="L130" s="23"/>
    </row>
    <row r="131" spans="2:12" ht="15.75" customHeight="1" x14ac:dyDescent="0.25">
      <c r="B131" s="23"/>
      <c r="C131" s="23"/>
      <c r="D131" s="23"/>
      <c r="E131" s="23"/>
      <c r="F131" s="23"/>
      <c r="G131" s="23"/>
      <c r="H131" s="23"/>
      <c r="I131" s="23"/>
      <c r="J131" s="23"/>
      <c r="K131" s="23"/>
      <c r="L131" s="23"/>
    </row>
    <row r="132" spans="2:12" ht="15.75" customHeight="1" x14ac:dyDescent="0.25">
      <c r="B132" s="23"/>
      <c r="C132" s="23"/>
      <c r="D132" s="23"/>
      <c r="E132" s="23"/>
      <c r="F132" s="23"/>
      <c r="G132" s="23"/>
      <c r="H132" s="23"/>
      <c r="I132" s="23"/>
      <c r="J132" s="23"/>
      <c r="K132" s="23"/>
      <c r="L132" s="23"/>
    </row>
    <row r="133" spans="2:12" ht="15.75" customHeight="1" x14ac:dyDescent="0.25">
      <c r="B133" s="23"/>
      <c r="C133" s="23"/>
      <c r="D133" s="23"/>
      <c r="E133" s="23"/>
      <c r="F133" s="23"/>
      <c r="G133" s="23"/>
      <c r="H133" s="23"/>
      <c r="I133" s="23"/>
      <c r="J133" s="23"/>
      <c r="K133" s="23"/>
      <c r="L133" s="23"/>
    </row>
    <row r="134" spans="2:12" ht="15.75" customHeight="1" x14ac:dyDescent="0.25">
      <c r="B134" s="23"/>
      <c r="C134" s="23"/>
      <c r="D134" s="23"/>
      <c r="E134" s="23"/>
      <c r="F134" s="23"/>
      <c r="G134" s="23"/>
      <c r="H134" s="23"/>
      <c r="I134" s="23"/>
      <c r="J134" s="23"/>
      <c r="K134" s="23"/>
      <c r="L134" s="23"/>
    </row>
    <row r="135" spans="2:12" ht="15.75" customHeight="1" x14ac:dyDescent="0.25">
      <c r="B135" s="23"/>
      <c r="C135" s="23"/>
      <c r="D135" s="23"/>
      <c r="E135" s="23"/>
      <c r="F135" s="23"/>
      <c r="G135" s="23"/>
      <c r="H135" s="23"/>
      <c r="I135" s="23"/>
      <c r="J135" s="23"/>
      <c r="K135" s="23"/>
      <c r="L135" s="23"/>
    </row>
    <row r="136" spans="2:12" ht="15.75" customHeight="1" x14ac:dyDescent="0.25">
      <c r="B136" s="23"/>
      <c r="C136" s="23"/>
      <c r="D136" s="23"/>
      <c r="E136" s="23"/>
      <c r="F136" s="23"/>
      <c r="G136" s="23"/>
      <c r="H136" s="23"/>
      <c r="I136" s="23"/>
      <c r="J136" s="23"/>
      <c r="K136" s="23"/>
      <c r="L136" s="23"/>
    </row>
    <row r="137" spans="2:12" ht="15.75" customHeight="1" x14ac:dyDescent="0.25">
      <c r="B137" s="23"/>
      <c r="C137" s="23"/>
      <c r="D137" s="23"/>
      <c r="E137" s="23"/>
      <c r="F137" s="23"/>
      <c r="G137" s="23"/>
      <c r="H137" s="23"/>
      <c r="I137" s="23"/>
      <c r="J137" s="23"/>
      <c r="K137" s="23"/>
      <c r="L137" s="23"/>
    </row>
    <row r="138" spans="2:12" ht="15.75" customHeight="1" x14ac:dyDescent="0.25">
      <c r="B138" s="23"/>
      <c r="C138" s="23"/>
      <c r="D138" s="23"/>
      <c r="E138" s="23"/>
      <c r="F138" s="23"/>
      <c r="G138" s="23"/>
      <c r="H138" s="23"/>
      <c r="I138" s="23"/>
      <c r="J138" s="23"/>
      <c r="K138" s="23"/>
      <c r="L138" s="23"/>
    </row>
    <row r="139" spans="2:12" ht="15.75" customHeight="1" x14ac:dyDescent="0.25">
      <c r="B139" s="23"/>
      <c r="C139" s="23"/>
      <c r="D139" s="23"/>
      <c r="E139" s="23"/>
      <c r="F139" s="23"/>
      <c r="G139" s="23"/>
      <c r="H139" s="23"/>
      <c r="I139" s="23"/>
      <c r="J139" s="23"/>
      <c r="K139" s="23"/>
      <c r="L139" s="23"/>
    </row>
    <row r="140" spans="2:12" ht="15.75" customHeight="1" x14ac:dyDescent="0.25">
      <c r="B140" s="23"/>
      <c r="C140" s="23"/>
      <c r="D140" s="23"/>
      <c r="E140" s="23"/>
      <c r="F140" s="23"/>
      <c r="G140" s="23"/>
      <c r="H140" s="23"/>
      <c r="I140" s="23"/>
      <c r="J140" s="23"/>
      <c r="K140" s="23"/>
      <c r="L140" s="23"/>
    </row>
    <row r="141" spans="2:12" ht="15.75" customHeight="1" x14ac:dyDescent="0.25">
      <c r="B141" s="23"/>
      <c r="C141" s="23"/>
      <c r="D141" s="23"/>
      <c r="E141" s="23"/>
      <c r="F141" s="23"/>
      <c r="G141" s="23"/>
      <c r="H141" s="23"/>
      <c r="I141" s="23"/>
      <c r="J141" s="23"/>
      <c r="K141" s="23"/>
      <c r="L141" s="23"/>
    </row>
    <row r="142" spans="2:12" ht="15.75" customHeight="1" x14ac:dyDescent="0.25">
      <c r="B142" s="23"/>
      <c r="C142" s="23"/>
      <c r="D142" s="23"/>
      <c r="E142" s="23"/>
      <c r="F142" s="23"/>
      <c r="G142" s="23"/>
      <c r="H142" s="23"/>
      <c r="I142" s="23"/>
      <c r="J142" s="23"/>
      <c r="K142" s="23"/>
      <c r="L142" s="23"/>
    </row>
    <row r="143" spans="2:12" ht="15.75" customHeight="1" x14ac:dyDescent="0.25">
      <c r="B143" s="23"/>
      <c r="C143" s="23"/>
      <c r="D143" s="23"/>
      <c r="E143" s="23"/>
      <c r="F143" s="23"/>
      <c r="G143" s="23"/>
      <c r="H143" s="23"/>
      <c r="I143" s="23"/>
      <c r="J143" s="23"/>
      <c r="K143" s="23"/>
      <c r="L143" s="23"/>
    </row>
    <row r="144" spans="2:12" ht="15.75" customHeight="1" x14ac:dyDescent="0.25">
      <c r="B144" s="23"/>
      <c r="C144" s="23"/>
      <c r="D144" s="23"/>
      <c r="E144" s="23"/>
      <c r="F144" s="23"/>
      <c r="G144" s="23"/>
      <c r="H144" s="23"/>
      <c r="I144" s="23"/>
      <c r="J144" s="23"/>
      <c r="K144" s="23"/>
      <c r="L144" s="23"/>
    </row>
    <row r="145" spans="2:12" ht="15.75" customHeight="1" x14ac:dyDescent="0.25">
      <c r="B145" s="23"/>
      <c r="C145" s="23"/>
      <c r="D145" s="23"/>
      <c r="E145" s="23"/>
      <c r="F145" s="23"/>
      <c r="G145" s="23"/>
      <c r="H145" s="23"/>
      <c r="I145" s="23"/>
      <c r="J145" s="23"/>
      <c r="K145" s="23"/>
      <c r="L145" s="23"/>
    </row>
    <row r="146" spans="2:12" ht="15.75" customHeight="1" x14ac:dyDescent="0.25">
      <c r="B146" s="23"/>
      <c r="C146" s="23"/>
      <c r="D146" s="23"/>
      <c r="E146" s="23"/>
      <c r="F146" s="23"/>
      <c r="G146" s="23"/>
      <c r="H146" s="23"/>
      <c r="I146" s="23"/>
      <c r="J146" s="23"/>
      <c r="K146" s="23"/>
      <c r="L146" s="23"/>
    </row>
    <row r="147" spans="2:12" ht="15.75" customHeight="1" x14ac:dyDescent="0.25">
      <c r="B147" s="23"/>
      <c r="C147" s="23"/>
      <c r="D147" s="23"/>
      <c r="E147" s="23"/>
      <c r="F147" s="23"/>
      <c r="G147" s="23"/>
      <c r="H147" s="23"/>
      <c r="I147" s="23"/>
      <c r="J147" s="23"/>
      <c r="K147" s="23"/>
      <c r="L147" s="23"/>
    </row>
    <row r="148" spans="2:12" ht="15.75" customHeight="1" x14ac:dyDescent="0.25">
      <c r="B148" s="23"/>
      <c r="C148" s="23"/>
      <c r="D148" s="23"/>
      <c r="E148" s="23"/>
      <c r="F148" s="23"/>
      <c r="G148" s="23"/>
      <c r="H148" s="23"/>
      <c r="I148" s="23"/>
      <c r="J148" s="23"/>
      <c r="K148" s="23"/>
      <c r="L148" s="23"/>
    </row>
    <row r="149" spans="2:12" ht="15.75" customHeight="1" x14ac:dyDescent="0.25">
      <c r="B149" s="23"/>
      <c r="C149" s="23"/>
      <c r="D149" s="23"/>
      <c r="E149" s="23"/>
      <c r="F149" s="23"/>
      <c r="G149" s="23"/>
      <c r="H149" s="23"/>
      <c r="I149" s="23"/>
      <c r="J149" s="23"/>
      <c r="K149" s="23"/>
      <c r="L149" s="23"/>
    </row>
    <row r="150" spans="2:12" ht="15.75" customHeight="1" x14ac:dyDescent="0.25">
      <c r="B150" s="23"/>
      <c r="C150" s="23"/>
      <c r="D150" s="23"/>
      <c r="E150" s="23"/>
      <c r="F150" s="23"/>
      <c r="G150" s="23"/>
      <c r="H150" s="23"/>
      <c r="I150" s="23"/>
      <c r="J150" s="23"/>
      <c r="K150" s="23"/>
      <c r="L150" s="23"/>
    </row>
    <row r="151" spans="2:12" ht="15.75" customHeight="1" x14ac:dyDescent="0.25">
      <c r="B151" s="23"/>
      <c r="C151" s="23"/>
      <c r="D151" s="23"/>
      <c r="E151" s="23"/>
      <c r="F151" s="23"/>
      <c r="G151" s="23"/>
      <c r="H151" s="23"/>
      <c r="I151" s="23"/>
      <c r="J151" s="23"/>
      <c r="K151" s="23"/>
      <c r="L151" s="23"/>
    </row>
    <row r="152" spans="2:12" ht="15.75" customHeight="1" x14ac:dyDescent="0.25">
      <c r="B152" s="23"/>
      <c r="C152" s="23"/>
      <c r="D152" s="23"/>
      <c r="E152" s="23"/>
      <c r="F152" s="23"/>
      <c r="G152" s="23"/>
      <c r="H152" s="23"/>
      <c r="I152" s="23"/>
      <c r="J152" s="23"/>
      <c r="K152" s="23"/>
      <c r="L152" s="23"/>
    </row>
    <row r="153" spans="2:12" ht="15.75" customHeight="1" x14ac:dyDescent="0.25">
      <c r="B153" s="23"/>
      <c r="C153" s="23"/>
      <c r="D153" s="23"/>
      <c r="E153" s="23"/>
      <c r="F153" s="23"/>
      <c r="G153" s="23"/>
      <c r="H153" s="23"/>
      <c r="I153" s="23"/>
      <c r="J153" s="23"/>
      <c r="K153" s="23"/>
      <c r="L153" s="23"/>
    </row>
    <row r="154" spans="2:12" ht="15.75" customHeight="1" x14ac:dyDescent="0.25">
      <c r="B154" s="23"/>
      <c r="C154" s="23"/>
      <c r="D154" s="23"/>
      <c r="E154" s="23"/>
      <c r="F154" s="23"/>
      <c r="G154" s="23"/>
      <c r="H154" s="23"/>
      <c r="I154" s="23"/>
      <c r="J154" s="23"/>
      <c r="K154" s="23"/>
      <c r="L154" s="23"/>
    </row>
    <row r="155" spans="2:12" ht="15.75" customHeight="1" x14ac:dyDescent="0.25">
      <c r="B155" s="23"/>
      <c r="C155" s="23"/>
      <c r="D155" s="23"/>
      <c r="E155" s="23"/>
      <c r="F155" s="23"/>
      <c r="G155" s="23"/>
      <c r="H155" s="23"/>
      <c r="I155" s="23"/>
      <c r="J155" s="23"/>
      <c r="K155" s="23"/>
      <c r="L155" s="23"/>
    </row>
    <row r="156" spans="2:12" ht="15.75" customHeight="1" x14ac:dyDescent="0.25">
      <c r="B156" s="23"/>
      <c r="C156" s="23"/>
      <c r="D156" s="23"/>
      <c r="E156" s="23"/>
      <c r="F156" s="23"/>
      <c r="G156" s="23"/>
      <c r="H156" s="23"/>
      <c r="I156" s="23"/>
      <c r="J156" s="23"/>
      <c r="K156" s="23"/>
      <c r="L156" s="23"/>
    </row>
    <row r="157" spans="2:12" ht="15.75" customHeight="1" x14ac:dyDescent="0.25">
      <c r="B157" s="23"/>
      <c r="C157" s="23"/>
      <c r="D157" s="23"/>
      <c r="E157" s="23"/>
      <c r="F157" s="23"/>
      <c r="G157" s="23"/>
      <c r="H157" s="23"/>
      <c r="I157" s="23"/>
      <c r="J157" s="23"/>
      <c r="K157" s="23"/>
      <c r="L157" s="23"/>
    </row>
    <row r="158" spans="2:12" ht="15.75" customHeight="1" x14ac:dyDescent="0.25">
      <c r="B158" s="23"/>
      <c r="C158" s="23"/>
      <c r="D158" s="23"/>
      <c r="E158" s="23"/>
      <c r="F158" s="23"/>
      <c r="G158" s="23"/>
      <c r="H158" s="23"/>
      <c r="I158" s="23"/>
      <c r="J158" s="23"/>
      <c r="K158" s="23"/>
      <c r="L158" s="23"/>
    </row>
    <row r="159" spans="2:12" ht="15.75" customHeight="1" x14ac:dyDescent="0.25">
      <c r="B159" s="23"/>
      <c r="C159" s="23"/>
      <c r="D159" s="23"/>
      <c r="E159" s="23"/>
      <c r="F159" s="23"/>
      <c r="G159" s="23"/>
      <c r="H159" s="23"/>
      <c r="I159" s="23"/>
      <c r="J159" s="23"/>
      <c r="K159" s="23"/>
      <c r="L159" s="23"/>
    </row>
    <row r="160" spans="2:12" ht="15.75" customHeight="1" x14ac:dyDescent="0.25">
      <c r="B160" s="23"/>
      <c r="C160" s="23"/>
      <c r="D160" s="23"/>
      <c r="E160" s="23"/>
      <c r="F160" s="23"/>
      <c r="G160" s="23"/>
      <c r="H160" s="23"/>
      <c r="I160" s="23"/>
      <c r="J160" s="23"/>
      <c r="K160" s="23"/>
      <c r="L160" s="23"/>
    </row>
    <row r="161" spans="2:12" ht="15.75" customHeight="1" x14ac:dyDescent="0.25">
      <c r="B161" s="23"/>
      <c r="C161" s="23"/>
      <c r="D161" s="23"/>
      <c r="E161" s="23"/>
      <c r="F161" s="23"/>
      <c r="G161" s="23"/>
      <c r="H161" s="23"/>
      <c r="I161" s="23"/>
      <c r="J161" s="23"/>
      <c r="K161" s="23"/>
      <c r="L161" s="23"/>
    </row>
    <row r="162" spans="2:12" ht="15.75" customHeight="1" x14ac:dyDescent="0.25">
      <c r="B162" s="23"/>
      <c r="C162" s="23"/>
      <c r="D162" s="23"/>
      <c r="E162" s="23"/>
      <c r="F162" s="23"/>
      <c r="G162" s="23"/>
      <c r="H162" s="23"/>
      <c r="I162" s="23"/>
      <c r="J162" s="23"/>
      <c r="K162" s="23"/>
      <c r="L162" s="23"/>
    </row>
    <row r="163" spans="2:12" ht="15.75" customHeight="1" x14ac:dyDescent="0.25">
      <c r="B163" s="23"/>
      <c r="C163" s="23"/>
      <c r="D163" s="23"/>
      <c r="E163" s="23"/>
      <c r="F163" s="23"/>
      <c r="G163" s="23"/>
      <c r="H163" s="23"/>
      <c r="I163" s="23"/>
      <c r="J163" s="23"/>
      <c r="K163" s="23"/>
      <c r="L163" s="23"/>
    </row>
    <row r="164" spans="2:12" ht="15.75" customHeight="1" x14ac:dyDescent="0.25">
      <c r="B164" s="23"/>
      <c r="C164" s="23"/>
      <c r="D164" s="23"/>
      <c r="E164" s="23"/>
      <c r="F164" s="23"/>
      <c r="G164" s="23"/>
      <c r="H164" s="23"/>
      <c r="I164" s="23"/>
      <c r="J164" s="23"/>
      <c r="K164" s="23"/>
      <c r="L164" s="23"/>
    </row>
    <row r="165" spans="2:12" ht="15.75" customHeight="1" x14ac:dyDescent="0.25">
      <c r="B165" s="23"/>
      <c r="C165" s="23"/>
      <c r="D165" s="23"/>
      <c r="E165" s="23"/>
      <c r="F165" s="23"/>
      <c r="G165" s="23"/>
      <c r="H165" s="23"/>
      <c r="I165" s="23"/>
      <c r="J165" s="23"/>
      <c r="K165" s="23"/>
      <c r="L165" s="23"/>
    </row>
    <row r="166" spans="2:12" ht="15.75" customHeight="1" x14ac:dyDescent="0.25">
      <c r="B166" s="23"/>
      <c r="C166" s="23"/>
      <c r="D166" s="23"/>
      <c r="E166" s="23"/>
      <c r="F166" s="23"/>
      <c r="G166" s="23"/>
      <c r="H166" s="23"/>
      <c r="I166" s="23"/>
      <c r="J166" s="23"/>
      <c r="K166" s="23"/>
      <c r="L166" s="23"/>
    </row>
    <row r="167" spans="2:12" ht="15.75" customHeight="1" x14ac:dyDescent="0.25">
      <c r="B167" s="23"/>
      <c r="C167" s="23"/>
      <c r="D167" s="23"/>
      <c r="E167" s="23"/>
      <c r="F167" s="23"/>
      <c r="G167" s="23"/>
      <c r="H167" s="23"/>
      <c r="I167" s="23"/>
      <c r="J167" s="23"/>
      <c r="K167" s="23"/>
      <c r="L167" s="23"/>
    </row>
    <row r="168" spans="2:12" ht="15.75" customHeight="1" x14ac:dyDescent="0.25">
      <c r="B168" s="23"/>
      <c r="C168" s="23"/>
      <c r="D168" s="23"/>
      <c r="E168" s="23"/>
      <c r="F168" s="23"/>
      <c r="G168" s="23"/>
      <c r="H168" s="23"/>
      <c r="I168" s="23"/>
      <c r="J168" s="23"/>
      <c r="K168" s="23"/>
      <c r="L168" s="23"/>
    </row>
    <row r="169" spans="2:12" ht="15.75" customHeight="1" x14ac:dyDescent="0.25">
      <c r="B169" s="23"/>
      <c r="C169" s="23"/>
      <c r="D169" s="23"/>
      <c r="E169" s="23"/>
      <c r="F169" s="23"/>
      <c r="G169" s="23"/>
      <c r="H169" s="23"/>
      <c r="I169" s="23"/>
      <c r="J169" s="23"/>
      <c r="K169" s="23"/>
      <c r="L169" s="23"/>
    </row>
    <row r="170" spans="2:12" ht="15.75" customHeight="1" x14ac:dyDescent="0.25">
      <c r="B170" s="23"/>
      <c r="C170" s="23"/>
      <c r="D170" s="23"/>
      <c r="E170" s="23"/>
      <c r="F170" s="23"/>
      <c r="G170" s="23"/>
      <c r="H170" s="23"/>
      <c r="I170" s="23"/>
      <c r="J170" s="23"/>
      <c r="K170" s="23"/>
      <c r="L170" s="23"/>
    </row>
    <row r="171" spans="2:12" ht="15.75" customHeight="1" x14ac:dyDescent="0.25">
      <c r="B171" s="23"/>
      <c r="C171" s="23"/>
      <c r="D171" s="23"/>
      <c r="E171" s="23"/>
      <c r="F171" s="23"/>
      <c r="G171" s="23"/>
      <c r="H171" s="23"/>
      <c r="I171" s="23"/>
      <c r="J171" s="23"/>
      <c r="K171" s="23"/>
      <c r="L171" s="23"/>
    </row>
    <row r="172" spans="2:12" ht="15.75" customHeight="1" x14ac:dyDescent="0.25">
      <c r="B172" s="23"/>
      <c r="C172" s="23"/>
      <c r="D172" s="23"/>
      <c r="E172" s="23"/>
      <c r="F172" s="23"/>
      <c r="G172" s="23"/>
      <c r="H172" s="23"/>
      <c r="I172" s="23"/>
      <c r="J172" s="23"/>
      <c r="K172" s="23"/>
      <c r="L172" s="23"/>
    </row>
    <row r="173" spans="2:12" ht="15.75" customHeight="1" x14ac:dyDescent="0.25">
      <c r="B173" s="23"/>
      <c r="C173" s="23"/>
      <c r="D173" s="23"/>
      <c r="E173" s="23"/>
      <c r="F173" s="23"/>
      <c r="G173" s="23"/>
      <c r="H173" s="23"/>
      <c r="I173" s="23"/>
      <c r="J173" s="23"/>
      <c r="K173" s="23"/>
      <c r="L173" s="23"/>
    </row>
    <row r="174" spans="2:12" ht="15.75" customHeight="1" x14ac:dyDescent="0.25">
      <c r="B174" s="23"/>
      <c r="C174" s="23"/>
      <c r="D174" s="23"/>
      <c r="E174" s="23"/>
      <c r="F174" s="23"/>
      <c r="G174" s="23"/>
      <c r="H174" s="23"/>
      <c r="I174" s="23"/>
      <c r="J174" s="23"/>
      <c r="K174" s="23"/>
      <c r="L174" s="23"/>
    </row>
    <row r="175" spans="2:12" ht="15.75" customHeight="1" x14ac:dyDescent="0.25">
      <c r="B175" s="23"/>
      <c r="C175" s="23"/>
      <c r="D175" s="23"/>
      <c r="E175" s="23"/>
      <c r="F175" s="23"/>
      <c r="G175" s="23"/>
      <c r="H175" s="23"/>
      <c r="I175" s="23"/>
      <c r="J175" s="23"/>
      <c r="K175" s="23"/>
      <c r="L175" s="23"/>
    </row>
    <row r="176" spans="2:12" ht="15.75" customHeight="1" x14ac:dyDescent="0.25">
      <c r="B176" s="23"/>
      <c r="C176" s="23"/>
      <c r="D176" s="23"/>
      <c r="E176" s="23"/>
      <c r="F176" s="23"/>
      <c r="G176" s="23"/>
      <c r="H176" s="23"/>
      <c r="I176" s="23"/>
      <c r="J176" s="23"/>
      <c r="K176" s="23"/>
      <c r="L176" s="23"/>
    </row>
    <row r="177" spans="2:12" ht="15.75" customHeight="1" x14ac:dyDescent="0.25">
      <c r="B177" s="23"/>
      <c r="C177" s="23"/>
      <c r="D177" s="23"/>
      <c r="E177" s="23"/>
      <c r="F177" s="23"/>
      <c r="G177" s="23"/>
      <c r="H177" s="23"/>
      <c r="I177" s="23"/>
      <c r="J177" s="23"/>
      <c r="K177" s="23"/>
      <c r="L177" s="23"/>
    </row>
    <row r="178" spans="2:12" ht="15.75" customHeight="1" x14ac:dyDescent="0.25">
      <c r="B178" s="23"/>
      <c r="C178" s="23"/>
      <c r="D178" s="23"/>
      <c r="E178" s="23"/>
      <c r="F178" s="23"/>
      <c r="G178" s="23"/>
      <c r="H178" s="23"/>
      <c r="I178" s="23"/>
      <c r="J178" s="23"/>
      <c r="K178" s="23"/>
      <c r="L178" s="23"/>
    </row>
    <row r="179" spans="2:12" ht="15.75" customHeight="1" x14ac:dyDescent="0.25">
      <c r="B179" s="23"/>
      <c r="C179" s="23"/>
      <c r="D179" s="23"/>
      <c r="E179" s="23"/>
      <c r="F179" s="23"/>
      <c r="G179" s="23"/>
      <c r="H179" s="23"/>
      <c r="I179" s="23"/>
      <c r="J179" s="23"/>
      <c r="K179" s="23"/>
      <c r="L179" s="23"/>
    </row>
    <row r="180" spans="2:12" ht="15.75" customHeight="1" x14ac:dyDescent="0.25">
      <c r="B180" s="23"/>
      <c r="C180" s="23"/>
      <c r="D180" s="23"/>
      <c r="E180" s="23"/>
      <c r="F180" s="23"/>
      <c r="G180" s="23"/>
      <c r="H180" s="23"/>
      <c r="I180" s="23"/>
      <c r="J180" s="23"/>
      <c r="K180" s="23"/>
      <c r="L180" s="23"/>
    </row>
    <row r="181" spans="2:12" ht="15.75" customHeight="1" x14ac:dyDescent="0.25">
      <c r="B181" s="23"/>
      <c r="C181" s="23"/>
      <c r="D181" s="23"/>
      <c r="E181" s="23"/>
      <c r="F181" s="23"/>
      <c r="G181" s="23"/>
      <c r="H181" s="23"/>
      <c r="I181" s="23"/>
      <c r="J181" s="23"/>
      <c r="K181" s="23"/>
      <c r="L181" s="23"/>
    </row>
    <row r="182" spans="2:12" ht="15.75" customHeight="1" x14ac:dyDescent="0.25">
      <c r="B182" s="23"/>
      <c r="C182" s="23"/>
      <c r="D182" s="23"/>
      <c r="E182" s="23"/>
      <c r="F182" s="23"/>
      <c r="G182" s="23"/>
      <c r="H182" s="23"/>
      <c r="I182" s="23"/>
      <c r="J182" s="23"/>
      <c r="K182" s="23"/>
      <c r="L182" s="23"/>
    </row>
    <row r="183" spans="2:12" ht="15.75" customHeight="1" x14ac:dyDescent="0.25">
      <c r="B183" s="23"/>
      <c r="C183" s="23"/>
      <c r="D183" s="23"/>
      <c r="E183" s="23"/>
      <c r="F183" s="23"/>
      <c r="G183" s="23"/>
      <c r="H183" s="23"/>
      <c r="I183" s="23"/>
      <c r="J183" s="23"/>
      <c r="K183" s="23"/>
      <c r="L183" s="23"/>
    </row>
    <row r="184" spans="2:12" ht="15.75" customHeight="1" x14ac:dyDescent="0.25">
      <c r="B184" s="23"/>
      <c r="C184" s="23"/>
      <c r="D184" s="23"/>
      <c r="E184" s="23"/>
      <c r="F184" s="23"/>
      <c r="G184" s="23"/>
      <c r="H184" s="23"/>
      <c r="I184" s="23"/>
      <c r="J184" s="23"/>
      <c r="K184" s="23"/>
      <c r="L184" s="23"/>
    </row>
    <row r="185" spans="2:12" ht="15.75" customHeight="1" x14ac:dyDescent="0.25">
      <c r="B185" s="23"/>
      <c r="C185" s="23"/>
      <c r="D185" s="23"/>
      <c r="E185" s="23"/>
      <c r="F185" s="23"/>
      <c r="G185" s="23"/>
      <c r="H185" s="23"/>
      <c r="I185" s="23"/>
      <c r="J185" s="23"/>
      <c r="K185" s="23"/>
      <c r="L185" s="23"/>
    </row>
    <row r="186" spans="2:12" ht="15.75" customHeight="1" x14ac:dyDescent="0.25">
      <c r="B186" s="23"/>
      <c r="C186" s="23"/>
      <c r="D186" s="23"/>
      <c r="E186" s="23"/>
      <c r="F186" s="23"/>
      <c r="G186" s="23"/>
      <c r="H186" s="23"/>
      <c r="I186" s="23"/>
      <c r="J186" s="23"/>
      <c r="K186" s="23"/>
      <c r="L186" s="23"/>
    </row>
    <row r="187" spans="2:12" ht="15.75" customHeight="1" x14ac:dyDescent="0.25">
      <c r="B187" s="23"/>
      <c r="C187" s="23"/>
      <c r="D187" s="23"/>
      <c r="E187" s="23"/>
      <c r="F187" s="23"/>
      <c r="G187" s="23"/>
      <c r="H187" s="23"/>
      <c r="I187" s="23"/>
      <c r="J187" s="23"/>
      <c r="K187" s="23"/>
      <c r="L187" s="23"/>
    </row>
    <row r="188" spans="2:12" ht="15.75" customHeight="1" x14ac:dyDescent="0.25">
      <c r="B188" s="23"/>
      <c r="C188" s="23"/>
      <c r="D188" s="23"/>
      <c r="E188" s="23"/>
      <c r="F188" s="23"/>
      <c r="G188" s="23"/>
      <c r="H188" s="23"/>
      <c r="I188" s="23"/>
      <c r="J188" s="23"/>
      <c r="K188" s="23"/>
      <c r="L188" s="23"/>
    </row>
    <row r="189" spans="2:12" ht="15.75" customHeight="1" x14ac:dyDescent="0.25">
      <c r="B189" s="23"/>
      <c r="C189" s="23"/>
      <c r="D189" s="23"/>
      <c r="E189" s="23"/>
      <c r="F189" s="23"/>
      <c r="G189" s="23"/>
      <c r="H189" s="23"/>
      <c r="I189" s="23"/>
      <c r="J189" s="23"/>
      <c r="K189" s="23"/>
      <c r="L189" s="23"/>
    </row>
    <row r="190" spans="2:12" ht="15.75" customHeight="1" x14ac:dyDescent="0.25">
      <c r="B190" s="23"/>
      <c r="C190" s="23"/>
      <c r="D190" s="23"/>
      <c r="E190" s="23"/>
      <c r="F190" s="23"/>
      <c r="G190" s="23"/>
      <c r="H190" s="23"/>
      <c r="I190" s="23"/>
      <c r="J190" s="23"/>
      <c r="K190" s="23"/>
      <c r="L190" s="23"/>
    </row>
    <row r="191" spans="2:12" ht="15.75" customHeight="1" x14ac:dyDescent="0.25">
      <c r="B191" s="23"/>
      <c r="C191" s="23"/>
      <c r="D191" s="23"/>
      <c r="E191" s="23"/>
      <c r="F191" s="23"/>
      <c r="G191" s="23"/>
      <c r="H191" s="23"/>
      <c r="I191" s="23"/>
      <c r="J191" s="23"/>
      <c r="K191" s="23"/>
      <c r="L191" s="23"/>
    </row>
    <row r="192" spans="2:12" ht="15.75" customHeight="1" x14ac:dyDescent="0.25">
      <c r="B192" s="23"/>
      <c r="C192" s="23"/>
      <c r="D192" s="23"/>
      <c r="E192" s="23"/>
      <c r="F192" s="23"/>
      <c r="G192" s="23"/>
      <c r="H192" s="23"/>
      <c r="I192" s="23"/>
      <c r="J192" s="23"/>
      <c r="K192" s="23"/>
      <c r="L192" s="23"/>
    </row>
    <row r="193" spans="2:12" ht="15.75" customHeight="1" x14ac:dyDescent="0.25">
      <c r="B193" s="23"/>
      <c r="C193" s="23"/>
      <c r="D193" s="23"/>
      <c r="E193" s="23"/>
      <c r="F193" s="23"/>
      <c r="G193" s="23"/>
      <c r="H193" s="23"/>
      <c r="I193" s="23"/>
      <c r="J193" s="23"/>
      <c r="K193" s="23"/>
      <c r="L193" s="23"/>
    </row>
    <row r="194" spans="2:12" ht="15.75" customHeight="1" x14ac:dyDescent="0.25">
      <c r="B194" s="23"/>
      <c r="C194" s="23"/>
      <c r="D194" s="23"/>
      <c r="E194" s="23"/>
      <c r="F194" s="23"/>
      <c r="G194" s="23"/>
      <c r="H194" s="23"/>
      <c r="I194" s="23"/>
      <c r="J194" s="23"/>
      <c r="K194" s="23"/>
      <c r="L194" s="23"/>
    </row>
    <row r="195" spans="2:12" ht="15.75" customHeight="1" x14ac:dyDescent="0.25">
      <c r="B195" s="23"/>
      <c r="C195" s="23"/>
      <c r="D195" s="23"/>
      <c r="E195" s="23"/>
      <c r="F195" s="23"/>
      <c r="G195" s="23"/>
      <c r="H195" s="23"/>
      <c r="I195" s="23"/>
      <c r="J195" s="23"/>
      <c r="K195" s="23"/>
      <c r="L195" s="23"/>
    </row>
    <row r="196" spans="2:12" ht="15.75" customHeight="1" x14ac:dyDescent="0.25">
      <c r="B196" s="23"/>
      <c r="C196" s="23"/>
      <c r="D196" s="23"/>
      <c r="E196" s="23"/>
      <c r="F196" s="23"/>
      <c r="G196" s="23"/>
      <c r="H196" s="23"/>
      <c r="I196" s="23"/>
      <c r="J196" s="23"/>
      <c r="K196" s="23"/>
      <c r="L196" s="23"/>
    </row>
    <row r="197" spans="2:12" ht="15.75" customHeight="1" x14ac:dyDescent="0.25">
      <c r="B197" s="23"/>
      <c r="C197" s="23"/>
      <c r="D197" s="23"/>
      <c r="E197" s="23"/>
      <c r="F197" s="23"/>
      <c r="G197" s="23"/>
      <c r="H197" s="23"/>
      <c r="I197" s="23"/>
      <c r="J197" s="23"/>
      <c r="K197" s="23"/>
      <c r="L197" s="23"/>
    </row>
    <row r="198" spans="2:12" ht="15.75" customHeight="1" x14ac:dyDescent="0.25">
      <c r="B198" s="23"/>
      <c r="C198" s="23"/>
      <c r="D198" s="23"/>
      <c r="E198" s="23"/>
      <c r="F198" s="23"/>
      <c r="G198" s="23"/>
      <c r="H198" s="23"/>
      <c r="I198" s="23"/>
      <c r="J198" s="23"/>
      <c r="K198" s="23"/>
      <c r="L198" s="23"/>
    </row>
    <row r="199" spans="2:12" ht="15.75" customHeight="1" x14ac:dyDescent="0.25">
      <c r="B199" s="23"/>
      <c r="C199" s="23"/>
      <c r="D199" s="23"/>
      <c r="E199" s="23"/>
      <c r="F199" s="23"/>
      <c r="G199" s="23"/>
      <c r="H199" s="23"/>
      <c r="I199" s="23"/>
      <c r="J199" s="23"/>
      <c r="K199" s="23"/>
      <c r="L199" s="23"/>
    </row>
    <row r="200" spans="2:12" ht="15.75" customHeight="1" x14ac:dyDescent="0.25">
      <c r="B200" s="23"/>
      <c r="C200" s="23"/>
      <c r="D200" s="23"/>
      <c r="E200" s="23"/>
      <c r="F200" s="23"/>
      <c r="G200" s="23"/>
      <c r="H200" s="23"/>
      <c r="I200" s="23"/>
      <c r="J200" s="23"/>
      <c r="K200" s="23"/>
      <c r="L200" s="23"/>
    </row>
    <row r="201" spans="2:12" ht="15.75" customHeight="1" x14ac:dyDescent="0.25">
      <c r="B201" s="23"/>
      <c r="C201" s="23"/>
      <c r="D201" s="23"/>
      <c r="E201" s="23"/>
      <c r="F201" s="23"/>
      <c r="G201" s="23"/>
      <c r="H201" s="23"/>
      <c r="I201" s="23"/>
      <c r="J201" s="23"/>
      <c r="K201" s="23"/>
      <c r="L201" s="23"/>
    </row>
    <row r="202" spans="2:12" ht="15.75" customHeight="1" x14ac:dyDescent="0.25">
      <c r="B202" s="23"/>
      <c r="C202" s="23"/>
      <c r="D202" s="23"/>
      <c r="E202" s="23"/>
      <c r="F202" s="23"/>
      <c r="G202" s="23"/>
      <c r="H202" s="23"/>
      <c r="I202" s="23"/>
      <c r="J202" s="23"/>
      <c r="K202" s="23"/>
      <c r="L202" s="23"/>
    </row>
    <row r="203" spans="2:12" ht="15.75" customHeight="1" x14ac:dyDescent="0.25">
      <c r="B203" s="23"/>
      <c r="C203" s="23"/>
      <c r="D203" s="23"/>
      <c r="E203" s="23"/>
      <c r="F203" s="23"/>
      <c r="G203" s="23"/>
      <c r="H203" s="23"/>
      <c r="I203" s="23"/>
      <c r="J203" s="23"/>
      <c r="K203" s="23"/>
      <c r="L203" s="23"/>
    </row>
    <row r="204" spans="2:12" ht="15.75" customHeight="1" x14ac:dyDescent="0.25">
      <c r="B204" s="23"/>
      <c r="C204" s="23"/>
      <c r="D204" s="23"/>
      <c r="E204" s="23"/>
      <c r="F204" s="23"/>
      <c r="G204" s="23"/>
      <c r="H204" s="23"/>
      <c r="I204" s="23"/>
      <c r="J204" s="23"/>
      <c r="K204" s="23"/>
      <c r="L204" s="23"/>
    </row>
    <row r="205" spans="2:12" ht="15.75" customHeight="1" x14ac:dyDescent="0.25">
      <c r="B205" s="23"/>
      <c r="C205" s="23"/>
      <c r="D205" s="23"/>
      <c r="E205" s="23"/>
      <c r="F205" s="23"/>
      <c r="G205" s="23"/>
      <c r="H205" s="23"/>
      <c r="I205" s="23"/>
      <c r="J205" s="23"/>
      <c r="K205" s="23"/>
      <c r="L205" s="23"/>
    </row>
    <row r="206" spans="2:12" ht="15.75" customHeight="1" x14ac:dyDescent="0.25">
      <c r="B206" s="23"/>
      <c r="C206" s="23"/>
      <c r="D206" s="23"/>
      <c r="E206" s="23"/>
      <c r="F206" s="23"/>
      <c r="G206" s="23"/>
      <c r="H206" s="23"/>
      <c r="I206" s="23"/>
      <c r="J206" s="23"/>
      <c r="K206" s="23"/>
      <c r="L206" s="23"/>
    </row>
    <row r="207" spans="2:12" ht="15.75" customHeight="1" x14ac:dyDescent="0.25">
      <c r="B207" s="23"/>
      <c r="C207" s="23"/>
      <c r="D207" s="23"/>
      <c r="E207" s="23"/>
      <c r="F207" s="23"/>
      <c r="G207" s="23"/>
      <c r="H207" s="23"/>
      <c r="I207" s="23"/>
      <c r="J207" s="23"/>
      <c r="K207" s="23"/>
      <c r="L207" s="23"/>
    </row>
    <row r="208" spans="2:12" ht="15.75" customHeight="1" x14ac:dyDescent="0.25">
      <c r="B208" s="23"/>
      <c r="C208" s="23"/>
      <c r="D208" s="23"/>
      <c r="E208" s="23"/>
      <c r="F208" s="23"/>
      <c r="G208" s="23"/>
      <c r="H208" s="23"/>
      <c r="I208" s="23"/>
      <c r="J208" s="23"/>
      <c r="K208" s="23"/>
      <c r="L208" s="23"/>
    </row>
    <row r="209" spans="2:12" ht="15.75" customHeight="1" x14ac:dyDescent="0.25">
      <c r="B209" s="23"/>
      <c r="C209" s="23"/>
      <c r="D209" s="23"/>
      <c r="E209" s="23"/>
      <c r="F209" s="23"/>
      <c r="G209" s="23"/>
      <c r="H209" s="23"/>
      <c r="I209" s="23"/>
      <c r="J209" s="23"/>
      <c r="K209" s="23"/>
      <c r="L209" s="23"/>
    </row>
    <row r="210" spans="2:12" ht="15.75" customHeight="1" x14ac:dyDescent="0.25">
      <c r="B210" s="23"/>
      <c r="C210" s="23"/>
      <c r="D210" s="23"/>
      <c r="E210" s="23"/>
      <c r="F210" s="23"/>
      <c r="G210" s="23"/>
      <c r="H210" s="23"/>
      <c r="I210" s="23"/>
      <c r="J210" s="23"/>
      <c r="K210" s="23"/>
      <c r="L210" s="23"/>
    </row>
    <row r="211" spans="2:12" ht="15.75" customHeight="1" x14ac:dyDescent="0.25">
      <c r="B211" s="23"/>
      <c r="C211" s="23"/>
      <c r="D211" s="23"/>
      <c r="E211" s="23"/>
      <c r="F211" s="23"/>
      <c r="G211" s="23"/>
      <c r="H211" s="23"/>
      <c r="I211" s="23"/>
      <c r="J211" s="23"/>
      <c r="K211" s="23"/>
      <c r="L211" s="23"/>
    </row>
    <row r="212" spans="2:12" ht="15.75" customHeight="1" x14ac:dyDescent="0.25">
      <c r="B212" s="23"/>
      <c r="C212" s="23"/>
      <c r="D212" s="23"/>
      <c r="E212" s="23"/>
      <c r="F212" s="23"/>
      <c r="G212" s="23"/>
      <c r="H212" s="23"/>
      <c r="I212" s="23"/>
      <c r="J212" s="23"/>
      <c r="K212" s="23"/>
      <c r="L212" s="23"/>
    </row>
    <row r="213" spans="2:12" ht="15.75" customHeight="1" x14ac:dyDescent="0.25">
      <c r="B213" s="23"/>
      <c r="C213" s="23"/>
      <c r="D213" s="23"/>
      <c r="E213" s="23"/>
      <c r="F213" s="23"/>
      <c r="G213" s="23"/>
      <c r="H213" s="23"/>
      <c r="I213" s="23"/>
      <c r="J213" s="23"/>
      <c r="K213" s="23"/>
      <c r="L213" s="23"/>
    </row>
    <row r="214" spans="2:12" ht="15.75" customHeight="1" x14ac:dyDescent="0.25">
      <c r="B214" s="23"/>
      <c r="C214" s="23"/>
      <c r="D214" s="23"/>
      <c r="E214" s="23"/>
      <c r="F214" s="23"/>
      <c r="G214" s="23"/>
      <c r="H214" s="23"/>
      <c r="I214" s="23"/>
      <c r="J214" s="23"/>
      <c r="K214" s="23"/>
      <c r="L214" s="23"/>
    </row>
    <row r="215" spans="2:12" ht="15.75" customHeight="1" x14ac:dyDescent="0.25"/>
    <row r="216" spans="2:12" ht="15.75" customHeight="1" x14ac:dyDescent="0.25"/>
    <row r="217" spans="2:12" ht="15.75" customHeight="1" x14ac:dyDescent="0.25"/>
    <row r="218" spans="2:12" ht="15.75" customHeight="1" x14ac:dyDescent="0.25"/>
    <row r="219" spans="2:12" ht="15.75" customHeight="1" x14ac:dyDescent="0.25"/>
    <row r="220" spans="2:12" ht="15.75" customHeight="1" x14ac:dyDescent="0.25"/>
    <row r="221" spans="2:12" ht="15.75" customHeight="1" x14ac:dyDescent="0.25"/>
    <row r="222" spans="2:12" ht="15.75" customHeight="1" x14ac:dyDescent="0.25"/>
    <row r="223" spans="2:12" ht="15.75" customHeight="1" x14ac:dyDescent="0.25"/>
    <row r="224" spans="2:1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0">
    <mergeCell ref="B32:L81"/>
    <mergeCell ref="I12:I13"/>
    <mergeCell ref="B18:I18"/>
    <mergeCell ref="C23:C24"/>
    <mergeCell ref="D23:D24"/>
    <mergeCell ref="E23:E24"/>
    <mergeCell ref="F23:F24"/>
    <mergeCell ref="G23:G24"/>
    <mergeCell ref="H12:H13"/>
    <mergeCell ref="H23:H24"/>
    <mergeCell ref="I23:I24"/>
    <mergeCell ref="C26:C27"/>
    <mergeCell ref="D26:D27"/>
    <mergeCell ref="E26:E27"/>
    <mergeCell ref="F26:F27"/>
    <mergeCell ref="G26:G27"/>
    <mergeCell ref="H26:H27"/>
    <mergeCell ref="I26:I27"/>
    <mergeCell ref="C12:C13"/>
    <mergeCell ref="D12:D13"/>
    <mergeCell ref="E12:E13"/>
    <mergeCell ref="F12:F13"/>
    <mergeCell ref="G12:G13"/>
    <mergeCell ref="B6:I6"/>
    <mergeCell ref="C3:D3"/>
    <mergeCell ref="D8:D9"/>
    <mergeCell ref="E8:E9"/>
    <mergeCell ref="F8:F9"/>
    <mergeCell ref="G8:G9"/>
    <mergeCell ref="H8:H9"/>
    <mergeCell ref="I8:I9"/>
    <mergeCell ref="C8:C9"/>
    <mergeCell ref="H3:H4"/>
    <mergeCell ref="I3:I4"/>
    <mergeCell ref="B1:I1"/>
    <mergeCell ref="B2:B4"/>
    <mergeCell ref="C2:F2"/>
    <mergeCell ref="G2:I2"/>
    <mergeCell ref="E3:F3"/>
    <mergeCell ref="G3:G4"/>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000"/>
  <sheetViews>
    <sheetView showGridLines="0" workbookViewId="0">
      <selection activeCell="C3" sqref="C3:D3"/>
    </sheetView>
  </sheetViews>
  <sheetFormatPr defaultColWidth="14.42578125" defaultRowHeight="15" customHeight="1" x14ac:dyDescent="0.25"/>
  <cols>
    <col min="1" max="1" width="8.7109375" customWidth="1"/>
    <col min="2" max="2" width="33.42578125" customWidth="1"/>
    <col min="3" max="3" width="18.5703125" customWidth="1"/>
    <col min="4" max="4" width="16.5703125" customWidth="1"/>
    <col min="5" max="5" width="17.28515625" customWidth="1"/>
    <col min="6" max="26" width="8.7109375" customWidth="1"/>
  </cols>
  <sheetData>
    <row r="1" spans="2:8" ht="108.75" customHeight="1" x14ac:dyDescent="0.25">
      <c r="B1" s="110" t="s">
        <v>37</v>
      </c>
      <c r="C1" s="93"/>
      <c r="D1" s="93"/>
      <c r="E1" s="93"/>
    </row>
    <row r="2" spans="2:8" ht="31.5" x14ac:dyDescent="0.25">
      <c r="B2" s="3" t="s">
        <v>38</v>
      </c>
      <c r="C2" s="3" t="s">
        <v>39</v>
      </c>
      <c r="D2" s="3" t="s">
        <v>40</v>
      </c>
      <c r="E2" s="3" t="s">
        <v>41</v>
      </c>
    </row>
    <row r="3" spans="2:8" ht="26.25" customHeight="1" x14ac:dyDescent="0.25">
      <c r="B3" s="18" t="s">
        <v>42</v>
      </c>
      <c r="C3" s="7">
        <v>269030134</v>
      </c>
      <c r="D3" s="7">
        <v>192278595</v>
      </c>
      <c r="E3" s="8">
        <f t="shared" ref="E3:E4" si="0">(D3-C3)/C3</f>
        <v>-0.28528974750464198</v>
      </c>
    </row>
    <row r="4" spans="2:8" ht="33" customHeight="1" x14ac:dyDescent="0.25">
      <c r="B4" s="18" t="s">
        <v>43</v>
      </c>
      <c r="C4" s="7">
        <v>661114285</v>
      </c>
      <c r="D4" s="7">
        <v>712291929</v>
      </c>
      <c r="E4" s="8">
        <f t="shared" si="0"/>
        <v>7.7411190714174322E-2</v>
      </c>
    </row>
    <row r="6" spans="2:8" x14ac:dyDescent="0.25">
      <c r="B6" s="24" t="s">
        <v>35</v>
      </c>
    </row>
    <row r="7" spans="2:8" ht="12.75" customHeight="1" x14ac:dyDescent="0.25">
      <c r="B7" s="111" t="s">
        <v>44</v>
      </c>
      <c r="C7" s="108"/>
      <c r="D7" s="108"/>
      <c r="E7" s="108"/>
      <c r="F7" s="108"/>
      <c r="G7" s="108"/>
      <c r="H7" s="108"/>
    </row>
    <row r="8" spans="2:8" ht="15" customHeight="1" x14ac:dyDescent="0.25">
      <c r="B8" s="108"/>
      <c r="C8" s="108"/>
      <c r="D8" s="108"/>
      <c r="E8" s="108"/>
      <c r="F8" s="108"/>
      <c r="G8" s="108"/>
      <c r="H8" s="108"/>
    </row>
    <row r="9" spans="2:8" ht="15" customHeight="1" x14ac:dyDescent="0.25">
      <c r="B9" s="108"/>
      <c r="C9" s="108"/>
      <c r="D9" s="108"/>
      <c r="E9" s="108"/>
      <c r="F9" s="108"/>
      <c r="G9" s="108"/>
      <c r="H9" s="108"/>
    </row>
    <row r="10" spans="2:8" ht="15" customHeight="1" x14ac:dyDescent="0.25">
      <c r="B10" s="108"/>
      <c r="C10" s="108"/>
      <c r="D10" s="108"/>
      <c r="E10" s="108"/>
      <c r="F10" s="108"/>
      <c r="G10" s="108"/>
      <c r="H10" s="108"/>
    </row>
    <row r="11" spans="2:8" ht="15" customHeight="1" x14ac:dyDescent="0.25">
      <c r="B11" s="108"/>
      <c r="C11" s="108"/>
      <c r="D11" s="108"/>
      <c r="E11" s="108"/>
      <c r="F11" s="108"/>
      <c r="G11" s="108"/>
      <c r="H11" s="108"/>
    </row>
    <row r="12" spans="2:8" ht="15" customHeight="1" x14ac:dyDescent="0.25">
      <c r="B12" s="108"/>
      <c r="C12" s="108"/>
      <c r="D12" s="108"/>
      <c r="E12" s="108"/>
      <c r="F12" s="108"/>
      <c r="G12" s="108"/>
      <c r="H12" s="108"/>
    </row>
    <row r="13" spans="2:8" ht="15" customHeight="1" x14ac:dyDescent="0.25">
      <c r="B13" s="108"/>
      <c r="C13" s="108"/>
      <c r="D13" s="108"/>
      <c r="E13" s="108"/>
      <c r="F13" s="108"/>
      <c r="G13" s="108"/>
      <c r="H13" s="108"/>
    </row>
    <row r="14" spans="2:8" ht="15" customHeight="1" x14ac:dyDescent="0.25">
      <c r="B14" s="108"/>
      <c r="C14" s="108"/>
      <c r="D14" s="108"/>
      <c r="E14" s="108"/>
      <c r="F14" s="108"/>
      <c r="G14" s="108"/>
      <c r="H14" s="108"/>
    </row>
    <row r="15" spans="2:8" ht="15" customHeight="1" x14ac:dyDescent="0.25">
      <c r="B15" s="108"/>
      <c r="C15" s="108"/>
      <c r="D15" s="108"/>
      <c r="E15" s="108"/>
      <c r="F15" s="108"/>
      <c r="G15" s="108"/>
      <c r="H15" s="108"/>
    </row>
    <row r="16" spans="2:8" ht="15" customHeight="1" x14ac:dyDescent="0.25">
      <c r="B16" s="108"/>
      <c r="C16" s="108"/>
      <c r="D16" s="108"/>
      <c r="E16" s="108"/>
      <c r="F16" s="108"/>
      <c r="G16" s="108"/>
      <c r="H16" s="108"/>
    </row>
    <row r="17" spans="2:8" ht="15" customHeight="1" x14ac:dyDescent="0.25">
      <c r="B17" s="108"/>
      <c r="C17" s="108"/>
      <c r="D17" s="108"/>
      <c r="E17" s="108"/>
      <c r="F17" s="108"/>
      <c r="G17" s="108"/>
      <c r="H17" s="108"/>
    </row>
    <row r="18" spans="2:8" ht="15" customHeight="1" x14ac:dyDescent="0.25">
      <c r="B18" s="108"/>
      <c r="C18" s="108"/>
      <c r="D18" s="108"/>
      <c r="E18" s="108"/>
      <c r="F18" s="108"/>
      <c r="G18" s="108"/>
      <c r="H18" s="108"/>
    </row>
    <row r="19" spans="2:8" ht="15" customHeight="1" x14ac:dyDescent="0.25">
      <c r="B19" s="108"/>
      <c r="C19" s="108"/>
      <c r="D19" s="108"/>
      <c r="E19" s="108"/>
      <c r="F19" s="108"/>
      <c r="G19" s="108"/>
      <c r="H19" s="108"/>
    </row>
    <row r="20" spans="2:8" ht="15" customHeight="1" x14ac:dyDescent="0.25">
      <c r="B20" s="108"/>
      <c r="C20" s="108"/>
      <c r="D20" s="108"/>
      <c r="E20" s="108"/>
      <c r="F20" s="108"/>
      <c r="G20" s="108"/>
      <c r="H20" s="108"/>
    </row>
    <row r="21" spans="2:8" ht="15.75" customHeight="1" x14ac:dyDescent="0.25">
      <c r="B21" s="108"/>
      <c r="C21" s="108"/>
      <c r="D21" s="108"/>
      <c r="E21" s="108"/>
      <c r="F21" s="108"/>
      <c r="G21" s="108"/>
      <c r="H21" s="108"/>
    </row>
    <row r="22" spans="2:8" ht="15.75" customHeight="1" x14ac:dyDescent="0.25">
      <c r="B22" s="108"/>
      <c r="C22" s="108"/>
      <c r="D22" s="108"/>
      <c r="E22" s="108"/>
      <c r="F22" s="108"/>
      <c r="G22" s="108"/>
      <c r="H22" s="108"/>
    </row>
    <row r="23" spans="2:8" ht="15.75" customHeight="1" x14ac:dyDescent="0.25">
      <c r="B23" s="108"/>
      <c r="C23" s="108"/>
      <c r="D23" s="108"/>
      <c r="E23" s="108"/>
      <c r="F23" s="108"/>
      <c r="G23" s="108"/>
      <c r="H23" s="108"/>
    </row>
    <row r="24" spans="2:8" ht="15.75" customHeight="1" x14ac:dyDescent="0.25">
      <c r="B24" s="108"/>
      <c r="C24" s="108"/>
      <c r="D24" s="108"/>
      <c r="E24" s="108"/>
      <c r="F24" s="108"/>
      <c r="G24" s="108"/>
      <c r="H24" s="108"/>
    </row>
    <row r="25" spans="2:8" ht="15.75" customHeight="1" x14ac:dyDescent="0.25">
      <c r="B25" s="108"/>
      <c r="C25" s="108"/>
      <c r="D25" s="108"/>
      <c r="E25" s="108"/>
      <c r="F25" s="108"/>
      <c r="G25" s="108"/>
      <c r="H25" s="108"/>
    </row>
    <row r="26" spans="2:8" ht="15.75" customHeight="1" x14ac:dyDescent="0.25">
      <c r="B26" s="108"/>
      <c r="C26" s="108"/>
      <c r="D26" s="108"/>
      <c r="E26" s="108"/>
      <c r="F26" s="108"/>
      <c r="G26" s="108"/>
      <c r="H26" s="108"/>
    </row>
    <row r="27" spans="2:8" ht="15.75" customHeight="1" x14ac:dyDescent="0.25">
      <c r="B27" s="108"/>
      <c r="C27" s="108"/>
      <c r="D27" s="108"/>
      <c r="E27" s="108"/>
      <c r="F27" s="108"/>
      <c r="G27" s="108"/>
      <c r="H27" s="108"/>
    </row>
    <row r="28" spans="2:8" ht="15.75" customHeight="1" x14ac:dyDescent="0.25">
      <c r="B28" s="108"/>
      <c r="C28" s="108"/>
      <c r="D28" s="108"/>
      <c r="E28" s="108"/>
      <c r="F28" s="108"/>
      <c r="G28" s="108"/>
      <c r="H28" s="108"/>
    </row>
    <row r="29" spans="2:8" ht="15.75" customHeight="1" x14ac:dyDescent="0.25">
      <c r="B29" s="108"/>
      <c r="C29" s="108"/>
      <c r="D29" s="108"/>
      <c r="E29" s="108"/>
      <c r="F29" s="108"/>
      <c r="G29" s="108"/>
      <c r="H29" s="108"/>
    </row>
    <row r="30" spans="2:8" ht="15.75" customHeight="1" x14ac:dyDescent="0.25">
      <c r="B30" s="108"/>
      <c r="C30" s="108"/>
      <c r="D30" s="108"/>
      <c r="E30" s="108"/>
      <c r="F30" s="108"/>
      <c r="G30" s="108"/>
      <c r="H30" s="108"/>
    </row>
    <row r="31" spans="2:8" ht="15.75" customHeight="1" x14ac:dyDescent="0.25">
      <c r="B31" s="108"/>
      <c r="C31" s="108"/>
      <c r="D31" s="108"/>
      <c r="E31" s="108"/>
      <c r="F31" s="108"/>
      <c r="G31" s="108"/>
      <c r="H31" s="108"/>
    </row>
    <row r="32" spans="2:8" ht="15.75" customHeight="1" x14ac:dyDescent="0.25">
      <c r="B32" s="23"/>
      <c r="C32" s="23"/>
      <c r="D32" s="23"/>
      <c r="E32" s="23"/>
      <c r="F32" s="23"/>
      <c r="G32" s="23"/>
      <c r="H32" s="23"/>
    </row>
    <row r="33" spans="2:8" ht="15.75" customHeight="1" x14ac:dyDescent="0.25">
      <c r="B33" s="23"/>
      <c r="C33" s="23"/>
      <c r="D33" s="23"/>
      <c r="E33" s="23"/>
      <c r="F33" s="23"/>
      <c r="G33" s="23"/>
      <c r="H33" s="23"/>
    </row>
    <row r="34" spans="2:8" ht="15.75" customHeight="1" x14ac:dyDescent="0.25">
      <c r="B34" s="23"/>
      <c r="C34" s="23"/>
      <c r="D34" s="23"/>
      <c r="E34" s="23"/>
      <c r="F34" s="23"/>
      <c r="G34" s="23"/>
      <c r="H34" s="23"/>
    </row>
    <row r="35" spans="2:8" ht="15.75" customHeight="1" x14ac:dyDescent="0.25">
      <c r="B35" s="23"/>
      <c r="C35" s="23"/>
      <c r="D35" s="23"/>
      <c r="E35" s="23"/>
      <c r="F35" s="23"/>
      <c r="G35" s="23"/>
      <c r="H35" s="23"/>
    </row>
    <row r="36" spans="2:8" ht="15.75" customHeight="1" x14ac:dyDescent="0.25">
      <c r="B36" s="23"/>
      <c r="C36" s="23"/>
      <c r="D36" s="23"/>
      <c r="E36" s="23"/>
      <c r="F36" s="23"/>
      <c r="G36" s="23"/>
      <c r="H36" s="23"/>
    </row>
    <row r="37" spans="2:8" ht="15.75" customHeight="1" x14ac:dyDescent="0.25">
      <c r="B37" s="23"/>
      <c r="C37" s="23"/>
      <c r="D37" s="23"/>
      <c r="E37" s="23"/>
      <c r="F37" s="23"/>
      <c r="G37" s="23"/>
      <c r="H37" s="23"/>
    </row>
    <row r="38" spans="2:8" ht="15.75" customHeight="1" x14ac:dyDescent="0.25">
      <c r="B38" s="23"/>
      <c r="C38" s="23"/>
      <c r="D38" s="23"/>
      <c r="E38" s="23"/>
      <c r="F38" s="23"/>
      <c r="G38" s="23"/>
      <c r="H38" s="23"/>
    </row>
    <row r="39" spans="2:8" ht="15.75" customHeight="1" x14ac:dyDescent="0.25">
      <c r="B39" s="23"/>
      <c r="C39" s="23"/>
      <c r="D39" s="23"/>
      <c r="E39" s="23"/>
      <c r="F39" s="23"/>
      <c r="G39" s="23"/>
      <c r="H39" s="23"/>
    </row>
    <row r="40" spans="2:8" ht="15.75" customHeight="1" x14ac:dyDescent="0.25">
      <c r="B40" s="23"/>
      <c r="C40" s="23"/>
      <c r="D40" s="23"/>
      <c r="E40" s="23"/>
      <c r="F40" s="23"/>
      <c r="G40" s="23"/>
      <c r="H40" s="23"/>
    </row>
    <row r="41" spans="2:8" ht="15.75" customHeight="1" x14ac:dyDescent="0.25">
      <c r="B41" s="23"/>
      <c r="C41" s="23"/>
      <c r="D41" s="23"/>
      <c r="E41" s="23"/>
      <c r="F41" s="23"/>
      <c r="G41" s="23"/>
      <c r="H41" s="23"/>
    </row>
    <row r="42" spans="2:8" ht="15.75" customHeight="1" x14ac:dyDescent="0.25">
      <c r="B42" s="23"/>
      <c r="C42" s="23"/>
      <c r="D42" s="23"/>
      <c r="E42" s="23"/>
      <c r="F42" s="23"/>
      <c r="G42" s="23"/>
      <c r="H42" s="23"/>
    </row>
    <row r="43" spans="2:8" ht="15.75" customHeight="1" x14ac:dyDescent="0.25">
      <c r="B43" s="23"/>
      <c r="C43" s="23"/>
      <c r="D43" s="23"/>
      <c r="E43" s="23"/>
      <c r="F43" s="23"/>
      <c r="G43" s="23"/>
      <c r="H43" s="23"/>
    </row>
    <row r="44" spans="2:8" ht="15.75" customHeight="1" x14ac:dyDescent="0.25">
      <c r="B44" s="23"/>
      <c r="C44" s="23"/>
      <c r="D44" s="23"/>
      <c r="E44" s="23"/>
      <c r="F44" s="23"/>
      <c r="G44" s="23"/>
      <c r="H44" s="23"/>
    </row>
    <row r="45" spans="2:8" ht="15.75" customHeight="1" x14ac:dyDescent="0.25">
      <c r="B45" s="23"/>
      <c r="C45" s="23"/>
      <c r="D45" s="23"/>
      <c r="E45" s="23"/>
      <c r="F45" s="23"/>
      <c r="G45" s="23"/>
      <c r="H45" s="23"/>
    </row>
    <row r="46" spans="2:8" ht="15.75" customHeight="1" x14ac:dyDescent="0.25">
      <c r="B46" s="23"/>
      <c r="C46" s="23"/>
      <c r="D46" s="23"/>
      <c r="E46" s="23"/>
      <c r="F46" s="23"/>
      <c r="G46" s="23"/>
      <c r="H46" s="23"/>
    </row>
    <row r="47" spans="2:8" ht="15.75" customHeight="1" x14ac:dyDescent="0.25">
      <c r="B47" s="23"/>
      <c r="C47" s="23"/>
      <c r="D47" s="23"/>
      <c r="E47" s="23"/>
      <c r="F47" s="23"/>
      <c r="G47" s="23"/>
      <c r="H47" s="23"/>
    </row>
    <row r="48" spans="2:8" ht="15.75" customHeight="1" x14ac:dyDescent="0.25">
      <c r="B48" s="23"/>
      <c r="C48" s="23"/>
      <c r="D48" s="23"/>
      <c r="E48" s="23"/>
      <c r="F48" s="23"/>
      <c r="G48" s="23"/>
      <c r="H48" s="23"/>
    </row>
    <row r="49" spans="2:8" ht="15.75" customHeight="1" x14ac:dyDescent="0.25">
      <c r="B49" s="23"/>
      <c r="C49" s="23"/>
      <c r="D49" s="23"/>
      <c r="E49" s="23"/>
      <c r="F49" s="23"/>
      <c r="G49" s="23"/>
      <c r="H49" s="23"/>
    </row>
    <row r="50" spans="2:8" ht="15.75" customHeight="1" x14ac:dyDescent="0.25">
      <c r="B50" s="23"/>
      <c r="C50" s="23"/>
      <c r="D50" s="23"/>
      <c r="E50" s="23"/>
      <c r="F50" s="23"/>
      <c r="G50" s="23"/>
      <c r="H50" s="23"/>
    </row>
    <row r="51" spans="2:8" ht="15.75" customHeight="1" x14ac:dyDescent="0.25">
      <c r="B51" s="23"/>
      <c r="C51" s="23"/>
      <c r="D51" s="23"/>
      <c r="E51" s="23"/>
      <c r="F51" s="23"/>
      <c r="G51" s="23"/>
      <c r="H51" s="23"/>
    </row>
    <row r="52" spans="2:8" ht="15.75" customHeight="1" x14ac:dyDescent="0.25">
      <c r="B52" s="23"/>
      <c r="C52" s="23"/>
      <c r="D52" s="23"/>
      <c r="E52" s="23"/>
      <c r="F52" s="23"/>
      <c r="G52" s="23"/>
      <c r="H52" s="23"/>
    </row>
    <row r="53" spans="2:8" ht="15.75" customHeight="1" x14ac:dyDescent="0.25">
      <c r="B53" s="23"/>
      <c r="C53" s="23"/>
      <c r="D53" s="23"/>
      <c r="E53" s="23"/>
      <c r="F53" s="23"/>
      <c r="G53" s="23"/>
      <c r="H53" s="23"/>
    </row>
    <row r="54" spans="2:8" ht="15.75" customHeight="1" x14ac:dyDescent="0.25">
      <c r="B54" s="23"/>
      <c r="C54" s="23"/>
      <c r="D54" s="23"/>
      <c r="E54" s="23"/>
      <c r="F54" s="23"/>
      <c r="G54" s="23"/>
      <c r="H54" s="23"/>
    </row>
    <row r="55" spans="2:8" ht="15.75" customHeight="1" x14ac:dyDescent="0.25">
      <c r="B55" s="23"/>
      <c r="C55" s="23"/>
      <c r="D55" s="23"/>
      <c r="E55" s="23"/>
      <c r="F55" s="23"/>
      <c r="G55" s="23"/>
      <c r="H55" s="23"/>
    </row>
    <row r="56" spans="2:8" ht="15.75" customHeight="1" x14ac:dyDescent="0.25">
      <c r="B56" s="23"/>
      <c r="C56" s="23"/>
      <c r="D56" s="23"/>
      <c r="E56" s="23"/>
      <c r="F56" s="23"/>
      <c r="G56" s="23"/>
      <c r="H56" s="23"/>
    </row>
    <row r="57" spans="2:8" ht="15.75" customHeight="1" x14ac:dyDescent="0.25">
      <c r="B57" s="23"/>
      <c r="C57" s="23"/>
      <c r="D57" s="23"/>
      <c r="E57" s="23"/>
      <c r="F57" s="23"/>
      <c r="G57" s="23"/>
      <c r="H57" s="23"/>
    </row>
    <row r="58" spans="2:8" ht="15.75" customHeight="1" x14ac:dyDescent="0.25">
      <c r="B58" s="23"/>
      <c r="C58" s="23"/>
      <c r="D58" s="23"/>
      <c r="E58" s="23"/>
      <c r="F58" s="23"/>
      <c r="G58" s="23"/>
      <c r="H58" s="23"/>
    </row>
    <row r="59" spans="2:8" ht="15.75" customHeight="1" x14ac:dyDescent="0.25">
      <c r="B59" s="23"/>
      <c r="C59" s="23"/>
      <c r="D59" s="23"/>
      <c r="E59" s="23"/>
      <c r="F59" s="23"/>
      <c r="G59" s="23"/>
      <c r="H59" s="23"/>
    </row>
    <row r="60" spans="2:8" ht="15.75" customHeight="1" x14ac:dyDescent="0.25">
      <c r="B60" s="23"/>
      <c r="C60" s="23"/>
      <c r="D60" s="23"/>
      <c r="E60" s="23"/>
      <c r="F60" s="23"/>
      <c r="G60" s="23"/>
      <c r="H60" s="23"/>
    </row>
    <row r="61" spans="2:8" ht="15.75" customHeight="1" x14ac:dyDescent="0.25">
      <c r="B61" s="23"/>
      <c r="C61" s="23"/>
      <c r="D61" s="23"/>
      <c r="E61" s="23"/>
      <c r="F61" s="23"/>
      <c r="G61" s="23"/>
      <c r="H61" s="23"/>
    </row>
    <row r="62" spans="2:8" ht="15.75" customHeight="1" x14ac:dyDescent="0.25">
      <c r="B62" s="23"/>
      <c r="C62" s="23"/>
      <c r="D62" s="23"/>
      <c r="E62" s="23"/>
      <c r="F62" s="23"/>
      <c r="G62" s="23"/>
      <c r="H62" s="23"/>
    </row>
    <row r="63" spans="2:8" ht="15.75" customHeight="1" x14ac:dyDescent="0.25">
      <c r="B63" s="23"/>
      <c r="C63" s="23"/>
      <c r="D63" s="23"/>
      <c r="E63" s="23"/>
      <c r="F63" s="23"/>
      <c r="G63" s="23"/>
      <c r="H63" s="23"/>
    </row>
    <row r="64" spans="2:8" ht="15.75" customHeight="1" x14ac:dyDescent="0.25">
      <c r="B64" s="23"/>
      <c r="C64" s="23"/>
      <c r="D64" s="23"/>
      <c r="E64" s="23"/>
      <c r="F64" s="23"/>
      <c r="G64" s="23"/>
      <c r="H64" s="23"/>
    </row>
    <row r="65" spans="2:8" ht="15.75" customHeight="1" x14ac:dyDescent="0.25">
      <c r="B65" s="23"/>
      <c r="C65" s="23"/>
      <c r="D65" s="23"/>
      <c r="E65" s="23"/>
      <c r="F65" s="23"/>
      <c r="G65" s="23"/>
      <c r="H65" s="23"/>
    </row>
    <row r="66" spans="2:8" ht="15.75" customHeight="1" x14ac:dyDescent="0.25">
      <c r="B66" s="23"/>
      <c r="C66" s="23"/>
      <c r="D66" s="23"/>
      <c r="E66" s="23"/>
      <c r="F66" s="23"/>
      <c r="G66" s="23"/>
      <c r="H66" s="23"/>
    </row>
    <row r="67" spans="2:8" ht="15.75" customHeight="1" x14ac:dyDescent="0.25">
      <c r="B67" s="23"/>
      <c r="C67" s="23"/>
      <c r="D67" s="23"/>
      <c r="E67" s="23"/>
      <c r="F67" s="23"/>
      <c r="G67" s="23"/>
      <c r="H67" s="23"/>
    </row>
    <row r="68" spans="2:8" ht="15.75" customHeight="1" x14ac:dyDescent="0.25">
      <c r="B68" s="23"/>
      <c r="C68" s="23"/>
      <c r="D68" s="23"/>
      <c r="E68" s="23"/>
      <c r="F68" s="23"/>
      <c r="G68" s="23"/>
      <c r="H68" s="23"/>
    </row>
    <row r="69" spans="2:8" ht="15.75" customHeight="1" x14ac:dyDescent="0.25">
      <c r="B69" s="23"/>
      <c r="C69" s="23"/>
      <c r="D69" s="23"/>
      <c r="E69" s="23"/>
      <c r="F69" s="23"/>
      <c r="G69" s="23"/>
      <c r="H69" s="23"/>
    </row>
    <row r="70" spans="2:8" ht="15.75" customHeight="1" x14ac:dyDescent="0.25">
      <c r="B70" s="23"/>
      <c r="C70" s="23"/>
      <c r="D70" s="23"/>
      <c r="E70" s="23"/>
      <c r="F70" s="23"/>
      <c r="G70" s="23"/>
      <c r="H70" s="23"/>
    </row>
    <row r="71" spans="2:8" ht="15.75" customHeight="1" x14ac:dyDescent="0.25">
      <c r="B71" s="23"/>
      <c r="C71" s="23"/>
      <c r="D71" s="23"/>
      <c r="E71" s="23"/>
      <c r="F71" s="23"/>
      <c r="G71" s="23"/>
      <c r="H71" s="23"/>
    </row>
    <row r="72" spans="2:8" ht="15.75" customHeight="1" x14ac:dyDescent="0.25">
      <c r="B72" s="23"/>
      <c r="C72" s="23"/>
      <c r="D72" s="23"/>
      <c r="E72" s="23"/>
      <c r="F72" s="23"/>
      <c r="G72" s="23"/>
      <c r="H72" s="23"/>
    </row>
    <row r="73" spans="2:8" ht="15.75" customHeight="1" x14ac:dyDescent="0.25">
      <c r="B73" s="23"/>
      <c r="C73" s="23"/>
      <c r="D73" s="23"/>
      <c r="E73" s="23"/>
      <c r="F73" s="23"/>
      <c r="G73" s="23"/>
      <c r="H73" s="23"/>
    </row>
    <row r="74" spans="2:8" ht="15.75" customHeight="1" x14ac:dyDescent="0.25">
      <c r="B74" s="23"/>
      <c r="C74" s="23"/>
      <c r="D74" s="23"/>
      <c r="E74" s="23"/>
      <c r="F74" s="23"/>
      <c r="G74" s="23"/>
      <c r="H74" s="23"/>
    </row>
    <row r="75" spans="2:8" ht="15.75" customHeight="1" x14ac:dyDescent="0.25">
      <c r="B75" s="23"/>
      <c r="C75" s="23"/>
      <c r="D75" s="23"/>
      <c r="E75" s="23"/>
      <c r="F75" s="23"/>
      <c r="G75" s="23"/>
      <c r="H75" s="23"/>
    </row>
    <row r="76" spans="2:8" ht="15.75" customHeight="1" x14ac:dyDescent="0.25">
      <c r="B76" s="23"/>
      <c r="C76" s="23"/>
      <c r="D76" s="23"/>
      <c r="E76" s="23"/>
      <c r="F76" s="23"/>
      <c r="G76" s="23"/>
      <c r="H76" s="23"/>
    </row>
    <row r="77" spans="2:8" ht="15.75" customHeight="1" x14ac:dyDescent="0.25">
      <c r="B77" s="23"/>
      <c r="C77" s="23"/>
      <c r="D77" s="23"/>
      <c r="E77" s="23"/>
      <c r="F77" s="23"/>
      <c r="G77" s="23"/>
      <c r="H77" s="23"/>
    </row>
    <row r="78" spans="2:8" ht="15.75" customHeight="1" x14ac:dyDescent="0.25">
      <c r="B78" s="23"/>
      <c r="C78" s="23"/>
      <c r="D78" s="23"/>
      <c r="E78" s="23"/>
      <c r="F78" s="23"/>
      <c r="G78" s="23"/>
      <c r="H78" s="23"/>
    </row>
    <row r="79" spans="2:8" ht="15.75" customHeight="1" x14ac:dyDescent="0.25">
      <c r="B79" s="23"/>
      <c r="C79" s="23"/>
      <c r="D79" s="23"/>
      <c r="E79" s="23"/>
      <c r="F79" s="23"/>
      <c r="G79" s="23"/>
      <c r="H79" s="23"/>
    </row>
    <row r="80" spans="2:8" ht="15.75" customHeight="1" x14ac:dyDescent="0.25">
      <c r="B80" s="23"/>
      <c r="C80" s="23"/>
      <c r="D80" s="23"/>
      <c r="E80" s="23"/>
      <c r="F80" s="23"/>
      <c r="G80" s="23"/>
      <c r="H80" s="23"/>
    </row>
    <row r="81" spans="2:8" ht="15.75" customHeight="1" x14ac:dyDescent="0.25">
      <c r="B81" s="23"/>
      <c r="C81" s="23"/>
      <c r="D81" s="23"/>
      <c r="E81" s="23"/>
      <c r="F81" s="23"/>
      <c r="G81" s="23"/>
      <c r="H81" s="23"/>
    </row>
    <row r="82" spans="2:8" ht="15.75" customHeight="1" x14ac:dyDescent="0.25">
      <c r="B82" s="23"/>
      <c r="C82" s="23"/>
      <c r="D82" s="23"/>
      <c r="E82" s="23"/>
      <c r="F82" s="23"/>
      <c r="G82" s="23"/>
      <c r="H82" s="23"/>
    </row>
    <row r="83" spans="2:8" ht="15.75" customHeight="1" x14ac:dyDescent="0.25">
      <c r="B83" s="23"/>
      <c r="C83" s="23"/>
      <c r="D83" s="23"/>
      <c r="E83" s="23"/>
      <c r="F83" s="23"/>
      <c r="G83" s="23"/>
      <c r="H83" s="23"/>
    </row>
    <row r="84" spans="2:8" ht="15.75" customHeight="1" x14ac:dyDescent="0.25">
      <c r="B84" s="23"/>
      <c r="C84" s="23"/>
      <c r="D84" s="23"/>
      <c r="E84" s="23"/>
      <c r="F84" s="23"/>
      <c r="G84" s="23"/>
      <c r="H84" s="23"/>
    </row>
    <row r="85" spans="2:8" ht="15.75" customHeight="1" x14ac:dyDescent="0.25">
      <c r="B85" s="23"/>
      <c r="C85" s="23"/>
      <c r="D85" s="23"/>
      <c r="E85" s="23"/>
      <c r="F85" s="23"/>
      <c r="G85" s="23"/>
      <c r="H85" s="23"/>
    </row>
    <row r="86" spans="2:8" ht="15.75" customHeight="1" x14ac:dyDescent="0.25">
      <c r="B86" s="23"/>
      <c r="C86" s="23"/>
      <c r="D86" s="23"/>
      <c r="E86" s="23"/>
      <c r="F86" s="23"/>
      <c r="G86" s="23"/>
      <c r="H86" s="23"/>
    </row>
    <row r="87" spans="2:8" ht="15.75" customHeight="1" x14ac:dyDescent="0.25">
      <c r="B87" s="23"/>
      <c r="C87" s="23"/>
      <c r="D87" s="23"/>
      <c r="E87" s="23"/>
      <c r="F87" s="23"/>
      <c r="G87" s="23"/>
      <c r="H87" s="23"/>
    </row>
    <row r="88" spans="2:8" ht="15.75" customHeight="1" x14ac:dyDescent="0.25">
      <c r="B88" s="23"/>
      <c r="C88" s="23"/>
      <c r="D88" s="23"/>
      <c r="E88" s="23"/>
      <c r="F88" s="23"/>
      <c r="G88" s="23"/>
      <c r="H88" s="23"/>
    </row>
    <row r="89" spans="2:8" ht="15.75" customHeight="1" x14ac:dyDescent="0.25"/>
    <row r="90" spans="2:8" ht="15.75" customHeight="1" x14ac:dyDescent="0.25"/>
    <row r="91" spans="2:8" ht="15.75" customHeight="1" x14ac:dyDescent="0.25"/>
    <row r="92" spans="2:8" ht="15.75" customHeight="1" x14ac:dyDescent="0.25"/>
    <row r="93" spans="2:8" ht="15.75" customHeight="1" x14ac:dyDescent="0.25"/>
    <row r="94" spans="2:8" ht="15.75" customHeight="1" x14ac:dyDescent="0.25"/>
    <row r="95" spans="2:8" ht="15.75" customHeight="1" x14ac:dyDescent="0.25"/>
    <row r="96" spans="2: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1:E1"/>
    <mergeCell ref="B7:H31"/>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1000"/>
  <sheetViews>
    <sheetView showGridLines="0" workbookViewId="0">
      <selection activeCell="B32" sqref="B32"/>
    </sheetView>
  </sheetViews>
  <sheetFormatPr defaultColWidth="14.42578125" defaultRowHeight="15" customHeight="1" x14ac:dyDescent="0.25"/>
  <cols>
    <col min="1" max="1" width="8.7109375" customWidth="1"/>
    <col min="2" max="2" width="22" customWidth="1"/>
    <col min="3" max="3" width="18.28515625" customWidth="1"/>
    <col min="4" max="4" width="15.140625" customWidth="1"/>
    <col min="5" max="5" width="14.85546875" customWidth="1"/>
    <col min="6" max="6" width="14.7109375" customWidth="1"/>
    <col min="7" max="7" width="16.85546875" customWidth="1"/>
    <col min="8" max="8" width="13.42578125" customWidth="1"/>
    <col min="9" max="26" width="8.7109375" customWidth="1"/>
  </cols>
  <sheetData>
    <row r="1" spans="2:11" ht="85.5" customHeight="1" x14ac:dyDescent="0.25">
      <c r="B1" s="113" t="s">
        <v>45</v>
      </c>
      <c r="C1" s="93"/>
      <c r="D1" s="93"/>
      <c r="E1" s="93"/>
      <c r="F1" s="93"/>
      <c r="G1" s="93"/>
      <c r="H1" s="93"/>
    </row>
    <row r="2" spans="2:11" x14ac:dyDescent="0.25">
      <c r="B2" s="94" t="s">
        <v>1</v>
      </c>
      <c r="C2" s="97" t="s">
        <v>2</v>
      </c>
      <c r="D2" s="98"/>
      <c r="E2" s="98"/>
      <c r="F2" s="99"/>
      <c r="G2" s="97" t="s">
        <v>46</v>
      </c>
      <c r="H2" s="99"/>
    </row>
    <row r="3" spans="2:11" ht="31.5" customHeight="1" x14ac:dyDescent="0.25">
      <c r="B3" s="95"/>
      <c r="C3" s="97" t="s">
        <v>4</v>
      </c>
      <c r="D3" s="99"/>
      <c r="E3" s="97" t="s">
        <v>47</v>
      </c>
      <c r="F3" s="99"/>
      <c r="G3" s="114" t="s">
        <v>48</v>
      </c>
      <c r="H3" s="3" t="s">
        <v>49</v>
      </c>
    </row>
    <row r="4" spans="2:11" ht="31.5" x14ac:dyDescent="0.25">
      <c r="B4" s="96"/>
      <c r="C4" s="3" t="s">
        <v>39</v>
      </c>
      <c r="D4" s="3" t="s">
        <v>40</v>
      </c>
      <c r="E4" s="3" t="s">
        <v>50</v>
      </c>
      <c r="F4" s="3" t="s">
        <v>51</v>
      </c>
      <c r="G4" s="96"/>
      <c r="H4" s="3" t="s">
        <v>52</v>
      </c>
    </row>
    <row r="5" spans="2:11" ht="15.75" x14ac:dyDescent="0.25">
      <c r="B5" s="4">
        <v>1</v>
      </c>
      <c r="C5" s="4">
        <v>2</v>
      </c>
      <c r="D5" s="4">
        <v>3</v>
      </c>
      <c r="E5" s="4">
        <v>4</v>
      </c>
      <c r="F5" s="4">
        <v>5</v>
      </c>
      <c r="G5" s="4">
        <v>6</v>
      </c>
      <c r="H5" s="4">
        <v>7</v>
      </c>
    </row>
    <row r="6" spans="2:11" ht="16.5" customHeight="1" x14ac:dyDescent="0.25">
      <c r="B6" s="25" t="s">
        <v>53</v>
      </c>
      <c r="C6" s="7">
        <f>412079355+8621</f>
        <v>412087976</v>
      </c>
      <c r="D6" s="26">
        <f>387299772+3747</f>
        <v>387303519</v>
      </c>
      <c r="E6" s="27">
        <f t="shared" ref="E6:E8" si="0">C6/$C$9</f>
        <v>0.62332335777618242</v>
      </c>
      <c r="F6" s="27">
        <f t="shared" ref="F6:F8" si="1">D6/$D$9</f>
        <v>0.54374267520304864</v>
      </c>
      <c r="G6" s="28">
        <f>D6-C6</f>
        <v>-24784457</v>
      </c>
      <c r="H6" s="29">
        <f t="shared" ref="H6:H9" si="2">D6/C6</f>
        <v>0.9398563936745391</v>
      </c>
    </row>
    <row r="7" spans="2:11" ht="16.5" customHeight="1" x14ac:dyDescent="0.25">
      <c r="B7" s="25" t="s">
        <v>54</v>
      </c>
      <c r="C7" s="30">
        <v>3682483</v>
      </c>
      <c r="D7" s="30">
        <v>3682483</v>
      </c>
      <c r="E7" s="27">
        <f t="shared" si="0"/>
        <v>5.5701156117054706E-3</v>
      </c>
      <c r="F7" s="27">
        <f t="shared" si="1"/>
        <v>5.1699069581904525E-3</v>
      </c>
      <c r="G7" s="31">
        <v>0</v>
      </c>
      <c r="H7" s="29">
        <f t="shared" si="2"/>
        <v>1</v>
      </c>
    </row>
    <row r="8" spans="2:11" ht="62.25" customHeight="1" x14ac:dyDescent="0.25">
      <c r="B8" s="25" t="s">
        <v>55</v>
      </c>
      <c r="C8" s="7">
        <f t="shared" ref="C8:D8" si="3">C6-C7</f>
        <v>408405493</v>
      </c>
      <c r="D8" s="7">
        <f t="shared" si="3"/>
        <v>383621036</v>
      </c>
      <c r="E8" s="8">
        <f t="shared" si="0"/>
        <v>0.61775324216447691</v>
      </c>
      <c r="F8" s="8">
        <f t="shared" si="1"/>
        <v>0.53857276824485822</v>
      </c>
      <c r="G8" s="28">
        <f t="shared" ref="G8:G9" si="4">D8-C8</f>
        <v>-24784457</v>
      </c>
      <c r="H8" s="32">
        <f t="shared" si="2"/>
        <v>0.93931409487677975</v>
      </c>
    </row>
    <row r="9" spans="2:11" ht="15.75" x14ac:dyDescent="0.25">
      <c r="B9" s="25" t="s">
        <v>56</v>
      </c>
      <c r="C9" s="7">
        <v>661114285</v>
      </c>
      <c r="D9" s="7">
        <v>712291929</v>
      </c>
      <c r="E9" s="17">
        <v>1</v>
      </c>
      <c r="F9" s="17">
        <v>1</v>
      </c>
      <c r="G9" s="28">
        <f t="shared" si="4"/>
        <v>51177644</v>
      </c>
      <c r="H9" s="29">
        <f t="shared" si="2"/>
        <v>1.0774111907141743</v>
      </c>
    </row>
    <row r="11" spans="2:11" ht="15.75" x14ac:dyDescent="0.25">
      <c r="B11" s="33" t="s">
        <v>35</v>
      </c>
    </row>
    <row r="12" spans="2:11" x14ac:dyDescent="0.25">
      <c r="B12" s="112" t="s">
        <v>57</v>
      </c>
      <c r="C12" s="108"/>
      <c r="D12" s="108"/>
      <c r="E12" s="108"/>
      <c r="F12" s="108"/>
      <c r="G12" s="108"/>
      <c r="H12" s="108"/>
      <c r="I12" s="108"/>
      <c r="J12" s="108"/>
      <c r="K12" s="108"/>
    </row>
    <row r="13" spans="2:11" ht="15" customHeight="1" x14ac:dyDescent="0.25">
      <c r="B13" s="108"/>
      <c r="C13" s="108"/>
      <c r="D13" s="108"/>
      <c r="E13" s="108"/>
      <c r="F13" s="108"/>
      <c r="G13" s="108"/>
      <c r="H13" s="108"/>
      <c r="I13" s="108"/>
      <c r="J13" s="108"/>
      <c r="K13" s="108"/>
    </row>
    <row r="14" spans="2:11" ht="15" customHeight="1" x14ac:dyDescent="0.25">
      <c r="B14" s="108"/>
      <c r="C14" s="108"/>
      <c r="D14" s="108"/>
      <c r="E14" s="108"/>
      <c r="F14" s="108"/>
      <c r="G14" s="108"/>
      <c r="H14" s="108"/>
      <c r="I14" s="108"/>
      <c r="J14" s="108"/>
      <c r="K14" s="108"/>
    </row>
    <row r="15" spans="2:11" ht="15" customHeight="1" x14ac:dyDescent="0.25">
      <c r="B15" s="108"/>
      <c r="C15" s="108"/>
      <c r="D15" s="108"/>
      <c r="E15" s="108"/>
      <c r="F15" s="108"/>
      <c r="G15" s="108"/>
      <c r="H15" s="108"/>
      <c r="I15" s="108"/>
      <c r="J15" s="108"/>
      <c r="K15" s="108"/>
    </row>
    <row r="16" spans="2:11" ht="15" customHeight="1" x14ac:dyDescent="0.25">
      <c r="B16" s="108"/>
      <c r="C16" s="108"/>
      <c r="D16" s="108"/>
      <c r="E16" s="108"/>
      <c r="F16" s="108"/>
      <c r="G16" s="108"/>
      <c r="H16" s="108"/>
      <c r="I16" s="108"/>
      <c r="J16" s="108"/>
      <c r="K16" s="108"/>
    </row>
    <row r="17" spans="2:11" ht="15" customHeight="1" x14ac:dyDescent="0.25">
      <c r="B17" s="108"/>
      <c r="C17" s="108"/>
      <c r="D17" s="108"/>
      <c r="E17" s="108"/>
      <c r="F17" s="108"/>
      <c r="G17" s="108"/>
      <c r="H17" s="108"/>
      <c r="I17" s="108"/>
      <c r="J17" s="108"/>
      <c r="K17" s="108"/>
    </row>
    <row r="18" spans="2:11" ht="15" customHeight="1" x14ac:dyDescent="0.25">
      <c r="B18" s="108"/>
      <c r="C18" s="108"/>
      <c r="D18" s="108"/>
      <c r="E18" s="108"/>
      <c r="F18" s="108"/>
      <c r="G18" s="108"/>
      <c r="H18" s="108"/>
      <c r="I18" s="108"/>
      <c r="J18" s="108"/>
      <c r="K18" s="108"/>
    </row>
    <row r="19" spans="2:11" ht="15" customHeight="1" x14ac:dyDescent="0.25">
      <c r="B19" s="108"/>
      <c r="C19" s="108"/>
      <c r="D19" s="108"/>
      <c r="E19" s="108"/>
      <c r="F19" s="108"/>
      <c r="G19" s="108"/>
      <c r="H19" s="108"/>
      <c r="I19" s="108"/>
      <c r="J19" s="108"/>
      <c r="K19" s="108"/>
    </row>
    <row r="20" spans="2:11" ht="15" customHeight="1" x14ac:dyDescent="0.25">
      <c r="B20" s="108"/>
      <c r="C20" s="108"/>
      <c r="D20" s="108"/>
      <c r="E20" s="108"/>
      <c r="F20" s="108"/>
      <c r="G20" s="108"/>
      <c r="H20" s="108"/>
      <c r="I20" s="108"/>
      <c r="J20" s="108"/>
      <c r="K20" s="108"/>
    </row>
    <row r="21" spans="2:11" ht="15.75" customHeight="1" x14ac:dyDescent="0.25">
      <c r="B21" s="108"/>
      <c r="C21" s="108"/>
      <c r="D21" s="108"/>
      <c r="E21" s="108"/>
      <c r="F21" s="108"/>
      <c r="G21" s="108"/>
      <c r="H21" s="108"/>
      <c r="I21" s="108"/>
      <c r="J21" s="108"/>
      <c r="K21" s="108"/>
    </row>
    <row r="22" spans="2:11" ht="15.75" customHeight="1" x14ac:dyDescent="0.25">
      <c r="B22" s="108"/>
      <c r="C22" s="108"/>
      <c r="D22" s="108"/>
      <c r="E22" s="108"/>
      <c r="F22" s="108"/>
      <c r="G22" s="108"/>
      <c r="H22" s="108"/>
      <c r="I22" s="108"/>
      <c r="J22" s="108"/>
      <c r="K22" s="108"/>
    </row>
    <row r="23" spans="2:11" ht="15.75" customHeight="1" x14ac:dyDescent="0.25">
      <c r="B23" s="108"/>
      <c r="C23" s="108"/>
      <c r="D23" s="108"/>
      <c r="E23" s="108"/>
      <c r="F23" s="108"/>
      <c r="G23" s="108"/>
      <c r="H23" s="108"/>
      <c r="I23" s="108"/>
      <c r="J23" s="108"/>
      <c r="K23" s="108"/>
    </row>
    <row r="24" spans="2:11" ht="15.75" customHeight="1" x14ac:dyDescent="0.25">
      <c r="B24" s="108"/>
      <c r="C24" s="108"/>
      <c r="D24" s="108"/>
      <c r="E24" s="108"/>
      <c r="F24" s="108"/>
      <c r="G24" s="108"/>
      <c r="H24" s="108"/>
      <c r="I24" s="108"/>
      <c r="J24" s="108"/>
      <c r="K24" s="108"/>
    </row>
    <row r="25" spans="2:11" ht="15.75" customHeight="1" x14ac:dyDescent="0.25">
      <c r="B25" s="108"/>
      <c r="C25" s="108"/>
      <c r="D25" s="108"/>
      <c r="E25" s="108"/>
      <c r="F25" s="108"/>
      <c r="G25" s="108"/>
      <c r="H25" s="108"/>
      <c r="I25" s="108"/>
      <c r="J25" s="108"/>
      <c r="K25" s="108"/>
    </row>
    <row r="26" spans="2:11" ht="15.75" customHeight="1" x14ac:dyDescent="0.25">
      <c r="B26" s="108"/>
      <c r="C26" s="108"/>
      <c r="D26" s="108"/>
      <c r="E26" s="108"/>
      <c r="F26" s="108"/>
      <c r="G26" s="108"/>
      <c r="H26" s="108"/>
      <c r="I26" s="108"/>
      <c r="J26" s="108"/>
      <c r="K26" s="108"/>
    </row>
    <row r="27" spans="2:11" ht="15.75" customHeight="1" x14ac:dyDescent="0.25">
      <c r="B27" s="108"/>
      <c r="C27" s="108"/>
      <c r="D27" s="108"/>
      <c r="E27" s="108"/>
      <c r="F27" s="108"/>
      <c r="G27" s="108"/>
      <c r="H27" s="108"/>
      <c r="I27" s="108"/>
      <c r="J27" s="108"/>
      <c r="K27" s="108"/>
    </row>
    <row r="28" spans="2:11" ht="15.75" customHeight="1" x14ac:dyDescent="0.25">
      <c r="B28" s="108"/>
      <c r="C28" s="108"/>
      <c r="D28" s="108"/>
      <c r="E28" s="108"/>
      <c r="F28" s="108"/>
      <c r="G28" s="108"/>
      <c r="H28" s="108"/>
      <c r="I28" s="108"/>
      <c r="J28" s="108"/>
      <c r="K28" s="108"/>
    </row>
    <row r="29" spans="2:11" ht="15.75" customHeight="1" x14ac:dyDescent="0.25">
      <c r="B29" s="108"/>
      <c r="C29" s="108"/>
      <c r="D29" s="108"/>
      <c r="E29" s="108"/>
      <c r="F29" s="108"/>
      <c r="G29" s="108"/>
      <c r="H29" s="108"/>
      <c r="I29" s="108"/>
      <c r="J29" s="108"/>
      <c r="K29" s="108"/>
    </row>
    <row r="30" spans="2:11" ht="15.75" customHeight="1" x14ac:dyDescent="0.25"/>
    <row r="31" spans="2:11" ht="15.75" customHeight="1" x14ac:dyDescent="0.25"/>
    <row r="32" spans="2: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
    <mergeCell ref="B12:K29"/>
    <mergeCell ref="B1:H1"/>
    <mergeCell ref="B2:B4"/>
    <mergeCell ref="C2:F2"/>
    <mergeCell ref="G2:H2"/>
    <mergeCell ref="C3:D3"/>
    <mergeCell ref="E3:F3"/>
    <mergeCell ref="G3:G4"/>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000"/>
  <sheetViews>
    <sheetView showGridLines="0" topLeftCell="A2" zoomScale="55" zoomScaleNormal="55" workbookViewId="0">
      <selection activeCell="R11" sqref="R11"/>
    </sheetView>
  </sheetViews>
  <sheetFormatPr defaultColWidth="14.42578125" defaultRowHeight="15" customHeight="1" x14ac:dyDescent="0.25"/>
  <cols>
    <col min="1" max="1" width="8.7109375" customWidth="1"/>
    <col min="2" max="2" width="29.5703125" customWidth="1"/>
    <col min="3" max="3" width="16.5703125" customWidth="1"/>
    <col min="4" max="4" width="16.140625" customWidth="1"/>
    <col min="5" max="5" width="16.42578125" customWidth="1"/>
    <col min="6" max="6" width="17.85546875" customWidth="1"/>
    <col min="7" max="7" width="16.140625" customWidth="1"/>
    <col min="8" max="8" width="16.5703125" customWidth="1"/>
    <col min="9" max="9" width="15.85546875" customWidth="1"/>
    <col min="10" max="10" width="16" customWidth="1"/>
    <col min="11" max="26" width="8.7109375" customWidth="1"/>
  </cols>
  <sheetData>
    <row r="1" spans="2:13" ht="159.75" customHeight="1" x14ac:dyDescent="0.25">
      <c r="B1" s="92" t="s">
        <v>58</v>
      </c>
      <c r="C1" s="93"/>
      <c r="D1" s="93"/>
      <c r="E1" s="93"/>
      <c r="F1" s="93"/>
      <c r="G1" s="93"/>
      <c r="H1" s="93"/>
      <c r="I1" s="93"/>
      <c r="J1" s="93"/>
    </row>
    <row r="2" spans="2:13" ht="7.5" customHeight="1" x14ac:dyDescent="0.25">
      <c r="B2" s="114" t="s">
        <v>59</v>
      </c>
      <c r="C2" s="115" t="s">
        <v>60</v>
      </c>
      <c r="D2" s="116"/>
      <c r="E2" s="114" t="s">
        <v>61</v>
      </c>
      <c r="F2" s="114" t="s">
        <v>62</v>
      </c>
      <c r="G2" s="115" t="s">
        <v>60</v>
      </c>
      <c r="H2" s="116"/>
      <c r="I2" s="120" t="s">
        <v>63</v>
      </c>
      <c r="J2" s="116"/>
    </row>
    <row r="3" spans="2:13" ht="38.25" customHeight="1" x14ac:dyDescent="0.25">
      <c r="B3" s="95"/>
      <c r="C3" s="117"/>
      <c r="D3" s="118"/>
      <c r="E3" s="95"/>
      <c r="F3" s="95"/>
      <c r="G3" s="117"/>
      <c r="H3" s="118"/>
      <c r="I3" s="108"/>
      <c r="J3" s="118"/>
    </row>
    <row r="4" spans="2:13" ht="6.75" customHeight="1" x14ac:dyDescent="0.25">
      <c r="B4" s="95"/>
      <c r="C4" s="117"/>
      <c r="D4" s="118"/>
      <c r="E4" s="95"/>
      <c r="F4" s="95"/>
      <c r="G4" s="117"/>
      <c r="H4" s="118"/>
      <c r="I4" s="108"/>
      <c r="J4" s="118"/>
    </row>
    <row r="5" spans="2:13" ht="15.75" customHeight="1" x14ac:dyDescent="0.25">
      <c r="B5" s="95"/>
      <c r="C5" s="119"/>
      <c r="D5" s="106"/>
      <c r="E5" s="95"/>
      <c r="F5" s="95"/>
      <c r="G5" s="119"/>
      <c r="H5" s="106"/>
      <c r="I5" s="93"/>
      <c r="J5" s="106"/>
    </row>
    <row r="6" spans="2:13" ht="47.25" customHeight="1" x14ac:dyDescent="0.25">
      <c r="B6" s="96"/>
      <c r="C6" s="34" t="s">
        <v>64</v>
      </c>
      <c r="D6" s="34" t="s">
        <v>65</v>
      </c>
      <c r="E6" s="96"/>
      <c r="F6" s="96"/>
      <c r="G6" s="34" t="s">
        <v>64</v>
      </c>
      <c r="H6" s="34" t="s">
        <v>65</v>
      </c>
      <c r="I6" s="34" t="s">
        <v>64</v>
      </c>
      <c r="J6" s="34" t="s">
        <v>65</v>
      </c>
    </row>
    <row r="7" spans="2:13" ht="15.75" x14ac:dyDescent="0.25">
      <c r="B7" s="4">
        <v>1</v>
      </c>
      <c r="C7" s="4">
        <v>2</v>
      </c>
      <c r="D7" s="5">
        <v>3</v>
      </c>
      <c r="E7" s="4">
        <v>4</v>
      </c>
      <c r="F7" s="4">
        <v>5</v>
      </c>
      <c r="G7" s="5">
        <v>6</v>
      </c>
      <c r="H7" s="4">
        <v>7</v>
      </c>
      <c r="I7" s="5" t="s">
        <v>66</v>
      </c>
      <c r="J7" s="4" t="s">
        <v>67</v>
      </c>
    </row>
    <row r="8" spans="2:13" ht="112.5" customHeight="1" x14ac:dyDescent="0.25">
      <c r="B8" s="14" t="s">
        <v>68</v>
      </c>
      <c r="C8" s="7">
        <f>74663863+31364328</f>
        <v>106028191</v>
      </c>
      <c r="D8" s="7">
        <f>27048515+76721242</f>
        <v>103769757</v>
      </c>
      <c r="E8" s="35" t="s">
        <v>69</v>
      </c>
      <c r="F8" s="14" t="s">
        <v>70</v>
      </c>
      <c r="G8" s="7">
        <f>23145070</f>
        <v>23145070</v>
      </c>
      <c r="H8" s="7">
        <f>29443018</f>
        <v>29443018</v>
      </c>
      <c r="I8" s="7">
        <f t="shared" ref="I8:J8" si="0">C8-G8</f>
        <v>82883121</v>
      </c>
      <c r="J8" s="7">
        <f t="shared" si="0"/>
        <v>74326739</v>
      </c>
    </row>
    <row r="9" spans="2:13" ht="128.25" customHeight="1" x14ac:dyDescent="0.25">
      <c r="B9" s="14" t="s">
        <v>71</v>
      </c>
      <c r="C9" s="7">
        <f>15263884+456757</f>
        <v>15720641</v>
      </c>
      <c r="D9" s="7">
        <f>13255354+854470</f>
        <v>14109824</v>
      </c>
      <c r="E9" s="35" t="s">
        <v>69</v>
      </c>
      <c r="F9" s="14" t="s">
        <v>72</v>
      </c>
      <c r="G9" s="7">
        <f>75752126</f>
        <v>75752126</v>
      </c>
      <c r="H9" s="7">
        <f>58978302</f>
        <v>58978302</v>
      </c>
      <c r="I9" s="7">
        <f t="shared" ref="I9:J9" si="1">C9-G9</f>
        <v>-60031485</v>
      </c>
      <c r="J9" s="7">
        <f t="shared" si="1"/>
        <v>-44868478</v>
      </c>
    </row>
    <row r="10" spans="2:13" ht="114.75" customHeight="1" x14ac:dyDescent="0.25">
      <c r="B10" s="14" t="s">
        <v>73</v>
      </c>
      <c r="C10" s="7">
        <f>138990795+132202+88609063</f>
        <v>227732060</v>
      </c>
      <c r="D10" s="7">
        <f>179894309+172293+87128579</f>
        <v>267195181</v>
      </c>
      <c r="E10" s="35" t="s">
        <v>69</v>
      </c>
      <c r="F10" s="14" t="s">
        <v>74</v>
      </c>
      <c r="G10" s="12">
        <f>136345608</f>
        <v>136345608</v>
      </c>
      <c r="H10" s="12">
        <f>223478966</f>
        <v>223478966</v>
      </c>
      <c r="I10" s="7">
        <f t="shared" ref="I10:J10" si="2">C10-G10</f>
        <v>91386452</v>
      </c>
      <c r="J10" s="7">
        <f t="shared" si="2"/>
        <v>43716215</v>
      </c>
    </row>
    <row r="11" spans="2:13" ht="94.5" x14ac:dyDescent="0.25">
      <c r="B11" s="14" t="s">
        <v>75</v>
      </c>
      <c r="C11" s="7">
        <f>400242456-88609063</f>
        <v>311633393</v>
      </c>
      <c r="D11" s="7">
        <f>414345746-87128579</f>
        <v>327217167</v>
      </c>
      <c r="E11" s="35" t="s">
        <v>76</v>
      </c>
      <c r="F11" s="14" t="s">
        <v>77</v>
      </c>
      <c r="G11" s="7">
        <f>412079355+8621+13783505</f>
        <v>425871481</v>
      </c>
      <c r="H11" s="7">
        <f>387299772+3747+13088124</f>
        <v>400391643</v>
      </c>
      <c r="I11" s="7">
        <f t="shared" ref="I11:J11" si="3">C11-G11</f>
        <v>-114238088</v>
      </c>
      <c r="J11" s="7">
        <f t="shared" si="3"/>
        <v>-73174476</v>
      </c>
    </row>
    <row r="12" spans="2:13" ht="15.75" x14ac:dyDescent="0.25">
      <c r="B12" s="14" t="s">
        <v>56</v>
      </c>
      <c r="C12" s="7">
        <f t="shared" ref="C12:D12" si="4">SUM(C8:C11)</f>
        <v>661114285</v>
      </c>
      <c r="D12" s="7">
        <f t="shared" si="4"/>
        <v>712291929</v>
      </c>
      <c r="E12" s="35"/>
      <c r="F12" s="14" t="s">
        <v>56</v>
      </c>
      <c r="G12" s="7">
        <f t="shared" ref="G12:H12" si="5">SUM(G8:G11)</f>
        <v>661114285</v>
      </c>
      <c r="H12" s="7">
        <f t="shared" si="5"/>
        <v>712291929</v>
      </c>
      <c r="I12" s="36"/>
      <c r="J12" s="36"/>
    </row>
    <row r="14" spans="2:13" ht="18.75" x14ac:dyDescent="0.25">
      <c r="B14" s="22" t="s">
        <v>35</v>
      </c>
      <c r="C14" s="37"/>
      <c r="D14" s="37"/>
    </row>
    <row r="15" spans="2:13" x14ac:dyDescent="0.25">
      <c r="B15" s="107" t="s">
        <v>78</v>
      </c>
      <c r="C15" s="108"/>
      <c r="D15" s="108"/>
      <c r="E15" s="108"/>
      <c r="F15" s="108"/>
      <c r="G15" s="108"/>
      <c r="H15" s="108"/>
      <c r="I15" s="108"/>
      <c r="J15" s="108"/>
      <c r="K15" s="108"/>
      <c r="L15" s="108"/>
      <c r="M15" s="108"/>
    </row>
    <row r="16" spans="2:13" ht="13.5" customHeight="1" x14ac:dyDescent="0.25">
      <c r="B16" s="108"/>
      <c r="C16" s="108"/>
      <c r="D16" s="108"/>
      <c r="E16" s="108"/>
      <c r="F16" s="108"/>
      <c r="G16" s="108"/>
      <c r="H16" s="108"/>
      <c r="I16" s="108"/>
      <c r="J16" s="108"/>
      <c r="K16" s="108"/>
      <c r="L16" s="108"/>
      <c r="M16" s="108"/>
    </row>
    <row r="17" spans="2:13" ht="15" customHeight="1" x14ac:dyDescent="0.25">
      <c r="B17" s="108"/>
      <c r="C17" s="108"/>
      <c r="D17" s="108"/>
      <c r="E17" s="108"/>
      <c r="F17" s="108"/>
      <c r="G17" s="108"/>
      <c r="H17" s="108"/>
      <c r="I17" s="108"/>
      <c r="J17" s="108"/>
      <c r="K17" s="108"/>
      <c r="L17" s="108"/>
      <c r="M17" s="108"/>
    </row>
    <row r="18" spans="2:13" ht="15" customHeight="1" x14ac:dyDescent="0.25">
      <c r="B18" s="108"/>
      <c r="C18" s="108"/>
      <c r="D18" s="108"/>
      <c r="E18" s="108"/>
      <c r="F18" s="108"/>
      <c r="G18" s="108"/>
      <c r="H18" s="108"/>
      <c r="I18" s="108"/>
      <c r="J18" s="108"/>
      <c r="K18" s="108"/>
      <c r="L18" s="108"/>
      <c r="M18" s="108"/>
    </row>
    <row r="19" spans="2:13" ht="15" customHeight="1" x14ac:dyDescent="0.25">
      <c r="B19" s="108"/>
      <c r="C19" s="108"/>
      <c r="D19" s="108"/>
      <c r="E19" s="108"/>
      <c r="F19" s="108"/>
      <c r="G19" s="108"/>
      <c r="H19" s="108"/>
      <c r="I19" s="108"/>
      <c r="J19" s="108"/>
      <c r="K19" s="108"/>
      <c r="L19" s="108"/>
      <c r="M19" s="108"/>
    </row>
    <row r="20" spans="2:13" ht="15" customHeight="1" x14ac:dyDescent="0.25">
      <c r="B20" s="108"/>
      <c r="C20" s="108"/>
      <c r="D20" s="108"/>
      <c r="E20" s="108"/>
      <c r="F20" s="108"/>
      <c r="G20" s="108"/>
      <c r="H20" s="108"/>
      <c r="I20" s="108"/>
      <c r="J20" s="108"/>
      <c r="K20" s="108"/>
      <c r="L20" s="108"/>
      <c r="M20" s="108"/>
    </row>
    <row r="21" spans="2:13" ht="15.75" customHeight="1" x14ac:dyDescent="0.25">
      <c r="B21" s="108"/>
      <c r="C21" s="108"/>
      <c r="D21" s="108"/>
      <c r="E21" s="108"/>
      <c r="F21" s="108"/>
      <c r="G21" s="108"/>
      <c r="H21" s="108"/>
      <c r="I21" s="108"/>
      <c r="J21" s="108"/>
      <c r="K21" s="108"/>
      <c r="L21" s="108"/>
      <c r="M21" s="108"/>
    </row>
    <row r="22" spans="2:13" ht="15.75" customHeight="1" x14ac:dyDescent="0.25">
      <c r="B22" s="108"/>
      <c r="C22" s="108"/>
      <c r="D22" s="108"/>
      <c r="E22" s="108"/>
      <c r="F22" s="108"/>
      <c r="G22" s="108"/>
      <c r="H22" s="108"/>
      <c r="I22" s="108"/>
      <c r="J22" s="108"/>
      <c r="K22" s="108"/>
      <c r="L22" s="108"/>
      <c r="M22" s="108"/>
    </row>
    <row r="23" spans="2:13" ht="15.75" customHeight="1" x14ac:dyDescent="0.25">
      <c r="B23" s="108"/>
      <c r="C23" s="108"/>
      <c r="D23" s="108"/>
      <c r="E23" s="108"/>
      <c r="F23" s="108"/>
      <c r="G23" s="108"/>
      <c r="H23" s="108"/>
      <c r="I23" s="108"/>
      <c r="J23" s="108"/>
      <c r="K23" s="108"/>
      <c r="L23" s="108"/>
      <c r="M23" s="108"/>
    </row>
    <row r="24" spans="2:13" ht="15.75" customHeight="1" x14ac:dyDescent="0.25">
      <c r="B24" s="108"/>
      <c r="C24" s="108"/>
      <c r="D24" s="108"/>
      <c r="E24" s="108"/>
      <c r="F24" s="108"/>
      <c r="G24" s="108"/>
      <c r="H24" s="108"/>
      <c r="I24" s="108"/>
      <c r="J24" s="108"/>
      <c r="K24" s="108"/>
      <c r="L24" s="108"/>
      <c r="M24" s="108"/>
    </row>
    <row r="25" spans="2:13" ht="15.75" customHeight="1" x14ac:dyDescent="0.25">
      <c r="B25" s="108"/>
      <c r="C25" s="108"/>
      <c r="D25" s="108"/>
      <c r="E25" s="108"/>
      <c r="F25" s="108"/>
      <c r="G25" s="108"/>
      <c r="H25" s="108"/>
      <c r="I25" s="108"/>
      <c r="J25" s="108"/>
      <c r="K25" s="108"/>
      <c r="L25" s="108"/>
      <c r="M25" s="108"/>
    </row>
    <row r="26" spans="2:13" ht="15.75" customHeight="1" x14ac:dyDescent="0.25">
      <c r="B26" s="108"/>
      <c r="C26" s="108"/>
      <c r="D26" s="108"/>
      <c r="E26" s="108"/>
      <c r="F26" s="108"/>
      <c r="G26" s="108"/>
      <c r="H26" s="108"/>
      <c r="I26" s="108"/>
      <c r="J26" s="108"/>
      <c r="K26" s="108"/>
      <c r="L26" s="108"/>
      <c r="M26" s="108"/>
    </row>
    <row r="27" spans="2:13" ht="15.75" customHeight="1" x14ac:dyDescent="0.25">
      <c r="B27" s="108"/>
      <c r="C27" s="108"/>
      <c r="D27" s="108"/>
      <c r="E27" s="108"/>
      <c r="F27" s="108"/>
      <c r="G27" s="108"/>
      <c r="H27" s="108"/>
      <c r="I27" s="108"/>
      <c r="J27" s="108"/>
      <c r="K27" s="108"/>
      <c r="L27" s="108"/>
      <c r="M27" s="108"/>
    </row>
    <row r="28" spans="2:13" ht="15.75" customHeight="1" x14ac:dyDescent="0.25">
      <c r="B28" s="108"/>
      <c r="C28" s="108"/>
      <c r="D28" s="108"/>
      <c r="E28" s="108"/>
      <c r="F28" s="108"/>
      <c r="G28" s="108"/>
      <c r="H28" s="108"/>
      <c r="I28" s="108"/>
      <c r="J28" s="108"/>
      <c r="K28" s="108"/>
      <c r="L28" s="108"/>
      <c r="M28" s="108"/>
    </row>
    <row r="29" spans="2:13" ht="15.75" customHeight="1" x14ac:dyDescent="0.25">
      <c r="B29" s="108"/>
      <c r="C29" s="108"/>
      <c r="D29" s="108"/>
      <c r="E29" s="108"/>
      <c r="F29" s="108"/>
      <c r="G29" s="108"/>
      <c r="H29" s="108"/>
      <c r="I29" s="108"/>
      <c r="J29" s="108"/>
      <c r="K29" s="108"/>
      <c r="L29" s="108"/>
      <c r="M29" s="108"/>
    </row>
    <row r="30" spans="2:13" ht="15.75" customHeight="1" x14ac:dyDescent="0.25">
      <c r="B30" s="108"/>
      <c r="C30" s="108"/>
      <c r="D30" s="108"/>
      <c r="E30" s="108"/>
      <c r="F30" s="108"/>
      <c r="G30" s="108"/>
      <c r="H30" s="108"/>
      <c r="I30" s="108"/>
      <c r="J30" s="108"/>
      <c r="K30" s="108"/>
      <c r="L30" s="108"/>
      <c r="M30" s="108"/>
    </row>
    <row r="31" spans="2:13" ht="15.75" customHeight="1" x14ac:dyDescent="0.25">
      <c r="B31" s="108"/>
      <c r="C31" s="108"/>
      <c r="D31" s="108"/>
      <c r="E31" s="108"/>
      <c r="F31" s="108"/>
      <c r="G31" s="108"/>
      <c r="H31" s="108"/>
      <c r="I31" s="108"/>
      <c r="J31" s="108"/>
      <c r="K31" s="108"/>
      <c r="L31" s="108"/>
      <c r="M31" s="108"/>
    </row>
    <row r="32" spans="2:13" ht="15.75" customHeight="1" x14ac:dyDescent="0.25">
      <c r="B32" s="108"/>
      <c r="C32" s="108"/>
      <c r="D32" s="108"/>
      <c r="E32" s="108"/>
      <c r="F32" s="108"/>
      <c r="G32" s="108"/>
      <c r="H32" s="108"/>
      <c r="I32" s="108"/>
      <c r="J32" s="108"/>
      <c r="K32" s="108"/>
      <c r="L32" s="108"/>
      <c r="M32" s="108"/>
    </row>
    <row r="33" spans="2:13" ht="15.75" customHeight="1" x14ac:dyDescent="0.25">
      <c r="B33" s="108"/>
      <c r="C33" s="108"/>
      <c r="D33" s="108"/>
      <c r="E33" s="108"/>
      <c r="F33" s="108"/>
      <c r="G33" s="108"/>
      <c r="H33" s="108"/>
      <c r="I33" s="108"/>
      <c r="J33" s="108"/>
      <c r="K33" s="108"/>
      <c r="L33" s="108"/>
      <c r="M33" s="108"/>
    </row>
    <row r="34" spans="2:13" ht="15.75" customHeight="1" x14ac:dyDescent="0.25">
      <c r="B34" s="108"/>
      <c r="C34" s="108"/>
      <c r="D34" s="108"/>
      <c r="E34" s="108"/>
      <c r="F34" s="108"/>
      <c r="G34" s="108"/>
      <c r="H34" s="108"/>
      <c r="I34" s="108"/>
      <c r="J34" s="108"/>
      <c r="K34" s="108"/>
      <c r="L34" s="108"/>
      <c r="M34" s="108"/>
    </row>
    <row r="35" spans="2:13" ht="15.75" customHeight="1" x14ac:dyDescent="0.25">
      <c r="B35" s="108"/>
      <c r="C35" s="108"/>
      <c r="D35" s="108"/>
      <c r="E35" s="108"/>
      <c r="F35" s="108"/>
      <c r="G35" s="108"/>
      <c r="H35" s="108"/>
      <c r="I35" s="108"/>
      <c r="J35" s="108"/>
      <c r="K35" s="108"/>
      <c r="L35" s="108"/>
      <c r="M35" s="108"/>
    </row>
    <row r="36" spans="2:13" ht="15.75" customHeight="1" x14ac:dyDescent="0.25">
      <c r="B36" s="108"/>
      <c r="C36" s="108"/>
      <c r="D36" s="108"/>
      <c r="E36" s="108"/>
      <c r="F36" s="108"/>
      <c r="G36" s="108"/>
      <c r="H36" s="108"/>
      <c r="I36" s="108"/>
      <c r="J36" s="108"/>
      <c r="K36" s="108"/>
      <c r="L36" s="108"/>
      <c r="M36" s="108"/>
    </row>
    <row r="37" spans="2:13" ht="15.75" customHeight="1" x14ac:dyDescent="0.25">
      <c r="B37" s="108"/>
      <c r="C37" s="108"/>
      <c r="D37" s="108"/>
      <c r="E37" s="108"/>
      <c r="F37" s="108"/>
      <c r="G37" s="108"/>
      <c r="H37" s="108"/>
      <c r="I37" s="108"/>
      <c r="J37" s="108"/>
      <c r="K37" s="108"/>
      <c r="L37" s="108"/>
      <c r="M37" s="108"/>
    </row>
    <row r="38" spans="2:13" ht="15.75" customHeight="1" x14ac:dyDescent="0.25">
      <c r="B38" s="108"/>
      <c r="C38" s="108"/>
      <c r="D38" s="108"/>
      <c r="E38" s="108"/>
      <c r="F38" s="108"/>
      <c r="G38" s="108"/>
      <c r="H38" s="108"/>
      <c r="I38" s="108"/>
      <c r="J38" s="108"/>
      <c r="K38" s="108"/>
      <c r="L38" s="108"/>
      <c r="M38" s="108"/>
    </row>
    <row r="39" spans="2:13" ht="15.75" customHeight="1" x14ac:dyDescent="0.25">
      <c r="B39" s="108"/>
      <c r="C39" s="108"/>
      <c r="D39" s="108"/>
      <c r="E39" s="108"/>
      <c r="F39" s="108"/>
      <c r="G39" s="108"/>
      <c r="H39" s="108"/>
      <c r="I39" s="108"/>
      <c r="J39" s="108"/>
      <c r="K39" s="108"/>
      <c r="L39" s="108"/>
      <c r="M39" s="108"/>
    </row>
    <row r="40" spans="2:13" ht="15.75" customHeight="1" x14ac:dyDescent="0.25">
      <c r="B40" s="108"/>
      <c r="C40" s="108"/>
      <c r="D40" s="108"/>
      <c r="E40" s="108"/>
      <c r="F40" s="108"/>
      <c r="G40" s="108"/>
      <c r="H40" s="108"/>
      <c r="I40" s="108"/>
      <c r="J40" s="108"/>
      <c r="K40" s="108"/>
      <c r="L40" s="108"/>
      <c r="M40" s="108"/>
    </row>
    <row r="41" spans="2:13" ht="15.75" customHeight="1" x14ac:dyDescent="0.25">
      <c r="B41" s="108"/>
      <c r="C41" s="108"/>
      <c r="D41" s="108"/>
      <c r="E41" s="108"/>
      <c r="F41" s="108"/>
      <c r="G41" s="108"/>
      <c r="H41" s="108"/>
      <c r="I41" s="108"/>
      <c r="J41" s="108"/>
      <c r="K41" s="108"/>
      <c r="L41" s="108"/>
      <c r="M41" s="108"/>
    </row>
    <row r="42" spans="2:13" ht="15.75" customHeight="1" x14ac:dyDescent="0.25">
      <c r="B42" s="108"/>
      <c r="C42" s="108"/>
      <c r="D42" s="108"/>
      <c r="E42" s="108"/>
      <c r="F42" s="108"/>
      <c r="G42" s="108"/>
      <c r="H42" s="108"/>
      <c r="I42" s="108"/>
      <c r="J42" s="108"/>
      <c r="K42" s="108"/>
      <c r="L42" s="108"/>
      <c r="M42" s="108"/>
    </row>
    <row r="43" spans="2:13" ht="15.75" customHeight="1" x14ac:dyDescent="0.25">
      <c r="B43" s="108"/>
      <c r="C43" s="108"/>
      <c r="D43" s="108"/>
      <c r="E43" s="108"/>
      <c r="F43" s="108"/>
      <c r="G43" s="108"/>
      <c r="H43" s="108"/>
      <c r="I43" s="108"/>
      <c r="J43" s="108"/>
      <c r="K43" s="108"/>
      <c r="L43" s="108"/>
      <c r="M43" s="108"/>
    </row>
    <row r="44" spans="2:13" ht="15.75" customHeight="1" x14ac:dyDescent="0.25">
      <c r="B44" s="108"/>
      <c r="C44" s="108"/>
      <c r="D44" s="108"/>
      <c r="E44" s="108"/>
      <c r="F44" s="108"/>
      <c r="G44" s="108"/>
      <c r="H44" s="108"/>
      <c r="I44" s="108"/>
      <c r="J44" s="108"/>
      <c r="K44" s="108"/>
      <c r="L44" s="108"/>
      <c r="M44" s="108"/>
    </row>
    <row r="45" spans="2:13" ht="15.75" customHeight="1" x14ac:dyDescent="0.25">
      <c r="B45" s="108"/>
      <c r="C45" s="108"/>
      <c r="D45" s="108"/>
      <c r="E45" s="108"/>
      <c r="F45" s="108"/>
      <c r="G45" s="108"/>
      <c r="H45" s="108"/>
      <c r="I45" s="108"/>
      <c r="J45" s="108"/>
      <c r="K45" s="108"/>
      <c r="L45" s="108"/>
      <c r="M45" s="108"/>
    </row>
    <row r="46" spans="2:13" ht="15.75" customHeight="1" x14ac:dyDescent="0.25">
      <c r="B46" s="108"/>
      <c r="C46" s="108"/>
      <c r="D46" s="108"/>
      <c r="E46" s="108"/>
      <c r="F46" s="108"/>
      <c r="G46" s="108"/>
      <c r="H46" s="108"/>
      <c r="I46" s="108"/>
      <c r="J46" s="108"/>
      <c r="K46" s="108"/>
      <c r="L46" s="108"/>
      <c r="M46" s="108"/>
    </row>
    <row r="47" spans="2:13" ht="15.75" customHeight="1" x14ac:dyDescent="0.25">
      <c r="B47" s="108"/>
      <c r="C47" s="108"/>
      <c r="D47" s="108"/>
      <c r="E47" s="108"/>
      <c r="F47" s="108"/>
      <c r="G47" s="108"/>
      <c r="H47" s="108"/>
      <c r="I47" s="108"/>
      <c r="J47" s="108"/>
      <c r="K47" s="108"/>
      <c r="L47" s="108"/>
      <c r="M47" s="108"/>
    </row>
    <row r="48" spans="2:13" ht="15.75" customHeight="1" x14ac:dyDescent="0.25">
      <c r="B48" s="108"/>
      <c r="C48" s="108"/>
      <c r="D48" s="108"/>
      <c r="E48" s="108"/>
      <c r="F48" s="108"/>
      <c r="G48" s="108"/>
      <c r="H48" s="108"/>
      <c r="I48" s="108"/>
      <c r="J48" s="108"/>
      <c r="K48" s="108"/>
      <c r="L48" s="108"/>
      <c r="M48" s="108"/>
    </row>
    <row r="49" spans="2:13" ht="15.75" customHeight="1" x14ac:dyDescent="0.25">
      <c r="B49" s="108"/>
      <c r="C49" s="108"/>
      <c r="D49" s="108"/>
      <c r="E49" s="108"/>
      <c r="F49" s="108"/>
      <c r="G49" s="108"/>
      <c r="H49" s="108"/>
      <c r="I49" s="108"/>
      <c r="J49" s="108"/>
      <c r="K49" s="108"/>
      <c r="L49" s="108"/>
      <c r="M49" s="108"/>
    </row>
    <row r="50" spans="2:13" ht="15.75" customHeight="1" x14ac:dyDescent="0.25">
      <c r="B50" s="108"/>
      <c r="C50" s="108"/>
      <c r="D50" s="108"/>
      <c r="E50" s="108"/>
      <c r="F50" s="108"/>
      <c r="G50" s="108"/>
      <c r="H50" s="108"/>
      <c r="I50" s="108"/>
      <c r="J50" s="108"/>
      <c r="K50" s="108"/>
      <c r="L50" s="108"/>
      <c r="M50" s="108"/>
    </row>
    <row r="51" spans="2:13" ht="15.75" customHeight="1" x14ac:dyDescent="0.25">
      <c r="B51" s="108"/>
      <c r="C51" s="108"/>
      <c r="D51" s="108"/>
      <c r="E51" s="108"/>
      <c r="F51" s="108"/>
      <c r="G51" s="108"/>
      <c r="H51" s="108"/>
      <c r="I51" s="108"/>
      <c r="J51" s="108"/>
      <c r="K51" s="108"/>
      <c r="L51" s="108"/>
      <c r="M51" s="108"/>
    </row>
    <row r="52" spans="2:13" ht="15.75" customHeight="1" x14ac:dyDescent="0.25">
      <c r="B52" s="108"/>
      <c r="C52" s="108"/>
      <c r="D52" s="108"/>
      <c r="E52" s="108"/>
      <c r="F52" s="108"/>
      <c r="G52" s="108"/>
      <c r="H52" s="108"/>
      <c r="I52" s="108"/>
      <c r="J52" s="108"/>
      <c r="K52" s="108"/>
      <c r="L52" s="108"/>
      <c r="M52" s="108"/>
    </row>
    <row r="53" spans="2:13" ht="15.75" customHeight="1" x14ac:dyDescent="0.25">
      <c r="B53" s="108"/>
      <c r="C53" s="108"/>
      <c r="D53" s="108"/>
      <c r="E53" s="108"/>
      <c r="F53" s="108"/>
      <c r="G53" s="108"/>
      <c r="H53" s="108"/>
      <c r="I53" s="108"/>
      <c r="J53" s="108"/>
      <c r="K53" s="108"/>
      <c r="L53" s="108"/>
      <c r="M53" s="108"/>
    </row>
    <row r="54" spans="2:13" ht="15.75" customHeight="1" x14ac:dyDescent="0.25">
      <c r="B54" s="108"/>
      <c r="C54" s="108"/>
      <c r="D54" s="108"/>
      <c r="E54" s="108"/>
      <c r="F54" s="108"/>
      <c r="G54" s="108"/>
      <c r="H54" s="108"/>
      <c r="I54" s="108"/>
      <c r="J54" s="108"/>
      <c r="K54" s="108"/>
      <c r="L54" s="108"/>
      <c r="M54" s="108"/>
    </row>
    <row r="55" spans="2:13" ht="15.75" customHeight="1" x14ac:dyDescent="0.25">
      <c r="B55" s="108"/>
      <c r="C55" s="108"/>
      <c r="D55" s="108"/>
      <c r="E55" s="108"/>
      <c r="F55" s="108"/>
      <c r="G55" s="108"/>
      <c r="H55" s="108"/>
      <c r="I55" s="108"/>
      <c r="J55" s="108"/>
      <c r="K55" s="108"/>
      <c r="L55" s="108"/>
      <c r="M55" s="108"/>
    </row>
    <row r="56" spans="2:13" ht="15.75" customHeight="1" x14ac:dyDescent="0.25">
      <c r="B56" s="108"/>
      <c r="C56" s="108"/>
      <c r="D56" s="108"/>
      <c r="E56" s="108"/>
      <c r="F56" s="108"/>
      <c r="G56" s="108"/>
      <c r="H56" s="108"/>
      <c r="I56" s="108"/>
      <c r="J56" s="108"/>
      <c r="K56" s="108"/>
      <c r="L56" s="108"/>
      <c r="M56" s="108"/>
    </row>
    <row r="57" spans="2:13" ht="15.75" customHeight="1" x14ac:dyDescent="0.25">
      <c r="B57" s="108"/>
      <c r="C57" s="108"/>
      <c r="D57" s="108"/>
      <c r="E57" s="108"/>
      <c r="F57" s="108"/>
      <c r="G57" s="108"/>
      <c r="H57" s="108"/>
      <c r="I57" s="108"/>
      <c r="J57" s="108"/>
      <c r="K57" s="108"/>
      <c r="L57" s="108"/>
      <c r="M57" s="108"/>
    </row>
    <row r="58" spans="2:13" ht="15.75" customHeight="1" x14ac:dyDescent="0.25">
      <c r="B58" s="108"/>
      <c r="C58" s="108"/>
      <c r="D58" s="108"/>
      <c r="E58" s="108"/>
      <c r="F58" s="108"/>
      <c r="G58" s="108"/>
      <c r="H58" s="108"/>
      <c r="I58" s="108"/>
      <c r="J58" s="108"/>
      <c r="K58" s="108"/>
      <c r="L58" s="108"/>
      <c r="M58" s="108"/>
    </row>
    <row r="59" spans="2:13" ht="15.75" customHeight="1" x14ac:dyDescent="0.25">
      <c r="B59" s="108"/>
      <c r="C59" s="108"/>
      <c r="D59" s="108"/>
      <c r="E59" s="108"/>
      <c r="F59" s="108"/>
      <c r="G59" s="108"/>
      <c r="H59" s="108"/>
      <c r="I59" s="108"/>
      <c r="J59" s="108"/>
      <c r="K59" s="108"/>
      <c r="L59" s="108"/>
      <c r="M59" s="108"/>
    </row>
    <row r="60" spans="2:13" ht="15.75" customHeight="1" x14ac:dyDescent="0.25">
      <c r="B60" s="108"/>
      <c r="C60" s="108"/>
      <c r="D60" s="108"/>
      <c r="E60" s="108"/>
      <c r="F60" s="108"/>
      <c r="G60" s="108"/>
      <c r="H60" s="108"/>
      <c r="I60" s="108"/>
      <c r="J60" s="108"/>
      <c r="K60" s="108"/>
      <c r="L60" s="108"/>
      <c r="M60" s="108"/>
    </row>
    <row r="61" spans="2:13" ht="15.75" customHeight="1" x14ac:dyDescent="0.25">
      <c r="B61" s="108"/>
      <c r="C61" s="108"/>
      <c r="D61" s="108"/>
      <c r="E61" s="108"/>
      <c r="F61" s="108"/>
      <c r="G61" s="108"/>
      <c r="H61" s="108"/>
      <c r="I61" s="108"/>
      <c r="J61" s="108"/>
      <c r="K61" s="108"/>
      <c r="L61" s="108"/>
      <c r="M61" s="108"/>
    </row>
    <row r="62" spans="2:13" ht="15.75" customHeight="1" x14ac:dyDescent="0.25">
      <c r="B62" s="108"/>
      <c r="C62" s="108"/>
      <c r="D62" s="108"/>
      <c r="E62" s="108"/>
      <c r="F62" s="108"/>
      <c r="G62" s="108"/>
      <c r="H62" s="108"/>
      <c r="I62" s="108"/>
      <c r="J62" s="108"/>
      <c r="K62" s="108"/>
      <c r="L62" s="108"/>
      <c r="M62" s="108"/>
    </row>
    <row r="63" spans="2:13" ht="15.75" customHeight="1" x14ac:dyDescent="0.25">
      <c r="B63" s="108"/>
      <c r="C63" s="108"/>
      <c r="D63" s="108"/>
      <c r="E63" s="108"/>
      <c r="F63" s="108"/>
      <c r="G63" s="108"/>
      <c r="H63" s="108"/>
      <c r="I63" s="108"/>
      <c r="J63" s="108"/>
      <c r="K63" s="108"/>
      <c r="L63" s="108"/>
      <c r="M63" s="108"/>
    </row>
    <row r="64" spans="2:13" ht="15.75" customHeight="1" x14ac:dyDescent="0.25">
      <c r="B64" s="108"/>
      <c r="C64" s="108"/>
      <c r="D64" s="108"/>
      <c r="E64" s="108"/>
      <c r="F64" s="108"/>
      <c r="G64" s="108"/>
      <c r="H64" s="108"/>
      <c r="I64" s="108"/>
      <c r="J64" s="108"/>
      <c r="K64" s="108"/>
      <c r="L64" s="108"/>
      <c r="M64" s="108"/>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
    <mergeCell ref="B15:M64"/>
    <mergeCell ref="B1:J1"/>
    <mergeCell ref="B2:B6"/>
    <mergeCell ref="C2:D5"/>
    <mergeCell ref="E2:E6"/>
    <mergeCell ref="F2:F6"/>
    <mergeCell ref="G2:H5"/>
    <mergeCell ref="I2:J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1000"/>
  <sheetViews>
    <sheetView showGridLines="0" workbookViewId="0">
      <selection activeCell="J31" sqref="J31"/>
    </sheetView>
  </sheetViews>
  <sheetFormatPr defaultColWidth="14.42578125" defaultRowHeight="15" customHeight="1" x14ac:dyDescent="0.25"/>
  <cols>
    <col min="1" max="1" width="8.7109375" customWidth="1"/>
    <col min="2" max="2" width="42" customWidth="1"/>
    <col min="3" max="3" width="20.140625" customWidth="1"/>
    <col min="4" max="4" width="18.5703125" customWidth="1"/>
    <col min="5" max="5" width="16.7109375" customWidth="1"/>
    <col min="6" max="26" width="8.7109375" customWidth="1"/>
  </cols>
  <sheetData>
    <row r="1" spans="2:8" ht="117.75" customHeight="1" x14ac:dyDescent="0.25">
      <c r="B1" s="113" t="s">
        <v>79</v>
      </c>
      <c r="C1" s="93"/>
      <c r="D1" s="93"/>
      <c r="E1" s="93"/>
    </row>
    <row r="2" spans="2:8" ht="48.75" customHeight="1" x14ac:dyDescent="0.25">
      <c r="B2" s="3" t="s">
        <v>38</v>
      </c>
      <c r="C2" s="3" t="s">
        <v>80</v>
      </c>
      <c r="D2" s="3" t="s">
        <v>81</v>
      </c>
      <c r="E2" s="3" t="s">
        <v>82</v>
      </c>
    </row>
    <row r="3" spans="2:8" ht="16.5" customHeight="1" x14ac:dyDescent="0.25">
      <c r="B3" s="18" t="s">
        <v>83</v>
      </c>
      <c r="C3" s="7">
        <v>31364328</v>
      </c>
      <c r="D3" s="7">
        <v>76721242</v>
      </c>
      <c r="E3" s="30">
        <f t="shared" ref="E3:E11" si="0">D3-C3</f>
        <v>45356914</v>
      </c>
    </row>
    <row r="4" spans="2:8" ht="33.75" customHeight="1" x14ac:dyDescent="0.25">
      <c r="B4" s="18" t="s">
        <v>84</v>
      </c>
      <c r="C4" s="7">
        <v>74663863</v>
      </c>
      <c r="D4" s="7">
        <v>27048515</v>
      </c>
      <c r="E4" s="30">
        <f t="shared" si="0"/>
        <v>-47615348</v>
      </c>
    </row>
    <row r="5" spans="2:8" ht="32.25" customHeight="1" x14ac:dyDescent="0.25">
      <c r="B5" s="18" t="s">
        <v>85</v>
      </c>
      <c r="C5" s="15">
        <v>15263884</v>
      </c>
      <c r="D5" s="15">
        <v>13255354</v>
      </c>
      <c r="E5" s="15">
        <f t="shared" si="0"/>
        <v>-2008530</v>
      </c>
    </row>
    <row r="6" spans="2:8" ht="15.75" customHeight="1" x14ac:dyDescent="0.25">
      <c r="B6" s="18" t="s">
        <v>86</v>
      </c>
      <c r="C6" s="10">
        <v>138990795</v>
      </c>
      <c r="D6" s="10">
        <v>179894309</v>
      </c>
      <c r="E6" s="30">
        <f t="shared" si="0"/>
        <v>40903514</v>
      </c>
    </row>
    <row r="7" spans="2:8" ht="18" customHeight="1" x14ac:dyDescent="0.25">
      <c r="B7" s="18" t="s">
        <v>87</v>
      </c>
      <c r="C7" s="7">
        <v>260871829</v>
      </c>
      <c r="D7" s="7">
        <v>297946183</v>
      </c>
      <c r="E7" s="30">
        <f t="shared" si="0"/>
        <v>37074354</v>
      </c>
    </row>
    <row r="8" spans="2:8" ht="31.5" customHeight="1" x14ac:dyDescent="0.25">
      <c r="B8" s="18" t="s">
        <v>88</v>
      </c>
      <c r="C8" s="7">
        <v>112689322</v>
      </c>
      <c r="D8" s="7">
        <v>101513191</v>
      </c>
      <c r="E8" s="30">
        <f t="shared" si="0"/>
        <v>-11176131</v>
      </c>
    </row>
    <row r="9" spans="2:8" ht="33.75" customHeight="1" x14ac:dyDescent="0.25">
      <c r="B9" s="18" t="s">
        <v>89</v>
      </c>
      <c r="C9" s="38">
        <f t="shared" ref="C9:D9" si="1">(C3+C4)/C8</f>
        <v>0.94088942162594602</v>
      </c>
      <c r="D9" s="38">
        <f t="shared" si="1"/>
        <v>1.0222292884084394</v>
      </c>
      <c r="E9" s="38">
        <f t="shared" si="0"/>
        <v>8.1339866782493386E-2</v>
      </c>
    </row>
    <row r="10" spans="2:8" ht="33.75" customHeight="1" x14ac:dyDescent="0.25">
      <c r="B10" s="18" t="s">
        <v>90</v>
      </c>
      <c r="C10" s="38">
        <f t="shared" ref="C10:D10" si="2">(C3+C4+C5)/C8</f>
        <v>1.0763404451044616</v>
      </c>
      <c r="D10" s="38">
        <f t="shared" si="2"/>
        <v>1.1528069391494156</v>
      </c>
      <c r="E10" s="38">
        <f t="shared" si="0"/>
        <v>7.6466494044953981E-2</v>
      </c>
    </row>
    <row r="11" spans="2:8" ht="32.25" customHeight="1" x14ac:dyDescent="0.25">
      <c r="B11" s="18" t="s">
        <v>91</v>
      </c>
      <c r="C11" s="38">
        <f t="shared" ref="C11:D11" si="3">C7/C8</f>
        <v>2.3149649351870267</v>
      </c>
      <c r="D11" s="38">
        <f t="shared" si="3"/>
        <v>2.93504893368981</v>
      </c>
      <c r="E11" s="38">
        <f t="shared" si="0"/>
        <v>0.62008399850278328</v>
      </c>
    </row>
    <row r="13" spans="2:8" ht="15.75" x14ac:dyDescent="0.25">
      <c r="B13" s="39" t="s">
        <v>35</v>
      </c>
    </row>
    <row r="14" spans="2:8" x14ac:dyDescent="0.25">
      <c r="B14" s="121" t="s">
        <v>92</v>
      </c>
      <c r="C14" s="108"/>
      <c r="D14" s="108"/>
      <c r="E14" s="108"/>
      <c r="F14" s="108"/>
      <c r="G14" s="108"/>
      <c r="H14" s="108"/>
    </row>
    <row r="15" spans="2:8" ht="15" customHeight="1" x14ac:dyDescent="0.25">
      <c r="B15" s="108"/>
      <c r="C15" s="108"/>
      <c r="D15" s="108"/>
      <c r="E15" s="108"/>
      <c r="F15" s="108"/>
      <c r="G15" s="108"/>
      <c r="H15" s="108"/>
    </row>
    <row r="16" spans="2:8" ht="15" customHeight="1" x14ac:dyDescent="0.25">
      <c r="B16" s="108"/>
      <c r="C16" s="108"/>
      <c r="D16" s="108"/>
      <c r="E16" s="108"/>
      <c r="F16" s="108"/>
      <c r="G16" s="108"/>
      <c r="H16" s="108"/>
    </row>
    <row r="17" spans="2:8" ht="15" customHeight="1" x14ac:dyDescent="0.25">
      <c r="B17" s="108"/>
      <c r="C17" s="108"/>
      <c r="D17" s="108"/>
      <c r="E17" s="108"/>
      <c r="F17" s="108"/>
      <c r="G17" s="108"/>
      <c r="H17" s="108"/>
    </row>
    <row r="18" spans="2:8" ht="15" customHeight="1" x14ac:dyDescent="0.25">
      <c r="B18" s="108"/>
      <c r="C18" s="108"/>
      <c r="D18" s="108"/>
      <c r="E18" s="108"/>
      <c r="F18" s="108"/>
      <c r="G18" s="108"/>
      <c r="H18" s="108"/>
    </row>
    <row r="19" spans="2:8" ht="15" customHeight="1" x14ac:dyDescent="0.25">
      <c r="B19" s="108"/>
      <c r="C19" s="108"/>
      <c r="D19" s="108"/>
      <c r="E19" s="108"/>
      <c r="F19" s="108"/>
      <c r="G19" s="108"/>
      <c r="H19" s="108"/>
    </row>
    <row r="20" spans="2:8" ht="15" customHeight="1" x14ac:dyDescent="0.25">
      <c r="B20" s="108"/>
      <c r="C20" s="108"/>
      <c r="D20" s="108"/>
      <c r="E20" s="108"/>
      <c r="F20" s="108"/>
      <c r="G20" s="108"/>
      <c r="H20" s="108"/>
    </row>
    <row r="21" spans="2:8" ht="15.75" customHeight="1" x14ac:dyDescent="0.25">
      <c r="B21" s="108"/>
      <c r="C21" s="108"/>
      <c r="D21" s="108"/>
      <c r="E21" s="108"/>
      <c r="F21" s="108"/>
      <c r="G21" s="108"/>
      <c r="H21" s="108"/>
    </row>
    <row r="22" spans="2:8" ht="15.75" customHeight="1" x14ac:dyDescent="0.25">
      <c r="B22" s="108"/>
      <c r="C22" s="108"/>
      <c r="D22" s="108"/>
      <c r="E22" s="108"/>
      <c r="F22" s="108"/>
      <c r="G22" s="108"/>
      <c r="H22" s="108"/>
    </row>
    <row r="23" spans="2:8" ht="15.75" customHeight="1" x14ac:dyDescent="0.25">
      <c r="B23" s="108"/>
      <c r="C23" s="108"/>
      <c r="D23" s="108"/>
      <c r="E23" s="108"/>
      <c r="F23" s="108"/>
      <c r="G23" s="108"/>
      <c r="H23" s="108"/>
    </row>
    <row r="24" spans="2:8" ht="15.75" customHeight="1" x14ac:dyDescent="0.25">
      <c r="B24" s="108"/>
      <c r="C24" s="108"/>
      <c r="D24" s="108"/>
      <c r="E24" s="108"/>
      <c r="F24" s="108"/>
      <c r="G24" s="108"/>
      <c r="H24" s="108"/>
    </row>
    <row r="25" spans="2:8" ht="15.75" customHeight="1" x14ac:dyDescent="0.25">
      <c r="B25" s="108"/>
      <c r="C25" s="108"/>
      <c r="D25" s="108"/>
      <c r="E25" s="108"/>
      <c r="F25" s="108"/>
      <c r="G25" s="108"/>
      <c r="H25" s="108"/>
    </row>
    <row r="26" spans="2:8" ht="15.75" customHeight="1" x14ac:dyDescent="0.25">
      <c r="B26" s="108"/>
      <c r="C26" s="108"/>
      <c r="D26" s="108"/>
      <c r="E26" s="108"/>
      <c r="F26" s="108"/>
      <c r="G26" s="108"/>
      <c r="H26" s="108"/>
    </row>
    <row r="27" spans="2:8" ht="15.75" customHeight="1" x14ac:dyDescent="0.25">
      <c r="B27" s="108"/>
      <c r="C27" s="108"/>
      <c r="D27" s="108"/>
      <c r="E27" s="108"/>
      <c r="F27" s="108"/>
      <c r="G27" s="108"/>
      <c r="H27" s="108"/>
    </row>
    <row r="28" spans="2:8" ht="15.75" customHeight="1" x14ac:dyDescent="0.25">
      <c r="B28" s="108"/>
      <c r="C28" s="108"/>
      <c r="D28" s="108"/>
      <c r="E28" s="108"/>
      <c r="F28" s="108"/>
      <c r="G28" s="108"/>
      <c r="H28" s="108"/>
    </row>
    <row r="29" spans="2:8" ht="15.75" customHeight="1" x14ac:dyDescent="0.25">
      <c r="B29" s="108"/>
      <c r="C29" s="108"/>
      <c r="D29" s="108"/>
      <c r="E29" s="108"/>
      <c r="F29" s="108"/>
      <c r="G29" s="108"/>
      <c r="H29" s="108"/>
    </row>
    <row r="30" spans="2:8" ht="15.75" customHeight="1" x14ac:dyDescent="0.25">
      <c r="B30" s="108"/>
      <c r="C30" s="108"/>
      <c r="D30" s="108"/>
      <c r="E30" s="108"/>
      <c r="F30" s="108"/>
      <c r="G30" s="108"/>
      <c r="H30" s="108"/>
    </row>
    <row r="31" spans="2:8" ht="15.75" customHeight="1" x14ac:dyDescent="0.25">
      <c r="B31" s="108"/>
      <c r="C31" s="108"/>
      <c r="D31" s="108"/>
      <c r="E31" s="108"/>
      <c r="F31" s="108"/>
      <c r="G31" s="108"/>
      <c r="H31" s="108"/>
    </row>
    <row r="32" spans="2:8" ht="15.75" customHeight="1" x14ac:dyDescent="0.25">
      <c r="B32" s="108"/>
      <c r="C32" s="108"/>
      <c r="D32" s="108"/>
      <c r="E32" s="108"/>
      <c r="F32" s="108"/>
      <c r="G32" s="108"/>
      <c r="H32" s="108"/>
    </row>
    <row r="33" spans="2:8" ht="15.75" customHeight="1" x14ac:dyDescent="0.25">
      <c r="B33" s="108"/>
      <c r="C33" s="108"/>
      <c r="D33" s="108"/>
      <c r="E33" s="108"/>
      <c r="F33" s="108"/>
      <c r="G33" s="108"/>
      <c r="H33" s="108"/>
    </row>
    <row r="34" spans="2:8" ht="15.75" customHeight="1" x14ac:dyDescent="0.25">
      <c r="B34" s="108"/>
      <c r="C34" s="108"/>
      <c r="D34" s="108"/>
      <c r="E34" s="108"/>
      <c r="F34" s="108"/>
      <c r="G34" s="108"/>
      <c r="H34" s="108"/>
    </row>
    <row r="35" spans="2:8" ht="15.75" customHeight="1" x14ac:dyDescent="0.25">
      <c r="B35" s="108"/>
      <c r="C35" s="108"/>
      <c r="D35" s="108"/>
      <c r="E35" s="108"/>
      <c r="F35" s="108"/>
      <c r="G35" s="108"/>
      <c r="H35" s="108"/>
    </row>
    <row r="36" spans="2:8" ht="15.75" customHeight="1" x14ac:dyDescent="0.25">
      <c r="B36" s="108"/>
      <c r="C36" s="108"/>
      <c r="D36" s="108"/>
      <c r="E36" s="108"/>
      <c r="F36" s="108"/>
      <c r="G36" s="108"/>
      <c r="H36" s="108"/>
    </row>
    <row r="37" spans="2:8" ht="15.75" customHeight="1" x14ac:dyDescent="0.25">
      <c r="B37" s="108"/>
      <c r="C37" s="108"/>
      <c r="D37" s="108"/>
      <c r="E37" s="108"/>
      <c r="F37" s="108"/>
      <c r="G37" s="108"/>
      <c r="H37" s="108"/>
    </row>
    <row r="38" spans="2:8" ht="15.75" customHeight="1" x14ac:dyDescent="0.25">
      <c r="B38" s="108"/>
      <c r="C38" s="108"/>
      <c r="D38" s="108"/>
      <c r="E38" s="108"/>
      <c r="F38" s="108"/>
      <c r="G38" s="108"/>
      <c r="H38" s="108"/>
    </row>
    <row r="39" spans="2:8" ht="15.75" customHeight="1" x14ac:dyDescent="0.25">
      <c r="B39" s="108"/>
      <c r="C39" s="108"/>
      <c r="D39" s="108"/>
      <c r="E39" s="108"/>
      <c r="F39" s="108"/>
      <c r="G39" s="108"/>
      <c r="H39" s="108"/>
    </row>
    <row r="40" spans="2:8" ht="15.75" customHeight="1" x14ac:dyDescent="0.25">
      <c r="B40" s="108"/>
      <c r="C40" s="108"/>
      <c r="D40" s="108"/>
      <c r="E40" s="108"/>
      <c r="F40" s="108"/>
      <c r="G40" s="108"/>
      <c r="H40" s="108"/>
    </row>
    <row r="41" spans="2:8" ht="15.75" customHeight="1" x14ac:dyDescent="0.25"/>
    <row r="42" spans="2:8" ht="15.75" customHeight="1" x14ac:dyDescent="0.25"/>
    <row r="43" spans="2:8" ht="15.75" customHeight="1" x14ac:dyDescent="0.25"/>
    <row r="44" spans="2:8" ht="15.75" customHeight="1" x14ac:dyDescent="0.25"/>
    <row r="45" spans="2:8" ht="15.75" customHeight="1" x14ac:dyDescent="0.25"/>
    <row r="46" spans="2:8" ht="15.75" customHeight="1" x14ac:dyDescent="0.25"/>
    <row r="47" spans="2:8" ht="15.75" customHeight="1" x14ac:dyDescent="0.25"/>
    <row r="48" spans="2: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1:E1"/>
    <mergeCell ref="B14:H40"/>
  </mergeCell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00"/>
  <sheetViews>
    <sheetView showGridLines="0" zoomScale="70" zoomScaleNormal="70" workbookViewId="0">
      <selection activeCell="H30" sqref="H30"/>
    </sheetView>
  </sheetViews>
  <sheetFormatPr defaultColWidth="14.42578125" defaultRowHeight="15" customHeight="1" x14ac:dyDescent="0.25"/>
  <cols>
    <col min="1" max="1" width="8.7109375" customWidth="1"/>
    <col min="2" max="2" width="45.140625" customWidth="1"/>
    <col min="3" max="3" width="27.5703125" customWidth="1"/>
    <col min="4" max="4" width="28.42578125" customWidth="1"/>
    <col min="5" max="26" width="8.7109375" customWidth="1"/>
  </cols>
  <sheetData>
    <row r="1" spans="2:8" ht="151.5" customHeight="1" x14ac:dyDescent="0.25">
      <c r="B1" s="122" t="s">
        <v>198</v>
      </c>
      <c r="C1" s="123"/>
      <c r="D1" s="123"/>
    </row>
    <row r="2" spans="2:8" ht="17.25" customHeight="1" x14ac:dyDescent="0.25">
      <c r="B2" s="3" t="s">
        <v>38</v>
      </c>
      <c r="C2" s="3" t="s">
        <v>80</v>
      </c>
      <c r="D2" s="3" t="s">
        <v>81</v>
      </c>
    </row>
    <row r="3" spans="2:8" ht="16.5" customHeight="1" x14ac:dyDescent="0.25">
      <c r="B3" s="18" t="s">
        <v>93</v>
      </c>
      <c r="C3" s="7">
        <v>412079355</v>
      </c>
      <c r="D3" s="7">
        <v>387299772</v>
      </c>
    </row>
    <row r="4" spans="2:8" ht="16.5" customHeight="1" x14ac:dyDescent="0.25">
      <c r="B4" s="18" t="s">
        <v>94</v>
      </c>
      <c r="C4" s="7">
        <v>400242456</v>
      </c>
      <c r="D4" s="7">
        <v>414345746</v>
      </c>
    </row>
    <row r="5" spans="2:8" ht="22.5" customHeight="1" x14ac:dyDescent="0.25">
      <c r="B5" s="18" t="s">
        <v>95</v>
      </c>
      <c r="C5" s="40">
        <f t="shared" ref="C5:D5" si="0">C3-C4</f>
        <v>11836899</v>
      </c>
      <c r="D5" s="40">
        <f t="shared" si="0"/>
        <v>-27045974</v>
      </c>
    </row>
    <row r="6" spans="2:8" ht="33" customHeight="1" x14ac:dyDescent="0.25">
      <c r="B6" s="18" t="s">
        <v>96</v>
      </c>
      <c r="C6" s="7">
        <v>136345608</v>
      </c>
      <c r="D6" s="7">
        <v>223478966</v>
      </c>
    </row>
    <row r="7" spans="2:8" ht="69" customHeight="1" x14ac:dyDescent="0.25">
      <c r="B7" s="18" t="s">
        <v>97</v>
      </c>
      <c r="C7" s="12">
        <f t="shared" ref="C7:D7" si="1">C5+C6</f>
        <v>148182507</v>
      </c>
      <c r="D7" s="12">
        <f t="shared" si="1"/>
        <v>196432992</v>
      </c>
    </row>
    <row r="8" spans="2:8" ht="18.75" customHeight="1" x14ac:dyDescent="0.25">
      <c r="B8" s="18" t="s">
        <v>98</v>
      </c>
      <c r="C8" s="7">
        <v>112689322</v>
      </c>
      <c r="D8" s="7">
        <v>101513191</v>
      </c>
      <c r="G8" s="41"/>
      <c r="H8" s="41"/>
    </row>
    <row r="9" spans="2:8" ht="51" customHeight="1" x14ac:dyDescent="0.25">
      <c r="B9" s="18" t="s">
        <v>99</v>
      </c>
      <c r="C9" s="12">
        <f t="shared" ref="C9:D9" si="2">C7+C8</f>
        <v>260871829</v>
      </c>
      <c r="D9" s="12">
        <f t="shared" si="2"/>
        <v>297946183</v>
      </c>
    </row>
    <row r="10" spans="2:8" ht="16.5" customHeight="1" x14ac:dyDescent="0.25">
      <c r="B10" s="18" t="s">
        <v>100</v>
      </c>
      <c r="C10" s="13">
        <v>138990795</v>
      </c>
      <c r="D10" s="10">
        <v>179894309</v>
      </c>
    </row>
    <row r="11" spans="2:8" ht="51.75" customHeight="1" x14ac:dyDescent="0.25">
      <c r="B11" s="18" t="s">
        <v>101</v>
      </c>
      <c r="C11" s="7">
        <f t="shared" ref="C11:D11" si="3">C5-C10</f>
        <v>-127153896</v>
      </c>
      <c r="D11" s="7">
        <f t="shared" si="3"/>
        <v>-206940283</v>
      </c>
    </row>
    <row r="12" spans="2:8" ht="67.5" customHeight="1" x14ac:dyDescent="0.25">
      <c r="B12" s="18" t="s">
        <v>102</v>
      </c>
      <c r="C12" s="12">
        <f t="shared" ref="C12:D12" si="4">C7-C10</f>
        <v>9191712</v>
      </c>
      <c r="D12" s="12">
        <f t="shared" si="4"/>
        <v>16538683</v>
      </c>
    </row>
    <row r="13" spans="2:8" ht="53.25" customHeight="1" x14ac:dyDescent="0.25">
      <c r="B13" s="18" t="s">
        <v>103</v>
      </c>
      <c r="C13" s="12">
        <f t="shared" ref="C13:D13" si="5">C9-C10</f>
        <v>121881034</v>
      </c>
      <c r="D13" s="12">
        <f t="shared" si="5"/>
        <v>118051874</v>
      </c>
    </row>
    <row r="14" spans="2:8" ht="48" customHeight="1" x14ac:dyDescent="0.25">
      <c r="B14" s="18" t="s">
        <v>104</v>
      </c>
      <c r="C14" s="36" t="s">
        <v>105</v>
      </c>
      <c r="D14" s="36" t="s">
        <v>105</v>
      </c>
    </row>
    <row r="16" spans="2:8" x14ac:dyDescent="0.25">
      <c r="B16" s="42" t="s">
        <v>35</v>
      </c>
    </row>
    <row r="17" spans="2:4" x14ac:dyDescent="0.25">
      <c r="B17" s="124" t="s">
        <v>106</v>
      </c>
      <c r="C17" s="108"/>
      <c r="D17" s="108"/>
    </row>
    <row r="18" spans="2:4" ht="15" customHeight="1" x14ac:dyDescent="0.25">
      <c r="B18" s="108"/>
      <c r="C18" s="108"/>
      <c r="D18" s="108"/>
    </row>
    <row r="19" spans="2:4" ht="15" customHeight="1" x14ac:dyDescent="0.25">
      <c r="B19" s="108"/>
      <c r="C19" s="108"/>
      <c r="D19" s="108"/>
    </row>
    <row r="20" spans="2:4" ht="15" customHeight="1" x14ac:dyDescent="0.25">
      <c r="B20" s="108"/>
      <c r="C20" s="108"/>
      <c r="D20" s="108"/>
    </row>
    <row r="21" spans="2:4" ht="15.75" customHeight="1" x14ac:dyDescent="0.25">
      <c r="B21" s="108"/>
      <c r="C21" s="108"/>
      <c r="D21" s="108"/>
    </row>
    <row r="22" spans="2:4" ht="15.75" customHeight="1" x14ac:dyDescent="0.25">
      <c r="B22" s="108"/>
      <c r="C22" s="108"/>
      <c r="D22" s="108"/>
    </row>
    <row r="23" spans="2:4" ht="15.75" customHeight="1" x14ac:dyDescent="0.25">
      <c r="B23" s="108"/>
      <c r="C23" s="108"/>
      <c r="D23" s="108"/>
    </row>
    <row r="24" spans="2:4" ht="15.75" customHeight="1" x14ac:dyDescent="0.25">
      <c r="B24" s="108"/>
      <c r="C24" s="108"/>
      <c r="D24" s="108"/>
    </row>
    <row r="25" spans="2:4" ht="15.75" customHeight="1" x14ac:dyDescent="0.25">
      <c r="B25" s="108"/>
      <c r="C25" s="108"/>
      <c r="D25" s="108"/>
    </row>
    <row r="26" spans="2:4" ht="15.75" customHeight="1" x14ac:dyDescent="0.25">
      <c r="B26" s="108"/>
      <c r="C26" s="108"/>
      <c r="D26" s="108"/>
    </row>
    <row r="27" spans="2:4" ht="15.75" customHeight="1" x14ac:dyDescent="0.25">
      <c r="B27" s="108"/>
      <c r="C27" s="108"/>
      <c r="D27" s="108"/>
    </row>
    <row r="28" spans="2:4" ht="15.75" customHeight="1" x14ac:dyDescent="0.25">
      <c r="B28" s="108"/>
      <c r="C28" s="108"/>
      <c r="D28" s="108"/>
    </row>
    <row r="29" spans="2:4" ht="15.75" customHeight="1" x14ac:dyDescent="0.25">
      <c r="B29" s="108"/>
      <c r="C29" s="108"/>
      <c r="D29" s="108"/>
    </row>
    <row r="30" spans="2:4" ht="15.75" customHeight="1" x14ac:dyDescent="0.25">
      <c r="B30" s="108"/>
      <c r="C30" s="108"/>
      <c r="D30" s="108"/>
    </row>
    <row r="31" spans="2:4" ht="15.75" customHeight="1" x14ac:dyDescent="0.25">
      <c r="B31" s="108"/>
      <c r="C31" s="108"/>
      <c r="D31" s="108"/>
    </row>
    <row r="32" spans="2:4" ht="15.75" customHeight="1" x14ac:dyDescent="0.25">
      <c r="B32" s="108"/>
      <c r="C32" s="108"/>
      <c r="D32" s="108"/>
    </row>
    <row r="33" spans="2:4" ht="15.75" customHeight="1" x14ac:dyDescent="0.25">
      <c r="B33" s="108"/>
      <c r="C33" s="108"/>
      <c r="D33" s="108"/>
    </row>
    <row r="34" spans="2:4" ht="15.75" customHeight="1" x14ac:dyDescent="0.25">
      <c r="B34" s="108"/>
      <c r="C34" s="108"/>
      <c r="D34" s="108"/>
    </row>
    <row r="35" spans="2:4" ht="15.75" customHeight="1" x14ac:dyDescent="0.25">
      <c r="B35" s="108"/>
      <c r="C35" s="108"/>
      <c r="D35" s="108"/>
    </row>
    <row r="36" spans="2:4" ht="15.75" customHeight="1" x14ac:dyDescent="0.25">
      <c r="B36" s="108"/>
      <c r="C36" s="108"/>
      <c r="D36" s="108"/>
    </row>
    <row r="37" spans="2:4" ht="15.75" customHeight="1" x14ac:dyDescent="0.25">
      <c r="B37" s="108"/>
      <c r="C37" s="108"/>
      <c r="D37" s="108"/>
    </row>
    <row r="38" spans="2:4" ht="15.75" customHeight="1" x14ac:dyDescent="0.25">
      <c r="B38" s="108"/>
      <c r="C38" s="108"/>
      <c r="D38" s="108"/>
    </row>
    <row r="39" spans="2:4" ht="15.75" customHeight="1" x14ac:dyDescent="0.25">
      <c r="B39" s="108"/>
      <c r="C39" s="108"/>
      <c r="D39" s="108"/>
    </row>
    <row r="40" spans="2:4" ht="15.75" customHeight="1" x14ac:dyDescent="0.25">
      <c r="B40" s="108"/>
      <c r="C40" s="108"/>
      <c r="D40" s="108"/>
    </row>
    <row r="41" spans="2:4" ht="15.75" customHeight="1" x14ac:dyDescent="0.25">
      <c r="B41" s="108"/>
      <c r="C41" s="108"/>
      <c r="D41" s="108"/>
    </row>
    <row r="42" spans="2:4" ht="15.75" customHeight="1" x14ac:dyDescent="0.25">
      <c r="B42" s="108"/>
      <c r="C42" s="108"/>
      <c r="D42" s="108"/>
    </row>
    <row r="43" spans="2:4" ht="15.75" customHeight="1" x14ac:dyDescent="0.25">
      <c r="B43" s="108"/>
      <c r="C43" s="108"/>
      <c r="D43" s="108"/>
    </row>
    <row r="44" spans="2:4" ht="15.75" customHeight="1" x14ac:dyDescent="0.25">
      <c r="B44" s="108"/>
      <c r="C44" s="108"/>
      <c r="D44" s="108"/>
    </row>
    <row r="45" spans="2:4" ht="15.75" customHeight="1" x14ac:dyDescent="0.25">
      <c r="B45" s="108"/>
      <c r="C45" s="108"/>
      <c r="D45" s="108"/>
    </row>
    <row r="46" spans="2:4" ht="15.75" customHeight="1" x14ac:dyDescent="0.25">
      <c r="B46" s="108"/>
      <c r="C46" s="108"/>
      <c r="D46" s="108"/>
    </row>
    <row r="47" spans="2:4" ht="15.75" customHeight="1" x14ac:dyDescent="0.25">
      <c r="B47" s="108"/>
      <c r="C47" s="108"/>
      <c r="D47" s="108"/>
    </row>
    <row r="48" spans="2:4" ht="15.75" customHeight="1" x14ac:dyDescent="0.25">
      <c r="B48" s="108"/>
      <c r="C48" s="108"/>
      <c r="D48" s="108"/>
    </row>
    <row r="49" spans="2:4" ht="15.75" customHeight="1" x14ac:dyDescent="0.25">
      <c r="B49" s="108"/>
      <c r="C49" s="108"/>
      <c r="D49" s="108"/>
    </row>
    <row r="50" spans="2:4" ht="15.75" customHeight="1" x14ac:dyDescent="0.25">
      <c r="B50" s="108"/>
      <c r="C50" s="108"/>
      <c r="D50" s="108"/>
    </row>
    <row r="51" spans="2:4" ht="15.75" customHeight="1" x14ac:dyDescent="0.25">
      <c r="B51" s="108"/>
      <c r="C51" s="108"/>
      <c r="D51" s="108"/>
    </row>
    <row r="52" spans="2:4" ht="15.75" customHeight="1" x14ac:dyDescent="0.25">
      <c r="B52" s="108"/>
      <c r="C52" s="108"/>
      <c r="D52" s="108"/>
    </row>
    <row r="53" spans="2:4" ht="15.75" customHeight="1" x14ac:dyDescent="0.25">
      <c r="B53" s="108"/>
      <c r="C53" s="108"/>
      <c r="D53" s="108"/>
    </row>
    <row r="54" spans="2:4" ht="15.75" customHeight="1" x14ac:dyDescent="0.25">
      <c r="B54" s="108"/>
      <c r="C54" s="108"/>
      <c r="D54" s="108"/>
    </row>
    <row r="55" spans="2:4" ht="15.75" customHeight="1" x14ac:dyDescent="0.25">
      <c r="B55" s="108"/>
      <c r="C55" s="108"/>
      <c r="D55" s="108"/>
    </row>
    <row r="56" spans="2:4" ht="15.75" customHeight="1" x14ac:dyDescent="0.25">
      <c r="B56" s="108"/>
      <c r="C56" s="108"/>
      <c r="D56" s="108"/>
    </row>
    <row r="57" spans="2:4" ht="15.75" customHeight="1" x14ac:dyDescent="0.25">
      <c r="B57" s="108"/>
      <c r="C57" s="108"/>
      <c r="D57" s="108"/>
    </row>
    <row r="58" spans="2:4" ht="15.75" customHeight="1" x14ac:dyDescent="0.25">
      <c r="B58" s="108"/>
      <c r="C58" s="108"/>
      <c r="D58" s="108"/>
    </row>
    <row r="59" spans="2:4" ht="15.75" customHeight="1" x14ac:dyDescent="0.25">
      <c r="B59" s="108"/>
      <c r="C59" s="108"/>
      <c r="D59" s="108"/>
    </row>
    <row r="60" spans="2:4" ht="15.75" customHeight="1" x14ac:dyDescent="0.25">
      <c r="B60" s="108"/>
      <c r="C60" s="108"/>
      <c r="D60" s="108"/>
    </row>
    <row r="61" spans="2:4" ht="15.75" customHeight="1" x14ac:dyDescent="0.25">
      <c r="B61" s="108"/>
      <c r="C61" s="108"/>
      <c r="D61" s="108"/>
    </row>
    <row r="62" spans="2:4" ht="15.75" customHeight="1" x14ac:dyDescent="0.25">
      <c r="B62" s="108"/>
      <c r="C62" s="108"/>
      <c r="D62" s="108"/>
    </row>
    <row r="63" spans="2:4" ht="15.75" customHeight="1" x14ac:dyDescent="0.25">
      <c r="B63" s="108"/>
      <c r="C63" s="108"/>
      <c r="D63" s="108"/>
    </row>
    <row r="64" spans="2:4" ht="15.75" customHeight="1" x14ac:dyDescent="0.25">
      <c r="B64" s="108"/>
      <c r="C64" s="108"/>
      <c r="D64" s="108"/>
    </row>
    <row r="65" spans="2:4" ht="15.75" customHeight="1" x14ac:dyDescent="0.25">
      <c r="B65" s="108"/>
      <c r="C65" s="108"/>
      <c r="D65" s="108"/>
    </row>
    <row r="66" spans="2:4" ht="15.75" customHeight="1" x14ac:dyDescent="0.25"/>
    <row r="67" spans="2:4" ht="15.75" customHeight="1" x14ac:dyDescent="0.25"/>
    <row r="68" spans="2:4" ht="15.75" customHeight="1" x14ac:dyDescent="0.25"/>
    <row r="69" spans="2:4" ht="15.75" customHeight="1" x14ac:dyDescent="0.25"/>
    <row r="70" spans="2:4" ht="15.75" customHeight="1" x14ac:dyDescent="0.25"/>
    <row r="71" spans="2:4" ht="15.75" customHeight="1" x14ac:dyDescent="0.25"/>
    <row r="72" spans="2:4" ht="15.75" customHeight="1" x14ac:dyDescent="0.25"/>
    <row r="73" spans="2:4" ht="15.75" customHeight="1" x14ac:dyDescent="0.25"/>
    <row r="74" spans="2:4" ht="15.75" customHeight="1" x14ac:dyDescent="0.25"/>
    <row r="75" spans="2:4" ht="15.75" customHeight="1" x14ac:dyDescent="0.25"/>
    <row r="76" spans="2:4" ht="15.75" customHeight="1" x14ac:dyDescent="0.25"/>
    <row r="77" spans="2:4" ht="15.75" customHeight="1" x14ac:dyDescent="0.25"/>
    <row r="78" spans="2:4" ht="15.75" customHeight="1" x14ac:dyDescent="0.25"/>
    <row r="79" spans="2:4" ht="15.75" customHeight="1" x14ac:dyDescent="0.25"/>
    <row r="80" spans="2: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1:D1"/>
    <mergeCell ref="B17:D65"/>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K1000"/>
  <sheetViews>
    <sheetView showGridLines="0" topLeftCell="A3" zoomScale="85" zoomScaleNormal="85" workbookViewId="0">
      <selection activeCell="C6" sqref="C6:D6"/>
    </sheetView>
  </sheetViews>
  <sheetFormatPr defaultColWidth="14.42578125" defaultRowHeight="15" customHeight="1" x14ac:dyDescent="0.25"/>
  <cols>
    <col min="1" max="1" width="8.7109375" customWidth="1"/>
    <col min="2" max="2" width="22.5703125" customWidth="1"/>
    <col min="3" max="3" width="24.85546875" customWidth="1"/>
    <col min="4" max="4" width="23.7109375" customWidth="1"/>
    <col min="5" max="5" width="20.85546875" customWidth="1"/>
    <col min="6" max="6" width="31.28515625" customWidth="1"/>
    <col min="7" max="7" width="8.7109375" customWidth="1"/>
    <col min="8" max="8" width="15.7109375" customWidth="1"/>
    <col min="9" max="9" width="16.7109375" customWidth="1"/>
    <col min="10" max="10" width="15.5703125" customWidth="1"/>
    <col min="11" max="26" width="8.7109375" customWidth="1"/>
  </cols>
  <sheetData>
    <row r="1" spans="2:11" ht="95.25" customHeight="1" x14ac:dyDescent="0.25">
      <c r="B1" s="113" t="s">
        <v>107</v>
      </c>
      <c r="C1" s="93"/>
      <c r="D1" s="93"/>
      <c r="E1" s="93"/>
      <c r="F1" s="93"/>
    </row>
    <row r="2" spans="2:11" ht="17.25" customHeight="1" x14ac:dyDescent="0.25">
      <c r="B2" s="114" t="s">
        <v>1</v>
      </c>
      <c r="C2" s="127" t="s">
        <v>2</v>
      </c>
      <c r="D2" s="99"/>
      <c r="E2" s="114" t="s">
        <v>108</v>
      </c>
      <c r="F2" s="114" t="s">
        <v>109</v>
      </c>
    </row>
    <row r="3" spans="2:11" ht="32.25" customHeight="1" x14ac:dyDescent="0.25">
      <c r="B3" s="96"/>
      <c r="C3" s="34" t="s">
        <v>80</v>
      </c>
      <c r="D3" s="34" t="s">
        <v>81</v>
      </c>
      <c r="E3" s="96"/>
      <c r="F3" s="96"/>
    </row>
    <row r="4" spans="2:11" ht="15.75" x14ac:dyDescent="0.25">
      <c r="B4" s="4">
        <v>1</v>
      </c>
      <c r="C4" s="4">
        <v>2</v>
      </c>
      <c r="D4" s="4">
        <v>3</v>
      </c>
      <c r="E4" s="4">
        <v>4</v>
      </c>
      <c r="F4" s="5">
        <v>5</v>
      </c>
    </row>
    <row r="5" spans="2:11" ht="100.5" customHeight="1" x14ac:dyDescent="0.25">
      <c r="B5" s="14" t="s">
        <v>110</v>
      </c>
      <c r="C5" s="38">
        <f>412079355/661114285</f>
        <v>0.62331031767071865</v>
      </c>
      <c r="D5" s="38">
        <f>387299772/712291929</f>
        <v>0.54373741471946402</v>
      </c>
      <c r="E5" s="43">
        <f t="shared" ref="E5:E14" si="0">D5-C5</f>
        <v>-7.9572902951254632E-2</v>
      </c>
      <c r="F5" s="14" t="s">
        <v>111</v>
      </c>
      <c r="H5" s="37"/>
      <c r="I5" s="37"/>
      <c r="J5" s="44"/>
      <c r="K5" s="44"/>
    </row>
    <row r="6" spans="2:11" ht="80.25" customHeight="1" x14ac:dyDescent="0.25">
      <c r="B6" s="14" t="s">
        <v>112</v>
      </c>
      <c r="C6" s="38">
        <f>249034930/412079355</f>
        <v>0.60433731265183133</v>
      </c>
      <c r="D6" s="38">
        <f>324992157/387299772</f>
        <v>0.83912302690433804</v>
      </c>
      <c r="E6" s="43">
        <f t="shared" si="0"/>
        <v>0.23478571425250672</v>
      </c>
      <c r="F6" s="14" t="s">
        <v>113</v>
      </c>
      <c r="H6" s="37"/>
      <c r="I6" s="37"/>
      <c r="J6" s="44"/>
      <c r="K6" s="44"/>
    </row>
    <row r="7" spans="2:11" ht="81" customHeight="1" x14ac:dyDescent="0.25">
      <c r="B7" s="14" t="s">
        <v>114</v>
      </c>
      <c r="C7" s="38">
        <f>11836899/260871829</f>
        <v>4.5374385748642873E-2</v>
      </c>
      <c r="D7" s="38">
        <f>-27045974/297946183</f>
        <v>-9.0774695375104034E-2</v>
      </c>
      <c r="E7" s="43">
        <f t="shared" si="0"/>
        <v>-0.13614908112374691</v>
      </c>
      <c r="F7" s="14" t="s">
        <v>115</v>
      </c>
      <c r="H7" s="128"/>
      <c r="I7" s="128"/>
      <c r="J7" s="44"/>
      <c r="K7" s="44"/>
    </row>
    <row r="8" spans="2:11" ht="65.25" customHeight="1" x14ac:dyDescent="0.25">
      <c r="B8" s="14" t="s">
        <v>116</v>
      </c>
      <c r="C8" s="45">
        <f>400242456/412079355</f>
        <v>0.97127519528368511</v>
      </c>
      <c r="D8" s="45">
        <f>414345746/387299772</f>
        <v>1.0698321454214541</v>
      </c>
      <c r="E8" s="46">
        <f t="shared" si="0"/>
        <v>9.8556950137768995E-2</v>
      </c>
      <c r="F8" s="14" t="s">
        <v>117</v>
      </c>
      <c r="H8" s="108"/>
      <c r="I8" s="108"/>
      <c r="J8" s="44"/>
      <c r="K8" s="44"/>
    </row>
    <row r="9" spans="2:11" ht="80.25" customHeight="1" x14ac:dyDescent="0.25">
      <c r="B9" s="14" t="s">
        <v>118</v>
      </c>
      <c r="C9" s="38">
        <f>(412079355+136345608)/661114285</f>
        <v>0.82954638168195083</v>
      </c>
      <c r="D9" s="38">
        <f>(387299772+223478966)/712291929</f>
        <v>0.85748372701272035</v>
      </c>
      <c r="E9" s="43">
        <f t="shared" si="0"/>
        <v>2.7937345330769525E-2</v>
      </c>
      <c r="F9" s="14" t="s">
        <v>119</v>
      </c>
      <c r="H9" s="44"/>
      <c r="I9" s="44"/>
      <c r="J9" s="44"/>
      <c r="K9" s="44"/>
    </row>
    <row r="10" spans="2:11" ht="81" customHeight="1" x14ac:dyDescent="0.25">
      <c r="B10" s="14" t="s">
        <v>120</v>
      </c>
      <c r="C10" s="38">
        <f>11836899/412079355</f>
        <v>2.8724804716314896E-2</v>
      </c>
      <c r="D10" s="38">
        <f>-27045974/387299772</f>
        <v>-6.983214542145405E-2</v>
      </c>
      <c r="E10" s="43">
        <f t="shared" si="0"/>
        <v>-9.8556950137768939E-2</v>
      </c>
      <c r="F10" s="14" t="s">
        <v>121</v>
      </c>
      <c r="H10" s="37"/>
      <c r="I10" s="37"/>
      <c r="J10" s="44"/>
      <c r="K10" s="44"/>
    </row>
    <row r="11" spans="2:11" ht="82.5" customHeight="1" x14ac:dyDescent="0.25">
      <c r="B11" s="14" t="s">
        <v>122</v>
      </c>
      <c r="C11" s="38">
        <f>260871829/661114285</f>
        <v>0.39459414948203697</v>
      </c>
      <c r="D11" s="38">
        <f>297946183/712291929</f>
        <v>0.41829223506476093</v>
      </c>
      <c r="E11" s="43">
        <f t="shared" si="0"/>
        <v>2.369808558272396E-2</v>
      </c>
      <c r="F11" s="14" t="s">
        <v>123</v>
      </c>
      <c r="H11" s="47"/>
      <c r="I11" s="47"/>
      <c r="J11" s="44"/>
      <c r="K11" s="44"/>
    </row>
    <row r="12" spans="2:11" ht="98.25" customHeight="1" x14ac:dyDescent="0.25">
      <c r="B12" s="14" t="s">
        <v>124</v>
      </c>
      <c r="C12" s="45">
        <f>(74663863+31364328)/260871829</f>
        <v>0.40643787183322122</v>
      </c>
      <c r="D12" s="45">
        <f>(27048515+76721242)/297946183</f>
        <v>0.34828355898085123</v>
      </c>
      <c r="E12" s="43">
        <f t="shared" si="0"/>
        <v>-5.8154312852369994E-2</v>
      </c>
      <c r="F12" s="14" t="s">
        <v>125</v>
      </c>
      <c r="H12" s="37"/>
      <c r="I12" s="37"/>
      <c r="J12" s="44"/>
      <c r="K12" s="44"/>
    </row>
    <row r="13" spans="2:11" ht="80.25" customHeight="1" x14ac:dyDescent="0.25">
      <c r="B13" s="14" t="s">
        <v>126</v>
      </c>
      <c r="C13" s="38">
        <f>11836899/138990795</f>
        <v>8.5163186526129309E-2</v>
      </c>
      <c r="D13" s="38">
        <f>-27045974/179894309</f>
        <v>-0.15034368874893092</v>
      </c>
      <c r="E13" s="43">
        <f t="shared" si="0"/>
        <v>-0.23550687527506023</v>
      </c>
      <c r="F13" s="14" t="s">
        <v>127</v>
      </c>
      <c r="H13" s="44"/>
      <c r="I13" s="44"/>
      <c r="J13" s="44"/>
      <c r="K13" s="44"/>
    </row>
    <row r="14" spans="2:11" ht="48.75" customHeight="1" x14ac:dyDescent="0.25">
      <c r="B14" s="14" t="s">
        <v>128</v>
      </c>
      <c r="C14" s="43">
        <f>23145070/249034930</f>
        <v>9.2939050758863426E-2</v>
      </c>
      <c r="D14" s="43">
        <f>29443018/324992157</f>
        <v>9.0596087831128796E-2</v>
      </c>
      <c r="E14" s="43">
        <f t="shared" si="0"/>
        <v>-2.3429629277346292E-3</v>
      </c>
      <c r="F14" s="14" t="s">
        <v>129</v>
      </c>
      <c r="H14" s="48"/>
      <c r="I14" s="37"/>
      <c r="J14" s="37"/>
      <c r="K14" s="44"/>
    </row>
    <row r="15" spans="2:11" x14ac:dyDescent="0.25">
      <c r="H15" s="44"/>
      <c r="I15" s="44"/>
      <c r="J15" s="44"/>
      <c r="K15" s="44"/>
    </row>
    <row r="16" spans="2:11" ht="15.75" x14ac:dyDescent="0.25">
      <c r="B16" s="49" t="s">
        <v>35</v>
      </c>
      <c r="H16" s="125"/>
      <c r="I16" s="108"/>
      <c r="J16" s="44"/>
      <c r="K16" s="44"/>
    </row>
    <row r="17" spans="2:11" ht="15.75" customHeight="1" x14ac:dyDescent="0.25">
      <c r="B17" s="126" t="s">
        <v>130</v>
      </c>
      <c r="C17" s="108"/>
      <c r="D17" s="108"/>
      <c r="E17" s="108"/>
      <c r="F17" s="108"/>
      <c r="G17" s="108"/>
      <c r="H17" s="108"/>
      <c r="I17" s="108"/>
      <c r="J17" s="44"/>
      <c r="K17" s="44"/>
    </row>
    <row r="18" spans="2:11" x14ac:dyDescent="0.25">
      <c r="B18" s="108"/>
      <c r="C18" s="108"/>
      <c r="D18" s="108"/>
      <c r="E18" s="108"/>
      <c r="F18" s="108"/>
      <c r="G18" s="108"/>
      <c r="H18" s="108"/>
      <c r="I18" s="108"/>
      <c r="J18" s="44"/>
      <c r="K18" s="44"/>
    </row>
    <row r="19" spans="2:11" ht="15" customHeight="1" x14ac:dyDescent="0.25">
      <c r="B19" s="108"/>
      <c r="C19" s="108"/>
      <c r="D19" s="108"/>
      <c r="E19" s="108"/>
      <c r="F19" s="108"/>
      <c r="G19" s="108"/>
      <c r="H19" s="108"/>
      <c r="I19" s="108"/>
    </row>
    <row r="20" spans="2:11" ht="15" customHeight="1" x14ac:dyDescent="0.25">
      <c r="B20" s="108"/>
      <c r="C20" s="108"/>
      <c r="D20" s="108"/>
      <c r="E20" s="108"/>
      <c r="F20" s="108"/>
      <c r="G20" s="108"/>
      <c r="H20" s="108"/>
      <c r="I20" s="108"/>
    </row>
    <row r="21" spans="2:11" ht="15.75" customHeight="1" x14ac:dyDescent="0.25">
      <c r="B21" s="108"/>
      <c r="C21" s="108"/>
      <c r="D21" s="108"/>
      <c r="E21" s="108"/>
      <c r="F21" s="108"/>
      <c r="G21" s="108"/>
      <c r="H21" s="108"/>
      <c r="I21" s="108"/>
    </row>
    <row r="22" spans="2:11" ht="15.75" customHeight="1" x14ac:dyDescent="0.25">
      <c r="B22" s="108"/>
      <c r="C22" s="108"/>
      <c r="D22" s="108"/>
      <c r="E22" s="108"/>
      <c r="F22" s="108"/>
      <c r="G22" s="108"/>
      <c r="H22" s="108"/>
      <c r="I22" s="108"/>
    </row>
    <row r="23" spans="2:11" ht="15.75" customHeight="1" x14ac:dyDescent="0.25">
      <c r="B23" s="108"/>
      <c r="C23" s="108"/>
      <c r="D23" s="108"/>
      <c r="E23" s="108"/>
      <c r="F23" s="108"/>
      <c r="G23" s="108"/>
      <c r="H23" s="108"/>
      <c r="I23" s="108"/>
    </row>
    <row r="24" spans="2:11" ht="15.75" customHeight="1" x14ac:dyDescent="0.25">
      <c r="B24" s="108"/>
      <c r="C24" s="108"/>
      <c r="D24" s="108"/>
      <c r="E24" s="108"/>
      <c r="F24" s="108"/>
      <c r="G24" s="108"/>
      <c r="H24" s="108"/>
      <c r="I24" s="108"/>
    </row>
    <row r="25" spans="2:11" ht="15.75" customHeight="1" x14ac:dyDescent="0.25">
      <c r="B25" s="108"/>
      <c r="C25" s="108"/>
      <c r="D25" s="108"/>
      <c r="E25" s="108"/>
      <c r="F25" s="108"/>
      <c r="G25" s="108"/>
      <c r="H25" s="108"/>
      <c r="I25" s="108"/>
    </row>
    <row r="26" spans="2:11" ht="15.75" customHeight="1" x14ac:dyDescent="0.25">
      <c r="B26" s="108"/>
      <c r="C26" s="108"/>
      <c r="D26" s="108"/>
      <c r="E26" s="108"/>
      <c r="F26" s="108"/>
      <c r="G26" s="108"/>
      <c r="H26" s="108"/>
      <c r="I26" s="108"/>
    </row>
    <row r="27" spans="2:11" ht="15.75" customHeight="1" x14ac:dyDescent="0.25">
      <c r="B27" s="108"/>
      <c r="C27" s="108"/>
      <c r="D27" s="108"/>
      <c r="E27" s="108"/>
      <c r="F27" s="108"/>
      <c r="G27" s="108"/>
      <c r="H27" s="108"/>
      <c r="I27" s="108"/>
    </row>
    <row r="28" spans="2:11" ht="15.75" customHeight="1" x14ac:dyDescent="0.25">
      <c r="B28" s="108"/>
      <c r="C28" s="108"/>
      <c r="D28" s="108"/>
      <c r="E28" s="108"/>
      <c r="F28" s="108"/>
      <c r="G28" s="108"/>
      <c r="H28" s="108"/>
      <c r="I28" s="108"/>
    </row>
    <row r="29" spans="2:11" ht="15.75" customHeight="1" x14ac:dyDescent="0.25">
      <c r="B29" s="108"/>
      <c r="C29" s="108"/>
      <c r="D29" s="108"/>
      <c r="E29" s="108"/>
      <c r="F29" s="108"/>
      <c r="G29" s="108"/>
      <c r="H29" s="108"/>
      <c r="I29" s="108"/>
    </row>
    <row r="30" spans="2:11" ht="15.75" customHeight="1" x14ac:dyDescent="0.25">
      <c r="B30" s="108"/>
      <c r="C30" s="108"/>
      <c r="D30" s="108"/>
      <c r="E30" s="108"/>
      <c r="F30" s="108"/>
      <c r="G30" s="108"/>
      <c r="H30" s="108"/>
      <c r="I30" s="108"/>
    </row>
    <row r="31" spans="2:11" ht="15.75" customHeight="1" x14ac:dyDescent="0.25">
      <c r="B31" s="108"/>
      <c r="C31" s="108"/>
      <c r="D31" s="108"/>
      <c r="E31" s="108"/>
      <c r="F31" s="108"/>
      <c r="G31" s="108"/>
      <c r="H31" s="108"/>
      <c r="I31" s="108"/>
    </row>
    <row r="32" spans="2:11" ht="15.75" customHeight="1" x14ac:dyDescent="0.25">
      <c r="B32" s="108"/>
      <c r="C32" s="108"/>
      <c r="D32" s="108"/>
      <c r="E32" s="108"/>
      <c r="F32" s="108"/>
      <c r="G32" s="108"/>
      <c r="H32" s="108"/>
      <c r="I32" s="108"/>
    </row>
    <row r="33" spans="2:9" ht="15.75" customHeight="1" x14ac:dyDescent="0.25">
      <c r="B33" s="108"/>
      <c r="C33" s="108"/>
      <c r="D33" s="108"/>
      <c r="E33" s="108"/>
      <c r="F33" s="108"/>
      <c r="G33" s="108"/>
      <c r="H33" s="108"/>
      <c r="I33" s="108"/>
    </row>
    <row r="34" spans="2:9" ht="15.75" customHeight="1" x14ac:dyDescent="0.25">
      <c r="B34" s="108"/>
      <c r="C34" s="108"/>
      <c r="D34" s="108"/>
      <c r="E34" s="108"/>
      <c r="F34" s="108"/>
      <c r="G34" s="108"/>
      <c r="H34" s="108"/>
      <c r="I34" s="108"/>
    </row>
    <row r="35" spans="2:9" ht="15.75" customHeight="1" x14ac:dyDescent="0.25">
      <c r="B35" s="108"/>
      <c r="C35" s="108"/>
      <c r="D35" s="108"/>
      <c r="E35" s="108"/>
      <c r="F35" s="108"/>
      <c r="G35" s="108"/>
      <c r="H35" s="108"/>
      <c r="I35" s="108"/>
    </row>
    <row r="36" spans="2:9" ht="15.75" customHeight="1" x14ac:dyDescent="0.25">
      <c r="B36" s="108"/>
      <c r="C36" s="108"/>
      <c r="D36" s="108"/>
      <c r="E36" s="108"/>
      <c r="F36" s="108"/>
      <c r="G36" s="108"/>
      <c r="H36" s="108"/>
      <c r="I36" s="108"/>
    </row>
    <row r="37" spans="2:9" ht="15.75" customHeight="1" x14ac:dyDescent="0.25">
      <c r="B37" s="108"/>
      <c r="C37" s="108"/>
      <c r="D37" s="108"/>
      <c r="E37" s="108"/>
      <c r="F37" s="108"/>
      <c r="G37" s="108"/>
      <c r="H37" s="108"/>
      <c r="I37" s="108"/>
    </row>
    <row r="38" spans="2:9" ht="15.75" customHeight="1" x14ac:dyDescent="0.25">
      <c r="B38" s="108"/>
      <c r="C38" s="108"/>
      <c r="D38" s="108"/>
      <c r="E38" s="108"/>
      <c r="F38" s="108"/>
      <c r="G38" s="108"/>
      <c r="H38" s="108"/>
      <c r="I38" s="108"/>
    </row>
    <row r="39" spans="2:9" ht="15.75" customHeight="1" x14ac:dyDescent="0.25">
      <c r="B39" s="108"/>
      <c r="C39" s="108"/>
      <c r="D39" s="108"/>
      <c r="E39" s="108"/>
      <c r="F39" s="108"/>
      <c r="G39" s="108"/>
      <c r="H39" s="108"/>
      <c r="I39" s="108"/>
    </row>
    <row r="40" spans="2:9" ht="15.75" customHeight="1" x14ac:dyDescent="0.25">
      <c r="B40" s="108"/>
      <c r="C40" s="108"/>
      <c r="D40" s="108"/>
      <c r="E40" s="108"/>
      <c r="F40" s="108"/>
      <c r="G40" s="108"/>
      <c r="H40" s="108"/>
      <c r="I40" s="108"/>
    </row>
    <row r="41" spans="2:9" ht="15.75" customHeight="1" x14ac:dyDescent="0.25">
      <c r="B41" s="108"/>
      <c r="C41" s="108"/>
      <c r="D41" s="108"/>
      <c r="E41" s="108"/>
      <c r="F41" s="108"/>
      <c r="G41" s="108"/>
      <c r="H41" s="108"/>
      <c r="I41" s="108"/>
    </row>
    <row r="42" spans="2:9" ht="15.75" customHeight="1" x14ac:dyDescent="0.25">
      <c r="B42" s="108"/>
      <c r="C42" s="108"/>
      <c r="D42" s="108"/>
      <c r="E42" s="108"/>
      <c r="F42" s="108"/>
      <c r="G42" s="108"/>
      <c r="H42" s="108"/>
      <c r="I42" s="108"/>
    </row>
    <row r="43" spans="2:9" ht="15.75" customHeight="1" x14ac:dyDescent="0.25">
      <c r="B43" s="108"/>
      <c r="C43" s="108"/>
      <c r="D43" s="108"/>
      <c r="E43" s="108"/>
      <c r="F43" s="108"/>
      <c r="G43" s="108"/>
      <c r="H43" s="108"/>
      <c r="I43" s="108"/>
    </row>
    <row r="44" spans="2:9" ht="15.75" customHeight="1" x14ac:dyDescent="0.25">
      <c r="B44" s="108"/>
      <c r="C44" s="108"/>
      <c r="D44" s="108"/>
      <c r="E44" s="108"/>
      <c r="F44" s="108"/>
      <c r="G44" s="108"/>
      <c r="H44" s="108"/>
      <c r="I44" s="108"/>
    </row>
    <row r="45" spans="2:9" ht="15.75" customHeight="1" x14ac:dyDescent="0.25">
      <c r="B45" s="108"/>
      <c r="C45" s="108"/>
      <c r="D45" s="108"/>
      <c r="E45" s="108"/>
      <c r="F45" s="108"/>
      <c r="G45" s="108"/>
      <c r="H45" s="108"/>
      <c r="I45" s="108"/>
    </row>
    <row r="46" spans="2:9" ht="15.75" customHeight="1" x14ac:dyDescent="0.25">
      <c r="B46" s="108"/>
      <c r="C46" s="108"/>
      <c r="D46" s="108"/>
      <c r="E46" s="108"/>
      <c r="F46" s="108"/>
      <c r="G46" s="108"/>
      <c r="H46" s="108"/>
      <c r="I46" s="108"/>
    </row>
    <row r="47" spans="2:9" ht="15.75" customHeight="1" x14ac:dyDescent="0.25">
      <c r="B47" s="108"/>
      <c r="C47" s="108"/>
      <c r="D47" s="108"/>
      <c r="E47" s="108"/>
      <c r="F47" s="108"/>
      <c r="G47" s="108"/>
      <c r="H47" s="108"/>
      <c r="I47" s="108"/>
    </row>
    <row r="48" spans="2:9" ht="15.75" customHeight="1" x14ac:dyDescent="0.25">
      <c r="B48" s="108"/>
      <c r="C48" s="108"/>
      <c r="D48" s="108"/>
      <c r="E48" s="108"/>
      <c r="F48" s="108"/>
      <c r="G48" s="108"/>
      <c r="H48" s="108"/>
      <c r="I48" s="108"/>
    </row>
    <row r="49" spans="2:9" ht="15.75" customHeight="1" x14ac:dyDescent="0.25">
      <c r="B49" s="108"/>
      <c r="C49" s="108"/>
      <c r="D49" s="108"/>
      <c r="E49" s="108"/>
      <c r="F49" s="108"/>
      <c r="G49" s="108"/>
      <c r="H49" s="108"/>
      <c r="I49" s="108"/>
    </row>
    <row r="50" spans="2:9" ht="15.75" customHeight="1" x14ac:dyDescent="0.25">
      <c r="B50" s="108"/>
      <c r="C50" s="108"/>
      <c r="D50" s="108"/>
      <c r="E50" s="108"/>
      <c r="F50" s="108"/>
      <c r="G50" s="108"/>
      <c r="H50" s="108"/>
      <c r="I50" s="108"/>
    </row>
    <row r="51" spans="2:9" ht="15.75" customHeight="1" x14ac:dyDescent="0.25">
      <c r="B51" s="108"/>
      <c r="C51" s="108"/>
      <c r="D51" s="108"/>
      <c r="E51" s="108"/>
      <c r="F51" s="108"/>
      <c r="G51" s="108"/>
      <c r="H51" s="108"/>
      <c r="I51" s="108"/>
    </row>
    <row r="52" spans="2:9" ht="15.75" customHeight="1" x14ac:dyDescent="0.25">
      <c r="B52" s="108"/>
      <c r="C52" s="108"/>
      <c r="D52" s="108"/>
      <c r="E52" s="108"/>
      <c r="F52" s="108"/>
      <c r="G52" s="108"/>
      <c r="H52" s="108"/>
      <c r="I52" s="108"/>
    </row>
    <row r="53" spans="2:9" ht="15.75" customHeight="1" x14ac:dyDescent="0.25">
      <c r="B53" s="108"/>
      <c r="C53" s="108"/>
      <c r="D53" s="108"/>
      <c r="E53" s="108"/>
      <c r="F53" s="108"/>
      <c r="G53" s="108"/>
      <c r="H53" s="108"/>
      <c r="I53" s="108"/>
    </row>
    <row r="54" spans="2:9" ht="15.75" customHeight="1" x14ac:dyDescent="0.25">
      <c r="B54" s="108"/>
      <c r="C54" s="108"/>
      <c r="D54" s="108"/>
      <c r="E54" s="108"/>
      <c r="F54" s="108"/>
      <c r="G54" s="108"/>
      <c r="H54" s="108"/>
      <c r="I54" s="108"/>
    </row>
    <row r="55" spans="2:9" ht="15.75" customHeight="1" x14ac:dyDescent="0.25">
      <c r="B55" s="108"/>
      <c r="C55" s="108"/>
      <c r="D55" s="108"/>
      <c r="E55" s="108"/>
      <c r="F55" s="108"/>
      <c r="G55" s="108"/>
      <c r="H55" s="108"/>
      <c r="I55" s="108"/>
    </row>
    <row r="56" spans="2:9" ht="15.75" customHeight="1" x14ac:dyDescent="0.25">
      <c r="B56" s="108"/>
      <c r="C56" s="108"/>
      <c r="D56" s="108"/>
      <c r="E56" s="108"/>
      <c r="F56" s="108"/>
      <c r="G56" s="108"/>
      <c r="H56" s="108"/>
      <c r="I56" s="108"/>
    </row>
    <row r="57" spans="2:9" ht="15.75" customHeight="1" x14ac:dyDescent="0.25">
      <c r="B57" s="108"/>
      <c r="C57" s="108"/>
      <c r="D57" s="108"/>
      <c r="E57" s="108"/>
      <c r="F57" s="108"/>
      <c r="G57" s="108"/>
      <c r="H57" s="108"/>
      <c r="I57" s="108"/>
    </row>
    <row r="58" spans="2:9" ht="15.75" customHeight="1" x14ac:dyDescent="0.25">
      <c r="B58" s="108"/>
      <c r="C58" s="108"/>
      <c r="D58" s="108"/>
      <c r="E58" s="108"/>
      <c r="F58" s="108"/>
      <c r="G58" s="108"/>
      <c r="H58" s="108"/>
      <c r="I58" s="108"/>
    </row>
    <row r="59" spans="2:9" ht="15.75" customHeight="1" x14ac:dyDescent="0.25">
      <c r="B59" s="108"/>
      <c r="C59" s="108"/>
      <c r="D59" s="108"/>
      <c r="E59" s="108"/>
      <c r="F59" s="108"/>
      <c r="G59" s="108"/>
      <c r="H59" s="108"/>
      <c r="I59" s="108"/>
    </row>
    <row r="60" spans="2:9" ht="15.75" customHeight="1" x14ac:dyDescent="0.25">
      <c r="B60" s="108"/>
      <c r="C60" s="108"/>
      <c r="D60" s="108"/>
      <c r="E60" s="108"/>
      <c r="F60" s="108"/>
      <c r="G60" s="108"/>
      <c r="H60" s="108"/>
      <c r="I60" s="108"/>
    </row>
    <row r="61" spans="2:9" ht="15.75" customHeight="1" x14ac:dyDescent="0.25">
      <c r="B61" s="108"/>
      <c r="C61" s="108"/>
      <c r="D61" s="108"/>
      <c r="E61" s="108"/>
      <c r="F61" s="108"/>
      <c r="G61" s="108"/>
      <c r="H61" s="108"/>
      <c r="I61" s="108"/>
    </row>
    <row r="62" spans="2:9" ht="15.75" customHeight="1" x14ac:dyDescent="0.25"/>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H16:I16"/>
    <mergeCell ref="B17:I61"/>
    <mergeCell ref="B1:F1"/>
    <mergeCell ref="B2:B3"/>
    <mergeCell ref="C2:D2"/>
    <mergeCell ref="E2:E3"/>
    <mergeCell ref="F2:F3"/>
    <mergeCell ref="H7:H8"/>
    <mergeCell ref="I7:I8"/>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101"/>
  <sheetViews>
    <sheetView showGridLines="0" workbookViewId="0">
      <selection activeCell="I17" sqref="I17"/>
    </sheetView>
  </sheetViews>
  <sheetFormatPr defaultRowHeight="15" x14ac:dyDescent="0.25"/>
  <cols>
    <col min="1" max="1" width="9.140625" style="50"/>
    <col min="2" max="2" width="30.28515625" style="50" customWidth="1"/>
    <col min="3" max="3" width="16.42578125" style="50" customWidth="1"/>
    <col min="4" max="4" width="14.28515625" style="50" customWidth="1"/>
    <col min="5" max="5" width="15" style="50" customWidth="1"/>
    <col min="6" max="8" width="9.140625" style="50"/>
    <col min="9" max="10" width="16.5703125" style="50" bestFit="1" customWidth="1"/>
    <col min="11" max="16384" width="9.140625" style="50"/>
  </cols>
  <sheetData>
    <row r="1" spans="2:10" x14ac:dyDescent="0.25">
      <c r="B1" s="131" t="s">
        <v>204</v>
      </c>
      <c r="C1" s="131"/>
      <c r="D1" s="131"/>
      <c r="E1" s="131"/>
    </row>
    <row r="3" spans="2:10" ht="33.75" customHeight="1" x14ac:dyDescent="0.25">
      <c r="B3" s="56" t="s">
        <v>38</v>
      </c>
      <c r="C3" s="56" t="s">
        <v>39</v>
      </c>
      <c r="D3" s="56" t="s">
        <v>40</v>
      </c>
      <c r="E3" s="56" t="s">
        <v>169</v>
      </c>
    </row>
    <row r="4" spans="2:10" ht="15.75" x14ac:dyDescent="0.25">
      <c r="B4" s="86" t="s">
        <v>203</v>
      </c>
      <c r="C4" s="90">
        <f>83395034/269030134</f>
        <v>0.30998398863377885</v>
      </c>
      <c r="D4" s="90">
        <f>8317087/192278595</f>
        <v>4.3255397201128913E-2</v>
      </c>
      <c r="E4" s="91">
        <f>D4-C4</f>
        <v>-0.26672859143264993</v>
      </c>
    </row>
    <row r="5" spans="2:10" ht="15.75" x14ac:dyDescent="0.25">
      <c r="B5" s="86" t="s">
        <v>200</v>
      </c>
      <c r="C5" s="38">
        <f>269030134/661114285</f>
        <v>0.40693438351585459</v>
      </c>
      <c r="D5" s="38">
        <f>192278595/712291929</f>
        <v>0.26994352620272355</v>
      </c>
      <c r="E5" s="87">
        <f>D5-C5</f>
        <v>-0.13699085731313104</v>
      </c>
    </row>
    <row r="6" spans="2:10" ht="15.75" x14ac:dyDescent="0.25">
      <c r="B6" s="86" t="s">
        <v>201</v>
      </c>
      <c r="C6" s="38">
        <f>249034930/412079355</f>
        <v>0.60433731265183133</v>
      </c>
      <c r="D6" s="38">
        <f>324992157/387299772</f>
        <v>0.83912302690433804</v>
      </c>
      <c r="E6" s="87">
        <f t="shared" ref="E6:E7" si="0">D6-C6</f>
        <v>0.23478571425250672</v>
      </c>
    </row>
    <row r="7" spans="2:10" ht="15.75" x14ac:dyDescent="0.25">
      <c r="B7" s="86" t="s">
        <v>202</v>
      </c>
      <c r="C7" s="90">
        <f>C4*C5*C6</f>
        <v>7.6233008240123107E-2</v>
      </c>
      <c r="D7" s="90">
        <f>D4*D5*D6</f>
        <v>9.7980321471068076E-3</v>
      </c>
      <c r="E7" s="91">
        <f t="shared" si="0"/>
        <v>-6.6434976093016296E-2</v>
      </c>
    </row>
    <row r="8" spans="2:10" ht="15.75" x14ac:dyDescent="0.25">
      <c r="B8" s="88"/>
      <c r="C8" s="88"/>
      <c r="D8" s="88"/>
      <c r="E8" s="88"/>
      <c r="I8" s="60"/>
      <c r="J8" s="60"/>
    </row>
    <row r="9" spans="2:10" ht="15.75" x14ac:dyDescent="0.25">
      <c r="B9" s="129" t="s">
        <v>35</v>
      </c>
      <c r="C9" s="129"/>
      <c r="D9" s="129"/>
      <c r="E9" s="129"/>
    </row>
    <row r="10" spans="2:10" ht="15.75" x14ac:dyDescent="0.25">
      <c r="B10" s="130" t="s">
        <v>205</v>
      </c>
      <c r="C10" s="130"/>
      <c r="D10" s="130"/>
      <c r="E10" s="130"/>
      <c r="I10" s="37"/>
      <c r="J10" s="37"/>
    </row>
    <row r="11" spans="2:10" x14ac:dyDescent="0.25">
      <c r="B11" s="130"/>
      <c r="C11" s="130"/>
      <c r="D11" s="130"/>
      <c r="E11" s="130"/>
    </row>
    <row r="12" spans="2:10" x14ac:dyDescent="0.25">
      <c r="B12" s="130"/>
      <c r="C12" s="130"/>
      <c r="D12" s="130"/>
      <c r="E12" s="130"/>
    </row>
    <row r="13" spans="2:10" x14ac:dyDescent="0.25">
      <c r="B13" s="130"/>
      <c r="C13" s="130"/>
      <c r="D13" s="130"/>
      <c r="E13" s="130"/>
    </row>
    <row r="14" spans="2:10" ht="15.75" x14ac:dyDescent="0.25">
      <c r="B14" s="130"/>
      <c r="C14" s="130"/>
      <c r="D14" s="130"/>
      <c r="E14" s="130"/>
      <c r="I14" s="37"/>
      <c r="J14" s="37"/>
    </row>
    <row r="15" spans="2:10" ht="15.75" x14ac:dyDescent="0.25">
      <c r="B15" s="130"/>
      <c r="C15" s="130"/>
      <c r="D15" s="130"/>
      <c r="E15" s="130"/>
      <c r="I15" s="89"/>
      <c r="J15" s="89"/>
    </row>
    <row r="16" spans="2:10" x14ac:dyDescent="0.25">
      <c r="B16" s="130"/>
      <c r="C16" s="130"/>
      <c r="D16" s="130"/>
      <c r="E16" s="130"/>
    </row>
    <row r="17" spans="2:10" x14ac:dyDescent="0.25">
      <c r="B17" s="130"/>
      <c r="C17" s="130"/>
      <c r="D17" s="130"/>
      <c r="E17" s="130"/>
    </row>
    <row r="18" spans="2:10" x14ac:dyDescent="0.25">
      <c r="B18" s="130"/>
      <c r="C18" s="130"/>
      <c r="D18" s="130"/>
      <c r="E18" s="130"/>
    </row>
    <row r="19" spans="2:10" ht="15.75" x14ac:dyDescent="0.25">
      <c r="B19" s="130"/>
      <c r="C19" s="130"/>
      <c r="D19" s="130"/>
      <c r="E19" s="130"/>
      <c r="I19" s="89"/>
      <c r="J19" s="89"/>
    </row>
    <row r="20" spans="2:10" x14ac:dyDescent="0.25">
      <c r="B20" s="130"/>
      <c r="C20" s="130"/>
      <c r="D20" s="130"/>
      <c r="E20" s="130"/>
    </row>
    <row r="21" spans="2:10" x14ac:dyDescent="0.25">
      <c r="B21" s="130"/>
      <c r="C21" s="130"/>
      <c r="D21" s="130"/>
      <c r="E21" s="130"/>
    </row>
    <row r="22" spans="2:10" x14ac:dyDescent="0.25">
      <c r="B22" s="130"/>
      <c r="C22" s="130"/>
      <c r="D22" s="130"/>
      <c r="E22" s="130"/>
    </row>
    <row r="23" spans="2:10" x14ac:dyDescent="0.25">
      <c r="B23" s="130"/>
      <c r="C23" s="130"/>
      <c r="D23" s="130"/>
      <c r="E23" s="130"/>
    </row>
    <row r="24" spans="2:10" x14ac:dyDescent="0.25">
      <c r="B24" s="130"/>
      <c r="C24" s="130"/>
      <c r="D24" s="130"/>
      <c r="E24" s="130"/>
    </row>
    <row r="25" spans="2:10" x14ac:dyDescent="0.25">
      <c r="B25" s="130"/>
      <c r="C25" s="130"/>
      <c r="D25" s="130"/>
      <c r="E25" s="130"/>
    </row>
    <row r="26" spans="2:10" x14ac:dyDescent="0.25">
      <c r="B26" s="130"/>
      <c r="C26" s="130"/>
      <c r="D26" s="130"/>
      <c r="E26" s="130"/>
    </row>
    <row r="27" spans="2:10" x14ac:dyDescent="0.25">
      <c r="B27" s="130"/>
      <c r="C27" s="130"/>
      <c r="D27" s="130"/>
      <c r="E27" s="130"/>
    </row>
    <row r="28" spans="2:10" x14ac:dyDescent="0.25">
      <c r="B28" s="130"/>
      <c r="C28" s="130"/>
      <c r="D28" s="130"/>
      <c r="E28" s="130"/>
    </row>
    <row r="29" spans="2:10" x14ac:dyDescent="0.25">
      <c r="B29" s="130"/>
      <c r="C29" s="130"/>
      <c r="D29" s="130"/>
      <c r="E29" s="130"/>
    </row>
    <row r="30" spans="2:10" x14ac:dyDescent="0.25">
      <c r="B30" s="130"/>
      <c r="C30" s="130"/>
      <c r="D30" s="130"/>
      <c r="E30" s="130"/>
    </row>
    <row r="31" spans="2:10" x14ac:dyDescent="0.25">
      <c r="B31" s="130"/>
      <c r="C31" s="130"/>
      <c r="D31" s="130"/>
      <c r="E31" s="130"/>
    </row>
    <row r="32" spans="2:10" x14ac:dyDescent="0.25">
      <c r="B32" s="130"/>
      <c r="C32" s="130"/>
      <c r="D32" s="130"/>
      <c r="E32" s="130"/>
    </row>
    <row r="33" spans="2:5" x14ac:dyDescent="0.25">
      <c r="B33" s="130"/>
      <c r="C33" s="130"/>
      <c r="D33" s="130"/>
      <c r="E33" s="130"/>
    </row>
    <row r="34" spans="2:5" x14ac:dyDescent="0.25">
      <c r="B34" s="130"/>
      <c r="C34" s="130"/>
      <c r="D34" s="130"/>
      <c r="E34" s="130"/>
    </row>
    <row r="35" spans="2:5" x14ac:dyDescent="0.25">
      <c r="B35" s="130"/>
      <c r="C35" s="130"/>
      <c r="D35" s="130"/>
      <c r="E35" s="130"/>
    </row>
    <row r="36" spans="2:5" x14ac:dyDescent="0.25">
      <c r="B36" s="130"/>
      <c r="C36" s="130"/>
      <c r="D36" s="130"/>
      <c r="E36" s="130"/>
    </row>
    <row r="37" spans="2:5" x14ac:dyDescent="0.25">
      <c r="B37" s="130"/>
      <c r="C37" s="130"/>
      <c r="D37" s="130"/>
      <c r="E37" s="130"/>
    </row>
    <row r="38" spans="2:5" x14ac:dyDescent="0.25">
      <c r="B38" s="130"/>
      <c r="C38" s="130"/>
      <c r="D38" s="130"/>
      <c r="E38" s="130"/>
    </row>
    <row r="39" spans="2:5" x14ac:dyDescent="0.25">
      <c r="B39" s="130"/>
      <c r="C39" s="130"/>
      <c r="D39" s="130"/>
      <c r="E39" s="130"/>
    </row>
    <row r="40" spans="2:5" x14ac:dyDescent="0.25">
      <c r="B40" s="130"/>
      <c r="C40" s="130"/>
      <c r="D40" s="130"/>
      <c r="E40" s="130"/>
    </row>
    <row r="41" spans="2:5" x14ac:dyDescent="0.25">
      <c r="B41" s="130"/>
      <c r="C41" s="130"/>
      <c r="D41" s="130"/>
      <c r="E41" s="130"/>
    </row>
    <row r="42" spans="2:5" x14ac:dyDescent="0.25">
      <c r="B42" s="130"/>
      <c r="C42" s="130"/>
      <c r="D42" s="130"/>
      <c r="E42" s="130"/>
    </row>
    <row r="43" spans="2:5" x14ac:dyDescent="0.25">
      <c r="B43" s="130"/>
      <c r="C43" s="130"/>
      <c r="D43" s="130"/>
      <c r="E43" s="130"/>
    </row>
    <row r="44" spans="2:5" x14ac:dyDescent="0.25">
      <c r="B44" s="130"/>
      <c r="C44" s="130"/>
      <c r="D44" s="130"/>
      <c r="E44" s="130"/>
    </row>
    <row r="45" spans="2:5" x14ac:dyDescent="0.25">
      <c r="B45" s="130"/>
      <c r="C45" s="130"/>
      <c r="D45" s="130"/>
      <c r="E45" s="130"/>
    </row>
    <row r="46" spans="2:5" x14ac:dyDescent="0.25">
      <c r="B46" s="130"/>
      <c r="C46" s="130"/>
      <c r="D46" s="130"/>
      <c r="E46" s="130"/>
    </row>
    <row r="47" spans="2:5" x14ac:dyDescent="0.25">
      <c r="B47" s="130"/>
      <c r="C47" s="130"/>
      <c r="D47" s="130"/>
      <c r="E47" s="130"/>
    </row>
    <row r="48" spans="2:5" x14ac:dyDescent="0.25">
      <c r="B48" s="130"/>
      <c r="C48" s="130"/>
      <c r="D48" s="130"/>
      <c r="E48" s="130"/>
    </row>
    <row r="49" spans="2:5" x14ac:dyDescent="0.25">
      <c r="B49" s="130"/>
      <c r="C49" s="130"/>
      <c r="D49" s="130"/>
      <c r="E49" s="130"/>
    </row>
    <row r="50" spans="2:5" x14ac:dyDescent="0.25">
      <c r="B50" s="130"/>
      <c r="C50" s="130"/>
      <c r="D50" s="130"/>
      <c r="E50" s="130"/>
    </row>
    <row r="51" spans="2:5" x14ac:dyDescent="0.25">
      <c r="B51" s="130"/>
      <c r="C51" s="130"/>
      <c r="D51" s="130"/>
      <c r="E51" s="130"/>
    </row>
    <row r="52" spans="2:5" x14ac:dyDescent="0.25">
      <c r="B52" s="130"/>
      <c r="C52" s="130"/>
      <c r="D52" s="130"/>
      <c r="E52" s="130"/>
    </row>
    <row r="53" spans="2:5" x14ac:dyDescent="0.25">
      <c r="B53" s="130"/>
      <c r="C53" s="130"/>
      <c r="D53" s="130"/>
      <c r="E53" s="130"/>
    </row>
    <row r="54" spans="2:5" x14ac:dyDescent="0.25">
      <c r="B54" s="130"/>
      <c r="C54" s="130"/>
      <c r="D54" s="130"/>
      <c r="E54" s="130"/>
    </row>
    <row r="55" spans="2:5" x14ac:dyDescent="0.25">
      <c r="B55" s="130"/>
      <c r="C55" s="130"/>
      <c r="D55" s="130"/>
      <c r="E55" s="130"/>
    </row>
    <row r="56" spans="2:5" x14ac:dyDescent="0.25">
      <c r="B56" s="130"/>
      <c r="C56" s="130"/>
      <c r="D56" s="130"/>
      <c r="E56" s="130"/>
    </row>
    <row r="57" spans="2:5" x14ac:dyDescent="0.25">
      <c r="B57" s="130"/>
      <c r="C57" s="130"/>
      <c r="D57" s="130"/>
      <c r="E57" s="130"/>
    </row>
    <row r="58" spans="2:5" x14ac:dyDescent="0.25">
      <c r="B58" s="130"/>
      <c r="C58" s="130"/>
      <c r="D58" s="130"/>
      <c r="E58" s="130"/>
    </row>
    <row r="59" spans="2:5" x14ac:dyDescent="0.25">
      <c r="B59" s="130"/>
      <c r="C59" s="130"/>
      <c r="D59" s="130"/>
      <c r="E59" s="130"/>
    </row>
    <row r="60" spans="2:5" x14ac:dyDescent="0.25">
      <c r="B60" s="130"/>
      <c r="C60" s="130"/>
      <c r="D60" s="130"/>
      <c r="E60" s="130"/>
    </row>
    <row r="61" spans="2:5" x14ac:dyDescent="0.25">
      <c r="B61" s="130"/>
      <c r="C61" s="130"/>
      <c r="D61" s="130"/>
      <c r="E61" s="130"/>
    </row>
    <row r="62" spans="2:5" x14ac:dyDescent="0.25">
      <c r="B62" s="130"/>
      <c r="C62" s="130"/>
      <c r="D62" s="130"/>
      <c r="E62" s="130"/>
    </row>
    <row r="63" spans="2:5" x14ac:dyDescent="0.25">
      <c r="B63" s="130"/>
      <c r="C63" s="130"/>
      <c r="D63" s="130"/>
      <c r="E63" s="130"/>
    </row>
    <row r="64" spans="2:5" x14ac:dyDescent="0.25">
      <c r="B64" s="130"/>
      <c r="C64" s="130"/>
      <c r="D64" s="130"/>
      <c r="E64" s="130"/>
    </row>
    <row r="65" spans="2:5" x14ac:dyDescent="0.25">
      <c r="B65" s="130"/>
      <c r="C65" s="130"/>
      <c r="D65" s="130"/>
      <c r="E65" s="130"/>
    </row>
    <row r="66" spans="2:5" x14ac:dyDescent="0.25">
      <c r="B66" s="130"/>
      <c r="C66" s="130"/>
      <c r="D66" s="130"/>
      <c r="E66" s="130"/>
    </row>
    <row r="67" spans="2:5" x14ac:dyDescent="0.25">
      <c r="B67" s="130"/>
      <c r="C67" s="130"/>
      <c r="D67" s="130"/>
      <c r="E67" s="130"/>
    </row>
    <row r="68" spans="2:5" x14ac:dyDescent="0.25">
      <c r="B68" s="130"/>
      <c r="C68" s="130"/>
      <c r="D68" s="130"/>
      <c r="E68" s="130"/>
    </row>
    <row r="69" spans="2:5" x14ac:dyDescent="0.25">
      <c r="B69" s="130"/>
      <c r="C69" s="130"/>
      <c r="D69" s="130"/>
      <c r="E69" s="130"/>
    </row>
    <row r="70" spans="2:5" x14ac:dyDescent="0.25">
      <c r="B70" s="130"/>
      <c r="C70" s="130"/>
      <c r="D70" s="130"/>
      <c r="E70" s="130"/>
    </row>
    <row r="71" spans="2:5" x14ac:dyDescent="0.25">
      <c r="B71" s="130"/>
      <c r="C71" s="130"/>
      <c r="D71" s="130"/>
      <c r="E71" s="130"/>
    </row>
    <row r="72" spans="2:5" x14ac:dyDescent="0.25">
      <c r="B72" s="130"/>
      <c r="C72" s="130"/>
      <c r="D72" s="130"/>
      <c r="E72" s="130"/>
    </row>
    <row r="73" spans="2:5" x14ac:dyDescent="0.25">
      <c r="B73" s="130"/>
      <c r="C73" s="130"/>
      <c r="D73" s="130"/>
      <c r="E73" s="130"/>
    </row>
    <row r="74" spans="2:5" x14ac:dyDescent="0.25">
      <c r="B74" s="130"/>
      <c r="C74" s="130"/>
      <c r="D74" s="130"/>
      <c r="E74" s="130"/>
    </row>
    <row r="75" spans="2:5" x14ac:dyDescent="0.25">
      <c r="B75" s="130"/>
      <c r="C75" s="130"/>
      <c r="D75" s="130"/>
      <c r="E75" s="130"/>
    </row>
    <row r="76" spans="2:5" x14ac:dyDescent="0.25">
      <c r="B76" s="130"/>
      <c r="C76" s="130"/>
      <c r="D76" s="130"/>
      <c r="E76" s="130"/>
    </row>
    <row r="77" spans="2:5" x14ac:dyDescent="0.25">
      <c r="B77" s="130"/>
      <c r="C77" s="130"/>
      <c r="D77" s="130"/>
      <c r="E77" s="130"/>
    </row>
    <row r="78" spans="2:5" x14ac:dyDescent="0.25">
      <c r="B78" s="130"/>
      <c r="C78" s="130"/>
      <c r="D78" s="130"/>
      <c r="E78" s="130"/>
    </row>
    <row r="79" spans="2:5" x14ac:dyDescent="0.25">
      <c r="B79" s="130"/>
      <c r="C79" s="130"/>
      <c r="D79" s="130"/>
      <c r="E79" s="130"/>
    </row>
    <row r="80" spans="2:5" x14ac:dyDescent="0.25">
      <c r="B80" s="130"/>
      <c r="C80" s="130"/>
      <c r="D80" s="130"/>
      <c r="E80" s="130"/>
    </row>
    <row r="81" spans="2:5" x14ac:dyDescent="0.25">
      <c r="B81" s="130"/>
      <c r="C81" s="130"/>
      <c r="D81" s="130"/>
      <c r="E81" s="130"/>
    </row>
    <row r="82" spans="2:5" x14ac:dyDescent="0.25">
      <c r="B82" s="130"/>
      <c r="C82" s="130"/>
      <c r="D82" s="130"/>
      <c r="E82" s="130"/>
    </row>
    <row r="83" spans="2:5" x14ac:dyDescent="0.25">
      <c r="B83" s="130"/>
      <c r="C83" s="130"/>
      <c r="D83" s="130"/>
      <c r="E83" s="130"/>
    </row>
    <row r="84" spans="2:5" x14ac:dyDescent="0.25">
      <c r="B84" s="130"/>
      <c r="C84" s="130"/>
      <c r="D84" s="130"/>
      <c r="E84" s="130"/>
    </row>
    <row r="85" spans="2:5" x14ac:dyDescent="0.25">
      <c r="B85" s="130"/>
      <c r="C85" s="130"/>
      <c r="D85" s="130"/>
      <c r="E85" s="130"/>
    </row>
    <row r="86" spans="2:5" x14ac:dyDescent="0.25">
      <c r="B86" s="130"/>
      <c r="C86" s="130"/>
      <c r="D86" s="130"/>
      <c r="E86" s="130"/>
    </row>
    <row r="87" spans="2:5" x14ac:dyDescent="0.25">
      <c r="B87" s="130"/>
      <c r="C87" s="130"/>
      <c r="D87" s="130"/>
      <c r="E87" s="130"/>
    </row>
    <row r="88" spans="2:5" x14ac:dyDescent="0.25">
      <c r="B88" s="130"/>
      <c r="C88" s="130"/>
      <c r="D88" s="130"/>
      <c r="E88" s="130"/>
    </row>
    <row r="89" spans="2:5" x14ac:dyDescent="0.25">
      <c r="B89" s="130"/>
      <c r="C89" s="130"/>
      <c r="D89" s="130"/>
      <c r="E89" s="130"/>
    </row>
    <row r="90" spans="2:5" x14ac:dyDescent="0.25">
      <c r="B90" s="130"/>
      <c r="C90" s="130"/>
      <c r="D90" s="130"/>
      <c r="E90" s="130"/>
    </row>
    <row r="91" spans="2:5" x14ac:dyDescent="0.25">
      <c r="B91" s="130"/>
      <c r="C91" s="130"/>
      <c r="D91" s="130"/>
      <c r="E91" s="130"/>
    </row>
    <row r="92" spans="2:5" x14ac:dyDescent="0.25">
      <c r="B92" s="130"/>
      <c r="C92" s="130"/>
      <c r="D92" s="130"/>
      <c r="E92" s="130"/>
    </row>
    <row r="93" spans="2:5" x14ac:dyDescent="0.25">
      <c r="B93" s="130"/>
      <c r="C93" s="130"/>
      <c r="D93" s="130"/>
      <c r="E93" s="130"/>
    </row>
    <row r="94" spans="2:5" x14ac:dyDescent="0.25">
      <c r="B94" s="130"/>
      <c r="C94" s="130"/>
      <c r="D94" s="130"/>
      <c r="E94" s="130"/>
    </row>
    <row r="95" spans="2:5" x14ac:dyDescent="0.25">
      <c r="B95" s="130"/>
      <c r="C95" s="130"/>
      <c r="D95" s="130"/>
      <c r="E95" s="130"/>
    </row>
    <row r="96" spans="2:5" x14ac:dyDescent="0.25">
      <c r="B96" s="130"/>
      <c r="C96" s="130"/>
      <c r="D96" s="130"/>
      <c r="E96" s="130"/>
    </row>
    <row r="97" spans="2:5" x14ac:dyDescent="0.25">
      <c r="B97" s="130"/>
      <c r="C97" s="130"/>
      <c r="D97" s="130"/>
      <c r="E97" s="130"/>
    </row>
    <row r="98" spans="2:5" x14ac:dyDescent="0.25">
      <c r="B98" s="130"/>
      <c r="C98" s="130"/>
      <c r="D98" s="130"/>
      <c r="E98" s="130"/>
    </row>
    <row r="99" spans="2:5" x14ac:dyDescent="0.25">
      <c r="B99" s="130"/>
      <c r="C99" s="130"/>
      <c r="D99" s="130"/>
      <c r="E99" s="130"/>
    </row>
    <row r="100" spans="2:5" x14ac:dyDescent="0.25">
      <c r="B100" s="130"/>
      <c r="C100" s="130"/>
      <c r="D100" s="130"/>
      <c r="E100" s="130"/>
    </row>
    <row r="101" spans="2:5" x14ac:dyDescent="0.25">
      <c r="B101" s="130"/>
      <c r="C101" s="130"/>
      <c r="D101" s="130"/>
      <c r="E101" s="130"/>
    </row>
  </sheetData>
  <mergeCells count="3">
    <mergeCell ref="B9:E9"/>
    <mergeCell ref="B10:E10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vt:i4>
      </vt:variant>
    </vt:vector>
  </HeadingPairs>
  <TitlesOfParts>
    <vt:vector size="15" baseType="lpstr">
      <vt:lpstr>Титульный лист</vt:lpstr>
      <vt:lpstr>Задание 1</vt:lpstr>
      <vt:lpstr>Задание 2</vt:lpstr>
      <vt:lpstr>Задание 3</vt:lpstr>
      <vt:lpstr>Задание 4</vt:lpstr>
      <vt:lpstr>Задание 5</vt:lpstr>
      <vt:lpstr>Задание 7</vt:lpstr>
      <vt:lpstr>Задание 8</vt:lpstr>
      <vt:lpstr>Рентабельн собств капитала ROE</vt:lpstr>
      <vt:lpstr>Задание 9</vt:lpstr>
      <vt:lpstr>Задание 10</vt:lpstr>
      <vt:lpstr>Задание 11</vt:lpstr>
      <vt:lpstr>Задание 12</vt:lpstr>
      <vt:lpstr>Приложение</vt:lpstr>
      <vt:lpstr>'Задание 1'!_GoBack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Анфиса Надежина</cp:lastModifiedBy>
  <dcterms:created xsi:type="dcterms:W3CDTF">2006-09-28T05:33:49Z</dcterms:created>
  <dcterms:modified xsi:type="dcterms:W3CDTF">2025-09-04T07:01:01Z</dcterms:modified>
</cp:coreProperties>
</file>