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ailaub-my.sharepoint.com/personal/ngd04_mail_aub_edu/Documents/AUB/;(/Semester 7 (Fall) (how am I still alive)/INDE 301/00-General/"/>
    </mc:Choice>
  </mc:AlternateContent>
  <xr:revisionPtr revIDLastSave="7129" documentId="13_ncr:1_{A500C900-1F48-44BE-B5FF-ECC2965DF175}" xr6:coauthVersionLast="47" xr6:coauthVersionMax="47" xr10:uidLastSave="{326B72F9-288E-400C-ADC5-3C413799516C}"/>
  <bookViews>
    <workbookView xWindow="-108" yWindow="-108" windowWidth="23256" windowHeight="12456" xr2:uid="{1725CF1B-B6EE-4721-8AAB-835B05EF962A}"/>
  </bookViews>
  <sheets>
    <sheet name="Sheet1" sheetId="1" r:id="rId1"/>
    <sheet name="Sheet2" sheetId="3" r:id="rId2"/>
  </sheets>
  <definedNames>
    <definedName name="solver_adj" localSheetId="1" hidden="1">Sheet2!$G$2:$G$36</definedName>
    <definedName name="solver_cvg" localSheetId="1" hidden="1">0.0001</definedName>
    <definedName name="solver_drv" localSheetId="1" hidden="1">1</definedName>
    <definedName name="solver_eng" localSheetId="1" hidden="1">2</definedName>
    <definedName name="solver_est" localSheetId="1" hidden="1">1</definedName>
    <definedName name="solver_itr" localSheetId="1" hidden="1">2147483647</definedName>
    <definedName name="solver_lhs1" localSheetId="1" hidden="1">Sheet2!$G$2:$G$36</definedName>
    <definedName name="solver_lhs2" localSheetId="1" hidden="1">Sheet2!$K$5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2</definedName>
    <definedName name="solver_nwt" localSheetId="1" hidden="1">1</definedName>
    <definedName name="solver_opt" localSheetId="1" hidden="1">Sheet2!$K$6</definedName>
    <definedName name="solver_pre" localSheetId="1" hidden="1">0.000001</definedName>
    <definedName name="solver_rbv" localSheetId="1" hidden="1">1</definedName>
    <definedName name="solver_rel1" localSheetId="1" hidden="1">5</definedName>
    <definedName name="solver_rel2" localSheetId="1" hidden="1">1</definedName>
    <definedName name="solver_rhs1" localSheetId="1" hidden="1">"binary"</definedName>
    <definedName name="solver_rhs2" localSheetId="1" hidden="1">Sheet2!$K$4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1</definedName>
    <definedName name="solver_val" localSheetId="1" hidden="1">0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4" i="1" l="1"/>
  <c r="D65" i="1" s="1"/>
  <c r="D66" i="1" s="1"/>
  <c r="D67" i="1" s="1"/>
  <c r="D68" i="1" s="1"/>
  <c r="M69" i="1"/>
  <c r="D61" i="1"/>
  <c r="D62" i="1" s="1"/>
  <c r="D63" i="1" s="1"/>
  <c r="C61" i="1"/>
  <c r="C62" i="1" s="1"/>
  <c r="C63" i="1" s="1"/>
  <c r="C64" i="1" s="1"/>
  <c r="C65" i="1" s="1"/>
  <c r="C66" i="1" s="1"/>
  <c r="C67" i="1" s="1"/>
  <c r="C68" i="1" s="1"/>
  <c r="L90" i="1"/>
  <c r="D30" i="1"/>
  <c r="D31" i="1" s="1"/>
  <c r="D32" i="1" s="1"/>
  <c r="D33" i="1" s="1"/>
  <c r="D34" i="1" s="1"/>
  <c r="D35" i="1" s="1"/>
  <c r="D36" i="1" s="1"/>
  <c r="D37" i="1" s="1"/>
  <c r="C30" i="1"/>
  <c r="C31" i="1" s="1"/>
  <c r="E90" i="1"/>
  <c r="C4" i="1"/>
  <c r="C10" i="1"/>
  <c r="S8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E68" i="1" l="1"/>
  <c r="S60" i="1"/>
  <c r="C32" i="1"/>
  <c r="C33" i="1" s="1"/>
  <c r="C34" i="1" s="1"/>
  <c r="C35" i="1" s="1"/>
  <c r="C36" i="1" s="1"/>
  <c r="C37" i="1" s="1"/>
  <c r="I102" i="1"/>
  <c r="V8" i="1"/>
  <c r="E69" i="1" l="1"/>
  <c r="J90" i="1"/>
  <c r="K5" i="3"/>
  <c r="E36" i="3"/>
  <c r="F36" i="3" s="1"/>
  <c r="E35" i="3"/>
  <c r="F35" i="3" s="1"/>
  <c r="E34" i="3"/>
  <c r="F34" i="3" s="1"/>
  <c r="E33" i="3"/>
  <c r="F33" i="3" s="1"/>
  <c r="E32" i="3"/>
  <c r="F32" i="3" s="1"/>
  <c r="E31" i="3"/>
  <c r="F31" i="3" s="1"/>
  <c r="E30" i="3"/>
  <c r="F30" i="3" s="1"/>
  <c r="E29" i="3"/>
  <c r="F29" i="3" s="1"/>
  <c r="E28" i="3"/>
  <c r="F28" i="3" s="1"/>
  <c r="E27" i="3"/>
  <c r="F27" i="3" s="1"/>
  <c r="E26" i="3"/>
  <c r="F26" i="3" s="1"/>
  <c r="E25" i="3"/>
  <c r="F25" i="3" s="1"/>
  <c r="E24" i="3"/>
  <c r="F24" i="3" s="1"/>
  <c r="E23" i="3"/>
  <c r="F23" i="3" s="1"/>
  <c r="E22" i="3"/>
  <c r="F22" i="3" s="1"/>
  <c r="E21" i="3"/>
  <c r="F21" i="3" s="1"/>
  <c r="E20" i="3"/>
  <c r="F20" i="3" s="1"/>
  <c r="E19" i="3"/>
  <c r="F19" i="3" s="1"/>
  <c r="E18" i="3"/>
  <c r="F18" i="3" s="1"/>
  <c r="E17" i="3"/>
  <c r="F17" i="3" s="1"/>
  <c r="E16" i="3"/>
  <c r="F16" i="3" s="1"/>
  <c r="E15" i="3"/>
  <c r="F15" i="3" s="1"/>
  <c r="E14" i="3"/>
  <c r="F14" i="3" s="1"/>
  <c r="E13" i="3"/>
  <c r="F13" i="3" s="1"/>
  <c r="E12" i="3"/>
  <c r="F12" i="3" s="1"/>
  <c r="E11" i="3"/>
  <c r="F11" i="3" s="1"/>
  <c r="E10" i="3"/>
  <c r="F10" i="3" s="1"/>
  <c r="E9" i="3"/>
  <c r="F9" i="3" s="1"/>
  <c r="E8" i="3"/>
  <c r="F8" i="3" s="1"/>
  <c r="E7" i="3"/>
  <c r="F7" i="3" s="1"/>
  <c r="E6" i="3"/>
  <c r="F6" i="3" s="1"/>
  <c r="E5" i="3"/>
  <c r="F5" i="3" s="1"/>
  <c r="E4" i="3"/>
  <c r="F4" i="3" s="1"/>
  <c r="E3" i="3"/>
  <c r="F3" i="3" s="1"/>
  <c r="E2" i="3"/>
  <c r="F2" i="3" s="1"/>
  <c r="S29" i="1"/>
  <c r="K6" i="3" l="1"/>
  <c r="E70" i="1"/>
  <c r="E64" i="1"/>
  <c r="L92" i="1"/>
  <c r="B132" i="1"/>
  <c r="C132" i="1" s="1"/>
  <c r="N92" i="1"/>
  <c r="N90" i="1" s="1"/>
  <c r="X59" i="1"/>
  <c r="Y59" i="1" s="1"/>
  <c r="X60" i="1"/>
  <c r="Y60" i="1" s="1"/>
  <c r="Z60" i="1" s="1"/>
  <c r="E60" i="1"/>
  <c r="X61" i="1"/>
  <c r="Y61" i="1" s="1"/>
  <c r="Z61" i="1" s="1"/>
  <c r="X62" i="1"/>
  <c r="Y62" i="1" s="1"/>
  <c r="Z62" i="1" s="1"/>
  <c r="X63" i="1"/>
  <c r="Y63" i="1" s="1"/>
  <c r="Z63" i="1" s="1"/>
  <c r="X64" i="1"/>
  <c r="Y64" i="1" s="1"/>
  <c r="Z64" i="1" s="1"/>
  <c r="X65" i="1"/>
  <c r="Y65" i="1" s="1"/>
  <c r="Z65" i="1" s="1"/>
  <c r="X66" i="1"/>
  <c r="Y66" i="1" s="1"/>
  <c r="Z66" i="1" s="1"/>
  <c r="X67" i="1"/>
  <c r="Y67" i="1" s="1"/>
  <c r="Z67" i="1" s="1"/>
  <c r="X68" i="1"/>
  <c r="X69" i="1"/>
  <c r="Y69" i="1" s="1"/>
  <c r="Z69" i="1" s="1"/>
  <c r="X70" i="1"/>
  <c r="Y70" i="1" s="1"/>
  <c r="Z70" i="1" s="1"/>
  <c r="X71" i="1"/>
  <c r="X72" i="1"/>
  <c r="Y72" i="1" s="1"/>
  <c r="Z72" i="1" s="1"/>
  <c r="X73" i="1"/>
  <c r="Y73" i="1" s="1"/>
  <c r="Z73" i="1" s="1"/>
  <c r="X74" i="1"/>
  <c r="X75" i="1"/>
  <c r="Y75" i="1" s="1"/>
  <c r="Z75" i="1" s="1"/>
  <c r="X76" i="1"/>
  <c r="Y76" i="1" s="1"/>
  <c r="Z76" i="1" s="1"/>
  <c r="X77" i="1"/>
  <c r="X78" i="1"/>
  <c r="X79" i="1"/>
  <c r="Y79" i="1" s="1"/>
  <c r="Z79" i="1" s="1"/>
  <c r="X80" i="1"/>
  <c r="Y80" i="1" s="1"/>
  <c r="Z80" i="1" s="1"/>
  <c r="X81" i="1"/>
  <c r="Y81" i="1" s="1"/>
  <c r="Z81" i="1" s="1"/>
  <c r="X82" i="1"/>
  <c r="Y82" i="1" s="1"/>
  <c r="Z82" i="1" s="1"/>
  <c r="X83" i="1"/>
  <c r="Y83" i="1" s="1"/>
  <c r="Z83" i="1" s="1"/>
  <c r="X84" i="1"/>
  <c r="Y84" i="1" s="1"/>
  <c r="Z84" i="1" s="1"/>
  <c r="F134" i="1"/>
  <c r="F135" i="1"/>
  <c r="F136" i="1"/>
  <c r="F137" i="1"/>
  <c r="Y78" i="1"/>
  <c r="Z78" i="1" s="1"/>
  <c r="Y77" i="1"/>
  <c r="Z77" i="1" s="1"/>
  <c r="Y74" i="1"/>
  <c r="Z74" i="1" s="1"/>
  <c r="Y71" i="1"/>
  <c r="Z71" i="1" s="1"/>
  <c r="Y68" i="1"/>
  <c r="Z68" i="1" s="1"/>
  <c r="E71" i="1" l="1"/>
  <c r="I60" i="1"/>
  <c r="J60" i="1" s="1"/>
  <c r="K60" i="1" s="1"/>
  <c r="Z59" i="1"/>
  <c r="AA59" i="1" s="1"/>
  <c r="AA60" i="1" s="1"/>
  <c r="AA61" i="1" s="1"/>
  <c r="AA62" i="1" s="1"/>
  <c r="AA63" i="1" s="1"/>
  <c r="AA64" i="1" s="1"/>
  <c r="AA65" i="1" s="1"/>
  <c r="AA66" i="1" s="1"/>
  <c r="AA67" i="1" s="1"/>
  <c r="AA68" i="1" s="1"/>
  <c r="AA69" i="1" s="1"/>
  <c r="AA70" i="1" s="1"/>
  <c r="AA71" i="1" s="1"/>
  <c r="AA72" i="1" s="1"/>
  <c r="AA73" i="1" s="1"/>
  <c r="AA74" i="1" s="1"/>
  <c r="AA75" i="1" s="1"/>
  <c r="AA76" i="1" s="1"/>
  <c r="AA77" i="1" s="1"/>
  <c r="AA78" i="1" s="1"/>
  <c r="AA79" i="1" s="1"/>
  <c r="AA80" i="1" s="1"/>
  <c r="AA81" i="1" s="1"/>
  <c r="AA82" i="1" s="1"/>
  <c r="AA83" i="1" s="1"/>
  <c r="AA84" i="1" s="1"/>
  <c r="F142" i="1"/>
  <c r="B133" i="1"/>
  <c r="C133" i="1" s="1"/>
  <c r="E72" i="1" l="1"/>
  <c r="B134" i="1"/>
  <c r="C134" i="1" s="1"/>
  <c r="Y11" i="1"/>
  <c r="E73" i="1" l="1"/>
  <c r="E74" i="1"/>
  <c r="L60" i="1"/>
  <c r="B135" i="1"/>
  <c r="C135" i="1" s="1"/>
  <c r="B102" i="1"/>
  <c r="B103" i="1" s="1"/>
  <c r="N94" i="1"/>
  <c r="L94" i="1"/>
  <c r="G91" i="1"/>
  <c r="G92" i="1"/>
  <c r="C90" i="1"/>
  <c r="S14" i="1"/>
  <c r="V21" i="1"/>
  <c r="V19" i="1"/>
  <c r="V18" i="1" s="1"/>
  <c r="F3" i="1"/>
  <c r="F4" i="1" s="1"/>
  <c r="V17" i="1"/>
  <c r="V11" i="1" s="1"/>
  <c r="C3" i="1"/>
  <c r="Y3" i="1"/>
  <c r="B104" i="1" l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G90" i="1"/>
  <c r="B136" i="1"/>
  <c r="P3" i="1"/>
  <c r="J28" i="1"/>
  <c r="B137" i="1" l="1"/>
  <c r="C136" i="1"/>
  <c r="L39" i="1"/>
  <c r="V3" i="1"/>
  <c r="K3" i="1"/>
  <c r="N3" i="1"/>
  <c r="B60" i="1"/>
  <c r="E77" i="1"/>
  <c r="E84" i="1"/>
  <c r="E83" i="1"/>
  <c r="E82" i="1"/>
  <c r="E81" i="1"/>
  <c r="E80" i="1"/>
  <c r="E79" i="1"/>
  <c r="E78" i="1"/>
  <c r="E76" i="1"/>
  <c r="E75" i="1"/>
  <c r="E67" i="1"/>
  <c r="E66" i="1"/>
  <c r="E65" i="1"/>
  <c r="E63" i="1"/>
  <c r="E62" i="1"/>
  <c r="E61" i="1"/>
  <c r="E59" i="1"/>
  <c r="F59" i="1" s="1"/>
  <c r="E41" i="1"/>
  <c r="E40" i="1"/>
  <c r="S17" i="1"/>
  <c r="F20" i="1"/>
  <c r="P20" i="1"/>
  <c r="N20" i="1"/>
  <c r="S3" i="1"/>
  <c r="J40" i="1"/>
  <c r="J36" i="1"/>
  <c r="J32" i="1"/>
  <c r="S39" i="1"/>
  <c r="J29" i="1"/>
  <c r="N39" i="1"/>
  <c r="O39" i="1"/>
  <c r="J37" i="1"/>
  <c r="J34" i="1"/>
  <c r="R39" i="1"/>
  <c r="Q39" i="1"/>
  <c r="P39" i="1"/>
  <c r="M39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39" i="1"/>
  <c r="J38" i="1"/>
  <c r="J35" i="1"/>
  <c r="J33" i="1"/>
  <c r="J31" i="1"/>
  <c r="J30" i="1"/>
  <c r="E37" i="1"/>
  <c r="F16" i="1"/>
  <c r="E39" i="1"/>
  <c r="E42" i="1"/>
  <c r="E43" i="1"/>
  <c r="E44" i="1"/>
  <c r="E45" i="1"/>
  <c r="E51" i="1"/>
  <c r="E52" i="1"/>
  <c r="E53" i="1"/>
  <c r="I83" i="1" l="1"/>
  <c r="J83" i="1" s="1"/>
  <c r="K83" i="1" s="1"/>
  <c r="L83" i="1"/>
  <c r="I84" i="1"/>
  <c r="J84" i="1" s="1"/>
  <c r="K84" i="1" s="1"/>
  <c r="L84" i="1"/>
  <c r="B61" i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F84" i="1" s="1"/>
  <c r="F60" i="1"/>
  <c r="M60" i="1"/>
  <c r="I82" i="1"/>
  <c r="J82" i="1" s="1"/>
  <c r="K82" i="1" s="1"/>
  <c r="L82" i="1"/>
  <c r="I81" i="1"/>
  <c r="J81" i="1" s="1"/>
  <c r="K81" i="1" s="1"/>
  <c r="L81" i="1"/>
  <c r="I80" i="1"/>
  <c r="J80" i="1" s="1"/>
  <c r="K80" i="1" s="1"/>
  <c r="L80" i="1" s="1"/>
  <c r="I79" i="1"/>
  <c r="J79" i="1" s="1"/>
  <c r="I70" i="1"/>
  <c r="J70" i="1" s="1"/>
  <c r="K70" i="1" s="1"/>
  <c r="I59" i="1"/>
  <c r="J59" i="1" s="1"/>
  <c r="L59" i="1" s="1"/>
  <c r="G59" i="1"/>
  <c r="I61" i="1"/>
  <c r="I66" i="1"/>
  <c r="J66" i="1" s="1"/>
  <c r="K66" i="1" s="1"/>
  <c r="I71" i="1"/>
  <c r="J71" i="1" s="1"/>
  <c r="K71" i="1" s="1"/>
  <c r="I72" i="1"/>
  <c r="J72" i="1" s="1"/>
  <c r="K72" i="1" s="1"/>
  <c r="I62" i="1"/>
  <c r="J62" i="1" s="1"/>
  <c r="K62" i="1" s="1"/>
  <c r="F62" i="1"/>
  <c r="I75" i="1"/>
  <c r="J75" i="1" s="1"/>
  <c r="K75" i="1" s="1"/>
  <c r="I64" i="1"/>
  <c r="J64" i="1" s="1"/>
  <c r="K64" i="1" s="1"/>
  <c r="I78" i="1"/>
  <c r="J78" i="1" s="1"/>
  <c r="K78" i="1" s="1"/>
  <c r="I68" i="1"/>
  <c r="J68" i="1" s="1"/>
  <c r="K68" i="1" s="1"/>
  <c r="I77" i="1"/>
  <c r="J77" i="1" s="1"/>
  <c r="K77" i="1" s="1"/>
  <c r="I73" i="1"/>
  <c r="J73" i="1" s="1"/>
  <c r="K73" i="1" s="1"/>
  <c r="I74" i="1"/>
  <c r="J74" i="1" s="1"/>
  <c r="K74" i="1" s="1"/>
  <c r="I63" i="1"/>
  <c r="J63" i="1" s="1"/>
  <c r="K63" i="1" s="1"/>
  <c r="I76" i="1"/>
  <c r="J76" i="1" s="1"/>
  <c r="K76" i="1" s="1"/>
  <c r="I65" i="1"/>
  <c r="J65" i="1" s="1"/>
  <c r="K65" i="1" s="1"/>
  <c r="I67" i="1"/>
  <c r="J67" i="1" s="1"/>
  <c r="K67" i="1" s="1"/>
  <c r="I69" i="1"/>
  <c r="J69" i="1" s="1"/>
  <c r="K69" i="1" s="1"/>
  <c r="C137" i="1"/>
  <c r="B138" i="1"/>
  <c r="E48" i="1"/>
  <c r="E50" i="1"/>
  <c r="E49" i="1"/>
  <c r="E30" i="1"/>
  <c r="E29" i="1"/>
  <c r="E33" i="1"/>
  <c r="E34" i="1"/>
  <c r="E35" i="1"/>
  <c r="E36" i="1"/>
  <c r="E38" i="1"/>
  <c r="E47" i="1"/>
  <c r="E28" i="1"/>
  <c r="C9" i="1"/>
  <c r="C16" i="1"/>
  <c r="C20" i="1"/>
  <c r="J61" i="1" l="1"/>
  <c r="K61" i="1" s="1"/>
  <c r="L61" i="1" s="1"/>
  <c r="M61" i="1" s="1"/>
  <c r="G60" i="1"/>
  <c r="F82" i="1"/>
  <c r="M84" i="1"/>
  <c r="F75" i="1"/>
  <c r="F74" i="1"/>
  <c r="F65" i="1"/>
  <c r="F68" i="1"/>
  <c r="F71" i="1"/>
  <c r="F80" i="1"/>
  <c r="F73" i="1"/>
  <c r="M80" i="1"/>
  <c r="F69" i="1"/>
  <c r="F70" i="1"/>
  <c r="F67" i="1"/>
  <c r="F79" i="1"/>
  <c r="F78" i="1"/>
  <c r="F66" i="1"/>
  <c r="M81" i="1"/>
  <c r="M83" i="1"/>
  <c r="M82" i="1"/>
  <c r="F77" i="1"/>
  <c r="F76" i="1"/>
  <c r="F81" i="1"/>
  <c r="F83" i="1"/>
  <c r="F72" i="1"/>
  <c r="F63" i="1"/>
  <c r="F64" i="1"/>
  <c r="F61" i="1"/>
  <c r="K79" i="1"/>
  <c r="L79" i="1" s="1"/>
  <c r="M79" i="1" s="1"/>
  <c r="L77" i="1"/>
  <c r="M77" i="1" s="1"/>
  <c r="L78" i="1"/>
  <c r="M78" i="1" s="1"/>
  <c r="L75" i="1"/>
  <c r="M75" i="1" s="1"/>
  <c r="L76" i="1"/>
  <c r="M76" i="1" s="1"/>
  <c r="L63" i="1"/>
  <c r="M63" i="1" s="1"/>
  <c r="L67" i="1"/>
  <c r="M67" i="1" s="1"/>
  <c r="L68" i="1"/>
  <c r="M68" i="1" s="1"/>
  <c r="L72" i="1"/>
  <c r="M72" i="1" s="1"/>
  <c r="L71" i="1"/>
  <c r="M71" i="1" s="1"/>
  <c r="L64" i="1"/>
  <c r="M64" i="1" s="1"/>
  <c r="L74" i="1"/>
  <c r="M74" i="1" s="1"/>
  <c r="L65" i="1"/>
  <c r="M65" i="1" s="1"/>
  <c r="L66" i="1"/>
  <c r="M66" i="1" s="1"/>
  <c r="L69" i="1"/>
  <c r="L73" i="1"/>
  <c r="M73" i="1" s="1"/>
  <c r="L62" i="1"/>
  <c r="M62" i="1" s="1"/>
  <c r="L70" i="1"/>
  <c r="M70" i="1" s="1"/>
  <c r="M59" i="1"/>
  <c r="N59" i="1"/>
  <c r="N60" i="1" s="1"/>
  <c r="C138" i="1"/>
  <c r="B139" i="1"/>
  <c r="H16" i="1"/>
  <c r="N18" i="1"/>
  <c r="N17" i="1"/>
  <c r="N16" i="1"/>
  <c r="P9" i="1"/>
  <c r="N9" i="1"/>
  <c r="K9" i="1"/>
  <c r="K10" i="1" s="1"/>
  <c r="K4" i="1"/>
  <c r="K15" i="1"/>
  <c r="K16" i="1" s="1"/>
  <c r="H9" i="1"/>
  <c r="H10" i="1" s="1"/>
  <c r="H3" i="1"/>
  <c r="H4" i="1" s="1"/>
  <c r="F9" i="1"/>
  <c r="G61" i="1" l="1"/>
  <c r="G62" i="1" s="1"/>
  <c r="G63" i="1" s="1"/>
  <c r="G64" i="1" s="1"/>
  <c r="G65" i="1" s="1"/>
  <c r="G66" i="1" s="1"/>
  <c r="G67" i="1" s="1"/>
  <c r="G68" i="1" s="1"/>
  <c r="G69" i="1" s="1"/>
  <c r="G70" i="1" s="1"/>
  <c r="N61" i="1"/>
  <c r="N62" i="1" s="1"/>
  <c r="N63" i="1" s="1"/>
  <c r="N64" i="1" s="1"/>
  <c r="N65" i="1" s="1"/>
  <c r="N66" i="1" s="1"/>
  <c r="N67" i="1" s="1"/>
  <c r="N68" i="1" s="1"/>
  <c r="C139" i="1"/>
  <c r="B140" i="1"/>
  <c r="E32" i="1"/>
  <c r="E31" i="1"/>
  <c r="N69" i="1" l="1"/>
  <c r="N70" i="1" s="1"/>
  <c r="N71" i="1" s="1"/>
  <c r="N72" i="1" s="1"/>
  <c r="N73" i="1" s="1"/>
  <c r="N74" i="1" s="1"/>
  <c r="N75" i="1" s="1"/>
  <c r="N76" i="1" s="1"/>
  <c r="N77" i="1" s="1"/>
  <c r="N78" i="1" s="1"/>
  <c r="N79" i="1" s="1"/>
  <c r="N80" i="1" s="1"/>
  <c r="N81" i="1" s="1"/>
  <c r="N82" i="1" s="1"/>
  <c r="N83" i="1" s="1"/>
  <c r="N84" i="1" s="1"/>
  <c r="G71" i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C140" i="1"/>
  <c r="B141" i="1"/>
  <c r="E46" i="1"/>
  <c r="F10" i="1"/>
  <c r="B142" i="1" l="1"/>
  <c r="C141" i="1"/>
  <c r="C142" i="1" l="1"/>
  <c r="B143" i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</calcChain>
</file>

<file path=xl/sharedStrings.xml><?xml version="1.0" encoding="utf-8"?>
<sst xmlns="http://schemas.openxmlformats.org/spreadsheetml/2006/main" count="389" uniqueCount="200">
  <si>
    <t>Single</t>
  </si>
  <si>
    <t>F/P</t>
  </si>
  <si>
    <t>P/F</t>
  </si>
  <si>
    <t>P</t>
  </si>
  <si>
    <t>i</t>
  </si>
  <si>
    <t>n</t>
  </si>
  <si>
    <t>F</t>
  </si>
  <si>
    <t>Annual (P)</t>
  </si>
  <si>
    <t>Annual (F)</t>
  </si>
  <si>
    <t>P/A</t>
  </si>
  <si>
    <t>A</t>
  </si>
  <si>
    <t>A/P</t>
  </si>
  <si>
    <t>F/A</t>
  </si>
  <si>
    <t>A/F</t>
  </si>
  <si>
    <t>Arithmetic</t>
  </si>
  <si>
    <t>F/G</t>
  </si>
  <si>
    <t>G</t>
  </si>
  <si>
    <t>P/G</t>
  </si>
  <si>
    <t>A/G</t>
  </si>
  <si>
    <t>Geometric (g!=i)</t>
  </si>
  <si>
    <t>Geometric (g=i)</t>
  </si>
  <si>
    <t>A1</t>
  </si>
  <si>
    <t>g</t>
  </si>
  <si>
    <t>i or g</t>
  </si>
  <si>
    <t>Eff Annual Rate</t>
  </si>
  <si>
    <t>ia</t>
  </si>
  <si>
    <t>m</t>
  </si>
  <si>
    <t>i (r/m)</t>
  </si>
  <si>
    <t>i (ia,m)</t>
  </si>
  <si>
    <t>Eff Rate per CP (ia,m)</t>
  </si>
  <si>
    <t>Eff Rate Per CP (r,m)</t>
  </si>
  <si>
    <t>Eff Rate Cont Comp</t>
  </si>
  <si>
    <t>r (F,F/P,ia)</t>
  </si>
  <si>
    <t>m (F)</t>
  </si>
  <si>
    <t>t (F,F/P)</t>
  </si>
  <si>
    <t>in</t>
  </si>
  <si>
    <t>r(per year)</t>
  </si>
  <si>
    <t>ia (exclsv)</t>
  </si>
  <si>
    <t>ia (q,sa…)</t>
  </si>
  <si>
    <t>Weighted Average Cost of Capital</t>
  </si>
  <si>
    <t>Debt Fin</t>
  </si>
  <si>
    <t>Debt i (%)</t>
  </si>
  <si>
    <t>Equ i (%)</t>
  </si>
  <si>
    <t>Equ Fin</t>
  </si>
  <si>
    <t>WACC (%)</t>
  </si>
  <si>
    <t>Years</t>
  </si>
  <si>
    <t>Cost</t>
  </si>
  <si>
    <t>Revenue</t>
  </si>
  <si>
    <t>Net</t>
  </si>
  <si>
    <t>SUM 1</t>
  </si>
  <si>
    <t>SUM 2</t>
  </si>
  <si>
    <t>SUM 3</t>
  </si>
  <si>
    <t>SUM 4</t>
  </si>
  <si>
    <t>SUM 5</t>
  </si>
  <si>
    <t>SUM 6</t>
  </si>
  <si>
    <t>SUM 7</t>
  </si>
  <si>
    <t>LCM Finder</t>
  </si>
  <si>
    <t xml:space="preserve">LCM </t>
  </si>
  <si>
    <t>Life 1</t>
  </si>
  <si>
    <t>Life 2</t>
  </si>
  <si>
    <t>Y1</t>
  </si>
  <si>
    <t>Y2</t>
  </si>
  <si>
    <t>Y3</t>
  </si>
  <si>
    <t>Y5</t>
  </si>
  <si>
    <t>Y6</t>
  </si>
  <si>
    <t>Y7</t>
  </si>
  <si>
    <t>Y8</t>
  </si>
  <si>
    <t>Y9</t>
  </si>
  <si>
    <t>Y4</t>
  </si>
  <si>
    <t>Y10</t>
  </si>
  <si>
    <t>Y0</t>
  </si>
  <si>
    <t>Y11</t>
  </si>
  <si>
    <t>Y12</t>
  </si>
  <si>
    <t>Y13</t>
  </si>
  <si>
    <t>Y14</t>
  </si>
  <si>
    <t>Y15</t>
  </si>
  <si>
    <t>Y16</t>
  </si>
  <si>
    <t>Y17</t>
  </si>
  <si>
    <t>Y18</t>
  </si>
  <si>
    <t>Y19</t>
  </si>
  <si>
    <t>Y20</t>
  </si>
  <si>
    <t>Y21</t>
  </si>
  <si>
    <t>Y22</t>
  </si>
  <si>
    <t>Y23</t>
  </si>
  <si>
    <t>Y24</t>
  </si>
  <si>
    <t>Y25</t>
  </si>
  <si>
    <t>Capitalized Cost</t>
  </si>
  <si>
    <t>CC</t>
  </si>
  <si>
    <t>np</t>
  </si>
  <si>
    <t>NCF</t>
  </si>
  <si>
    <t>Capital Recovery</t>
  </si>
  <si>
    <t>CR</t>
  </si>
  <si>
    <t>AW</t>
  </si>
  <si>
    <t>Annual Worth</t>
  </si>
  <si>
    <t>PROD 1</t>
  </si>
  <si>
    <t>P or CC</t>
  </si>
  <si>
    <t>P (init)</t>
  </si>
  <si>
    <t>A (total)</t>
  </si>
  <si>
    <t>ROR</t>
  </si>
  <si>
    <t>IROR</t>
  </si>
  <si>
    <t>(for IRR)</t>
  </si>
  <si>
    <t>(or storing)</t>
  </si>
  <si>
    <t>Rate of Return</t>
  </si>
  <si>
    <t>Pay Back Period (i=0)</t>
  </si>
  <si>
    <t>PW Net</t>
  </si>
  <si>
    <t>Rate</t>
  </si>
  <si>
    <t>i*</t>
  </si>
  <si>
    <t>f(i*)</t>
  </si>
  <si>
    <t>Start</t>
  </si>
  <si>
    <t>Step</t>
  </si>
  <si>
    <t>Pg</t>
  </si>
  <si>
    <t>f(i*) (PW)</t>
  </si>
  <si>
    <t>Q</t>
  </si>
  <si>
    <t>R</t>
  </si>
  <si>
    <t>Copy Paste Area:</t>
  </si>
  <si>
    <t>Pg (i=g)</t>
  </si>
  <si>
    <t>1/POWER(1+L59,P$66)</t>
  </si>
  <si>
    <t>(POWER(1+L59,P$66)-1)/(L59*(POWER(1+L59,P$66)))</t>
  </si>
  <si>
    <t>(POWER(1+L59,P$66)-(P$66*L59)-1)/(POWER(L59,2)*POWER(1+L59,P$66))</t>
  </si>
  <si>
    <t>$68*((1-POWER((1+P$67)/(1+L59),P$66))/(L59-P$67))</t>
  </si>
  <si>
    <t>P$68*((P$66)/(1+P$67))</t>
  </si>
  <si>
    <t>Pg (i!=g)</t>
  </si>
  <si>
    <t xml:space="preserve">Note: </t>
  </si>
  <si>
    <t>1)Draw Graph use L59</t>
  </si>
  <si>
    <t>2)Goal seek use P70 instead</t>
  </si>
  <si>
    <t>Equation Solver</t>
  </si>
  <si>
    <t>Eq</t>
  </si>
  <si>
    <t>vary</t>
  </si>
  <si>
    <t>B</t>
  </si>
  <si>
    <t>Bonds</t>
  </si>
  <si>
    <t>FaceVal</t>
  </si>
  <si>
    <t>yield</t>
  </si>
  <si>
    <t>C</t>
  </si>
  <si>
    <t>yield/m</t>
  </si>
  <si>
    <t>beta</t>
  </si>
  <si>
    <t>sig sm</t>
  </si>
  <si>
    <t>sigm</t>
  </si>
  <si>
    <t>S (Sal)</t>
  </si>
  <si>
    <t>Z</t>
  </si>
  <si>
    <t>AA</t>
  </si>
  <si>
    <t>AB</t>
  </si>
  <si>
    <t>Permanent Inv AW</t>
  </si>
  <si>
    <t>Inflation Adjusted i</t>
  </si>
  <si>
    <t>i(f)</t>
  </si>
  <si>
    <t>f</t>
  </si>
  <si>
    <t>Straight Line Depreciation</t>
  </si>
  <si>
    <t>d</t>
  </si>
  <si>
    <t>Dt</t>
  </si>
  <si>
    <t>S</t>
  </si>
  <si>
    <t>BVt</t>
  </si>
  <si>
    <t>t</t>
  </si>
  <si>
    <t>Bvt</t>
  </si>
  <si>
    <t>BV(t-1)</t>
  </si>
  <si>
    <t>Declining Balance Depriciation</t>
  </si>
  <si>
    <t>SENSING</t>
  </si>
  <si>
    <t>VARYING</t>
  </si>
  <si>
    <t>VAR Start</t>
  </si>
  <si>
    <t>VAR Step</t>
  </si>
  <si>
    <t>Probability</t>
  </si>
  <si>
    <t>E[X]</t>
  </si>
  <si>
    <t>Amount</t>
  </si>
  <si>
    <t>Prod</t>
  </si>
  <si>
    <t>Year</t>
  </si>
  <si>
    <t>Taxes</t>
  </si>
  <si>
    <t>POS Tax</t>
  </si>
  <si>
    <t>PW Net -Tax</t>
  </si>
  <si>
    <t>Tax</t>
  </si>
  <si>
    <t>PW Tax CUM</t>
  </si>
  <si>
    <t>SLD</t>
  </si>
  <si>
    <t>DBD</t>
  </si>
  <si>
    <t>Depreciation</t>
  </si>
  <si>
    <t>Taxable CF</t>
  </si>
  <si>
    <t>After Tax CF</t>
  </si>
  <si>
    <t>CUM CF</t>
  </si>
  <si>
    <t>PW After Tax</t>
  </si>
  <si>
    <t>PW Tax Dep CUM CF</t>
  </si>
  <si>
    <t xml:space="preserve">Project </t>
  </si>
  <si>
    <t>Initial Investment</t>
  </si>
  <si>
    <t>Life</t>
  </si>
  <si>
    <t>PW</t>
  </si>
  <si>
    <t>Binary Cell</t>
  </si>
  <si>
    <t xml:space="preserve">Budget </t>
  </si>
  <si>
    <t>Used</t>
  </si>
  <si>
    <t>Net PW</t>
  </si>
  <si>
    <t>d(L91)</t>
  </si>
  <si>
    <t>B(L92)</t>
  </si>
  <si>
    <t>t(L93)</t>
  </si>
  <si>
    <t>Para</t>
  </si>
  <si>
    <t>Mid</t>
  </si>
  <si>
    <t>Low</t>
  </si>
  <si>
    <t>High</t>
  </si>
  <si>
    <t>MARR</t>
  </si>
  <si>
    <t>PW_L</t>
  </si>
  <si>
    <t>PW_H</t>
  </si>
  <si>
    <t>PW_M</t>
  </si>
  <si>
    <t>D</t>
  </si>
  <si>
    <t>E</t>
  </si>
  <si>
    <t>I</t>
  </si>
  <si>
    <t>H</t>
  </si>
  <si>
    <t>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</si>
</sst>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164" formatCode="0.00000"/>
    <numFmt numFmtId="165" formatCode="0.0%"/>
  </numFmts>
  <fonts count="6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616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CC6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Up="1" diagonalDown="1">
      <left style="thin">
        <color indexed="64"/>
      </left>
      <right style="thin">
        <color indexed="64"/>
      </right>
      <top/>
      <bottom style="thin">
        <color indexed="64"/>
      </bottom>
      <diagonal style="thin">
        <color indexed="64"/>
      </diagonal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8">
    <xf numFmtId="0" fontId="0" fillId="0" borderId="0" xfId="0"/>
    <xf numFmtId="0" fontId="0" fillId="6" borderId="0" xfId="0" applyFill="1"/>
    <xf numFmtId="0" fontId="0" fillId="6" borderId="1" xfId="0" applyFill="1" applyBorder="1"/>
    <xf numFmtId="0" fontId="0" fillId="6" borderId="2" xfId="0" applyFill="1" applyBorder="1"/>
    <xf numFmtId="0" fontId="0" fillId="6" borderId="3" xfId="0" applyFill="1" applyBorder="1"/>
    <xf numFmtId="0" fontId="1" fillId="6" borderId="0" xfId="0" applyFont="1" applyFill="1"/>
    <xf numFmtId="0" fontId="0" fillId="0" borderId="3" xfId="0" applyBorder="1"/>
    <xf numFmtId="0" fontId="4" fillId="6" borderId="2" xfId="0" applyFont="1" applyFill="1" applyBorder="1"/>
    <xf numFmtId="0" fontId="0" fillId="0" borderId="0" xfId="0" applyAlignment="1">
      <alignment horizontal="center"/>
    </xf>
    <xf numFmtId="0" fontId="0" fillId="6" borderId="0" xfId="0" applyFill="1" applyAlignment="1">
      <alignment horizontal="center"/>
    </xf>
    <xf numFmtId="9" fontId="0" fillId="0" borderId="0" xfId="0" applyNumberFormat="1"/>
    <xf numFmtId="0" fontId="0" fillId="6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9" borderId="0" xfId="0" applyFill="1"/>
    <xf numFmtId="0" fontId="0" fillId="9" borderId="0" xfId="0" applyFill="1" applyAlignment="1">
      <alignment horizontal="center"/>
    </xf>
    <xf numFmtId="0" fontId="0" fillId="11" borderId="0" xfId="0" applyFill="1"/>
    <xf numFmtId="164" fontId="0" fillId="0" borderId="0" xfId="0" applyNumberFormat="1"/>
    <xf numFmtId="0" fontId="0" fillId="20" borderId="0" xfId="0" applyFill="1" applyAlignment="1">
      <alignment horizontal="center"/>
    </xf>
    <xf numFmtId="0" fontId="1" fillId="10" borderId="5" xfId="0" applyFont="1" applyFill="1" applyBorder="1" applyAlignment="1">
      <alignment horizontal="left"/>
    </xf>
    <xf numFmtId="0" fontId="0" fillId="10" borderId="6" xfId="0" applyFill="1" applyBorder="1"/>
    <xf numFmtId="0" fontId="0" fillId="2" borderId="5" xfId="0" applyFill="1" applyBorder="1"/>
    <xf numFmtId="0" fontId="0" fillId="3" borderId="4" xfId="0" applyFill="1" applyBorder="1"/>
    <xf numFmtId="0" fontId="0" fillId="2" borderId="4" xfId="0" applyFill="1" applyBorder="1"/>
    <xf numFmtId="0" fontId="1" fillId="7" borderId="5" xfId="0" applyFont="1" applyFill="1" applyBorder="1"/>
    <xf numFmtId="0" fontId="0" fillId="7" borderId="6" xfId="0" applyFill="1" applyBorder="1"/>
    <xf numFmtId="0" fontId="0" fillId="2" borderId="4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7" borderId="8" xfId="0" applyFill="1" applyBorder="1"/>
    <xf numFmtId="0" fontId="0" fillId="7" borderId="9" xfId="0" applyFill="1" applyBorder="1"/>
    <xf numFmtId="0" fontId="0" fillId="4" borderId="4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4" xfId="0" applyFill="1" applyBorder="1"/>
    <xf numFmtId="0" fontId="0" fillId="4" borderId="4" xfId="0" applyFill="1" applyBorder="1"/>
    <xf numFmtId="0" fontId="1" fillId="9" borderId="4" xfId="0" applyFont="1" applyFill="1" applyBorder="1"/>
    <xf numFmtId="0" fontId="0" fillId="9" borderId="4" xfId="0" applyFill="1" applyBorder="1"/>
    <xf numFmtId="0" fontId="1" fillId="7" borderId="4" xfId="0" applyFont="1" applyFill="1" applyBorder="1"/>
    <xf numFmtId="0" fontId="0" fillId="7" borderId="4" xfId="0" applyFill="1" applyBorder="1"/>
    <xf numFmtId="0" fontId="0" fillId="7" borderId="0" xfId="0" applyFill="1"/>
    <xf numFmtId="0" fontId="0" fillId="4" borderId="7" xfId="0" applyFill="1" applyBorder="1" applyAlignment="1">
      <alignment horizontal="center"/>
    </xf>
    <xf numFmtId="0" fontId="1" fillId="9" borderId="5" xfId="0" applyFont="1" applyFill="1" applyBorder="1"/>
    <xf numFmtId="0" fontId="0" fillId="9" borderId="10" xfId="0" applyFill="1" applyBorder="1"/>
    <xf numFmtId="0" fontId="0" fillId="9" borderId="6" xfId="0" applyFill="1" applyBorder="1"/>
    <xf numFmtId="0" fontId="1" fillId="14" borderId="4" xfId="0" applyFont="1" applyFill="1" applyBorder="1"/>
    <xf numFmtId="0" fontId="0" fillId="14" borderId="4" xfId="0" applyFill="1" applyBorder="1"/>
    <xf numFmtId="0" fontId="1" fillId="14" borderId="5" xfId="0" applyFont="1" applyFill="1" applyBorder="1"/>
    <xf numFmtId="0" fontId="0" fillId="14" borderId="6" xfId="0" applyFill="1" applyBorder="1"/>
    <xf numFmtId="0" fontId="0" fillId="19" borderId="5" xfId="0" applyFill="1" applyBorder="1"/>
    <xf numFmtId="0" fontId="0" fillId="19" borderId="6" xfId="0" applyFill="1" applyBorder="1"/>
    <xf numFmtId="9" fontId="1" fillId="13" borderId="5" xfId="0" applyNumberFormat="1" applyFont="1" applyFill="1" applyBorder="1"/>
    <xf numFmtId="0" fontId="1" fillId="13" borderId="6" xfId="0" applyFont="1" applyFill="1" applyBorder="1"/>
    <xf numFmtId="0" fontId="0" fillId="2" borderId="11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1" fillId="12" borderId="5" xfId="0" applyFont="1" applyFill="1" applyBorder="1"/>
    <xf numFmtId="0" fontId="0" fillId="12" borderId="6" xfId="0" applyFill="1" applyBorder="1"/>
    <xf numFmtId="0" fontId="1" fillId="17" borderId="5" xfId="0" applyFont="1" applyFill="1" applyBorder="1"/>
    <xf numFmtId="0" fontId="0" fillId="17" borderId="6" xfId="0" applyFill="1" applyBorder="1"/>
    <xf numFmtId="0" fontId="1" fillId="17" borderId="6" xfId="0" applyFont="1" applyFill="1" applyBorder="1"/>
    <xf numFmtId="0" fontId="0" fillId="11" borderId="4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2" fillId="11" borderId="4" xfId="0" applyFont="1" applyFill="1" applyBorder="1" applyAlignment="1">
      <alignment horizontal="center"/>
    </xf>
    <xf numFmtId="0" fontId="2" fillId="15" borderId="4" xfId="0" applyFont="1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16" borderId="4" xfId="0" applyFill="1" applyBorder="1" applyAlignment="1">
      <alignment horizontal="center"/>
    </xf>
    <xf numFmtId="0" fontId="0" fillId="0" borderId="4" xfId="0" applyBorder="1"/>
    <xf numFmtId="0" fontId="0" fillId="18" borderId="4" xfId="0" applyFill="1" applyBorder="1" applyAlignment="1">
      <alignment horizontal="center"/>
    </xf>
    <xf numFmtId="0" fontId="0" fillId="8" borderId="12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1" fillId="10" borderId="5" xfId="0" applyFont="1" applyFill="1" applyBorder="1"/>
    <xf numFmtId="0" fontId="0" fillId="10" borderId="10" xfId="0" applyFill="1" applyBorder="1"/>
    <xf numFmtId="8" fontId="0" fillId="0" borderId="0" xfId="0" applyNumberFormat="1"/>
    <xf numFmtId="0" fontId="0" fillId="8" borderId="13" xfId="0" applyFill="1" applyBorder="1" applyAlignment="1">
      <alignment horizontal="center"/>
    </xf>
    <xf numFmtId="0" fontId="0" fillId="21" borderId="5" xfId="0" applyFill="1" applyBorder="1" applyAlignment="1">
      <alignment horizontal="left"/>
    </xf>
    <xf numFmtId="0" fontId="0" fillId="21" borderId="10" xfId="0" applyFill="1" applyBorder="1" applyAlignment="1">
      <alignment horizontal="center"/>
    </xf>
    <xf numFmtId="0" fontId="1" fillId="21" borderId="10" xfId="0" applyFont="1" applyFill="1" applyBorder="1" applyAlignment="1">
      <alignment horizontal="left"/>
    </xf>
    <xf numFmtId="0" fontId="0" fillId="21" borderId="10" xfId="0" applyFill="1" applyBorder="1"/>
    <xf numFmtId="0" fontId="0" fillId="21" borderId="6" xfId="0" applyFill="1" applyBorder="1"/>
    <xf numFmtId="0" fontId="0" fillId="22" borderId="4" xfId="0" applyFill="1" applyBorder="1" applyAlignment="1">
      <alignment horizontal="center"/>
    </xf>
    <xf numFmtId="0" fontId="0" fillId="21" borderId="5" xfId="0" applyFill="1" applyBorder="1"/>
    <xf numFmtId="0" fontId="1" fillId="21" borderId="10" xfId="0" applyFont="1" applyFill="1" applyBorder="1"/>
    <xf numFmtId="0" fontId="0" fillId="23" borderId="4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2" fillId="23" borderId="6" xfId="0" applyFont="1" applyFill="1" applyBorder="1" applyAlignment="1">
      <alignment horizontal="center"/>
    </xf>
    <xf numFmtId="0" fontId="2" fillId="23" borderId="4" xfId="0" applyFont="1" applyFill="1" applyBorder="1" applyAlignment="1">
      <alignment horizontal="center"/>
    </xf>
    <xf numFmtId="0" fontId="2" fillId="23" borderId="5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2" fillId="11" borderId="10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2" fillId="24" borderId="14" xfId="0" applyFont="1" applyFill="1" applyBorder="1" applyAlignment="1">
      <alignment horizontal="center"/>
    </xf>
    <xf numFmtId="0" fontId="0" fillId="12" borderId="15" xfId="0" applyFill="1" applyBorder="1" applyAlignment="1">
      <alignment horizontal="center"/>
    </xf>
    <xf numFmtId="0" fontId="0" fillId="12" borderId="16" xfId="0" applyFill="1" applyBorder="1" applyAlignment="1">
      <alignment horizontal="center"/>
    </xf>
    <xf numFmtId="0" fontId="2" fillId="23" borderId="0" xfId="0" applyFont="1" applyFill="1" applyAlignment="1">
      <alignment horizontal="center"/>
    </xf>
    <xf numFmtId="0" fontId="2" fillId="5" borderId="6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165" fontId="0" fillId="3" borderId="4" xfId="0" applyNumberFormat="1" applyFill="1" applyBorder="1" applyAlignment="1">
      <alignment horizontal="center"/>
    </xf>
    <xf numFmtId="0" fontId="0" fillId="3" borderId="4" xfId="0" applyFill="1" applyBorder="1" applyAlignment="1">
      <alignment horizontal="center" vertical="center"/>
    </xf>
    <xf numFmtId="1" fontId="0" fillId="3" borderId="4" xfId="0" applyNumberForma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5" borderId="4" xfId="0" applyFill="1" applyBorder="1" applyAlignment="1">
      <alignment horizontal="center" vertical="center"/>
    </xf>
    <xf numFmtId="1" fontId="0" fillId="0" borderId="4" xfId="0" applyNumberFormat="1" applyBorder="1" applyAlignment="1">
      <alignment horizontal="center" vertical="center"/>
    </xf>
    <xf numFmtId="0" fontId="0" fillId="26" borderId="4" xfId="0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FFCC"/>
      <color rgb="FFFF6161"/>
      <color rgb="FF00FF00"/>
      <color rgb="FFCCFF99"/>
      <color rgb="FFFFCCFF"/>
      <color rgb="FFCC99FF"/>
      <color rgb="FF00CC66"/>
      <color rgb="FF9966FF"/>
      <color rgb="FF61616F"/>
      <color rgb="FF5A5A7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Sheet1!$Y$89</c:f>
              <c:strCache>
                <c:ptCount val="1"/>
                <c:pt idx="0">
                  <c:v>PW_L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Sheet1!$X$90:$X$94</c:f>
              <c:strCache>
                <c:ptCount val="5"/>
                <c:pt idx="0">
                  <c:v>n</c:v>
                </c:pt>
                <c:pt idx="1">
                  <c:v>P</c:v>
                </c:pt>
                <c:pt idx="2">
                  <c:v>G</c:v>
                </c:pt>
                <c:pt idx="3">
                  <c:v>A</c:v>
                </c:pt>
                <c:pt idx="4">
                  <c:v>MARR</c:v>
                </c:pt>
              </c:strCache>
            </c:strRef>
          </c:cat>
          <c:val>
            <c:numRef>
              <c:f>Sheet1!$Y$90:$Y$94</c:f>
              <c:numCache>
                <c:formatCode>General</c:formatCode>
                <c:ptCount val="5"/>
                <c:pt idx="0">
                  <c:v>7222</c:v>
                </c:pt>
                <c:pt idx="1">
                  <c:v>21510</c:v>
                </c:pt>
                <c:pt idx="2">
                  <c:v>511</c:v>
                </c:pt>
                <c:pt idx="3">
                  <c:v>1473</c:v>
                </c:pt>
                <c:pt idx="4">
                  <c:v>27831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19-4926-9773-FEEEF50F4840}"/>
            </c:ext>
          </c:extLst>
        </c:ser>
        <c:ser>
          <c:idx val="1"/>
          <c:order val="1"/>
          <c:tx>
            <c:strRef>
              <c:f>Sheet1!$Z$89</c:f>
              <c:strCache>
                <c:ptCount val="1"/>
                <c:pt idx="0">
                  <c:v>PW_H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Sheet1!$X$90:$X$94</c:f>
              <c:strCache>
                <c:ptCount val="5"/>
                <c:pt idx="0">
                  <c:v>n</c:v>
                </c:pt>
                <c:pt idx="1">
                  <c:v>P</c:v>
                </c:pt>
                <c:pt idx="2">
                  <c:v>G</c:v>
                </c:pt>
                <c:pt idx="3">
                  <c:v>A</c:v>
                </c:pt>
                <c:pt idx="4">
                  <c:v>MARR</c:v>
                </c:pt>
              </c:strCache>
            </c:strRef>
          </c:cat>
          <c:val>
            <c:numRef>
              <c:f>Sheet1!$Z$90:$Z$94</c:f>
              <c:numCache>
                <c:formatCode>General</c:formatCode>
                <c:ptCount val="5"/>
                <c:pt idx="0">
                  <c:v>13146</c:v>
                </c:pt>
                <c:pt idx="1">
                  <c:v>1510</c:v>
                </c:pt>
                <c:pt idx="2">
                  <c:v>22509</c:v>
                </c:pt>
                <c:pt idx="3">
                  <c:v>26567</c:v>
                </c:pt>
                <c:pt idx="4">
                  <c:v>-10712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19-4926-9773-FEEEF50F4840}"/>
            </c:ext>
          </c:extLst>
        </c:ser>
        <c:ser>
          <c:idx val="2"/>
          <c:order val="2"/>
          <c:tx>
            <c:strRef>
              <c:f>Sheet1!$AA$89</c:f>
              <c:strCache>
                <c:ptCount val="1"/>
                <c:pt idx="0">
                  <c:v>PW_M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Sheet1!$X$90:$X$94</c:f>
              <c:strCache>
                <c:ptCount val="5"/>
                <c:pt idx="0">
                  <c:v>n</c:v>
                </c:pt>
                <c:pt idx="1">
                  <c:v>P</c:v>
                </c:pt>
                <c:pt idx="2">
                  <c:v>G</c:v>
                </c:pt>
                <c:pt idx="3">
                  <c:v>A</c:v>
                </c:pt>
                <c:pt idx="4">
                  <c:v>MARR</c:v>
                </c:pt>
              </c:strCache>
            </c:strRef>
          </c:cat>
          <c:val>
            <c:numRef>
              <c:f>Sheet1!$AA$90:$AA$94</c:f>
              <c:numCache>
                <c:formatCode>General</c:formatCode>
                <c:ptCount val="5"/>
                <c:pt idx="0">
                  <c:v>11510</c:v>
                </c:pt>
                <c:pt idx="1">
                  <c:v>11510</c:v>
                </c:pt>
                <c:pt idx="2">
                  <c:v>11510</c:v>
                </c:pt>
                <c:pt idx="3">
                  <c:v>11510</c:v>
                </c:pt>
                <c:pt idx="4">
                  <c:v>11510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E19-4926-9773-FEEEF50F48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087056"/>
        <c:axId val="451086640"/>
      </c:radarChart>
      <c:catAx>
        <c:axId val="451087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086640"/>
        <c:crosses val="autoZero"/>
        <c:auto val="1"/>
        <c:lblAlgn val="ctr"/>
        <c:lblOffset val="100"/>
        <c:noMultiLvlLbl val="0"/>
      </c:catAx>
      <c:valAx>
        <c:axId val="45108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087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Sheet1!$C$28:$C$38</c:f>
              <c:numCache>
                <c:formatCode>General</c:formatCode>
                <c:ptCount val="11"/>
                <c:pt idx="0">
                  <c:v>5378</c:v>
                </c:pt>
                <c:pt idx="1">
                  <c:v>227</c:v>
                </c:pt>
                <c:pt idx="2">
                  <c:v>227</c:v>
                </c:pt>
                <c:pt idx="3">
                  <c:v>227</c:v>
                </c:pt>
                <c:pt idx="4">
                  <c:v>227</c:v>
                </c:pt>
                <c:pt idx="5">
                  <c:v>227</c:v>
                </c:pt>
                <c:pt idx="6">
                  <c:v>227</c:v>
                </c:pt>
                <c:pt idx="7">
                  <c:v>227</c:v>
                </c:pt>
                <c:pt idx="8">
                  <c:v>227</c:v>
                </c:pt>
                <c:pt idx="9">
                  <c:v>227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1D-4ACE-A332-9F11F1EC6CAC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Sheet1!$D$28:$D$38</c:f>
              <c:numCache>
                <c:formatCode>General</c:formatCode>
                <c:ptCount val="11"/>
                <c:pt idx="1">
                  <c:v>1648</c:v>
                </c:pt>
                <c:pt idx="2">
                  <c:v>1648</c:v>
                </c:pt>
                <c:pt idx="3">
                  <c:v>1648</c:v>
                </c:pt>
                <c:pt idx="4">
                  <c:v>1648</c:v>
                </c:pt>
                <c:pt idx="5">
                  <c:v>1564</c:v>
                </c:pt>
                <c:pt idx="6">
                  <c:v>1480</c:v>
                </c:pt>
                <c:pt idx="7">
                  <c:v>1396</c:v>
                </c:pt>
                <c:pt idx="8">
                  <c:v>1312</c:v>
                </c:pt>
                <c:pt idx="9">
                  <c:v>1228</c:v>
                </c:pt>
                <c:pt idx="10">
                  <c:v>537.79999999999995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1D-4ACE-A332-9F11F1EC6C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9964912"/>
        <c:axId val="1069983152"/>
      </c:barChart>
      <c:catAx>
        <c:axId val="10699649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9983152"/>
        <c:crosses val="autoZero"/>
        <c:auto val="1"/>
        <c:lblAlgn val="ctr"/>
        <c:lblOffset val="100"/>
        <c:noMultiLvlLbl val="0"/>
      </c:catAx>
      <c:valAx>
        <c:axId val="106998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9964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ustomXml" Target="../ink/ink6.xml"/><Relationship Id="rId13" Type="http://schemas.openxmlformats.org/officeDocument/2006/relationships/chart" Target="../charts/chart2.xml"/><Relationship Id="rId3" Type="http://schemas.openxmlformats.org/officeDocument/2006/relationships/customXml" Target="../ink/ink2.xml"/><Relationship Id="rId7" Type="http://schemas.openxmlformats.org/officeDocument/2006/relationships/customXml" Target="../ink/ink5.xml"/><Relationship Id="rId12" Type="http://schemas.openxmlformats.org/officeDocument/2006/relationships/chart" Target="../charts/chart1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6" Type="http://schemas.openxmlformats.org/officeDocument/2006/relationships/customXml" Target="../ink/ink4.xml"/><Relationship Id="rId11" Type="http://schemas.openxmlformats.org/officeDocument/2006/relationships/customXml" Target="../ink/ink9.xml"/><Relationship Id="rId5" Type="http://schemas.openxmlformats.org/officeDocument/2006/relationships/customXml" Target="../ink/ink3.xml"/><Relationship Id="rId10" Type="http://schemas.openxmlformats.org/officeDocument/2006/relationships/customXml" Target="../ink/ink8.xml"/><Relationship Id="rId4" Type="http://schemas.openxmlformats.org/officeDocument/2006/relationships/image" Target="../media/image2.png"/><Relationship Id="rId9" Type="http://schemas.openxmlformats.org/officeDocument/2006/relationships/customXml" Target="../ink/ink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126573</xdr:colOff>
      <xdr:row>15</xdr:row>
      <xdr:rowOff>50500</xdr:rowOff>
    </xdr:from>
    <xdr:to>
      <xdr:col>1</xdr:col>
      <xdr:colOff>135573</xdr:colOff>
      <xdr:row>15</xdr:row>
      <xdr:rowOff>93340</xdr:rowOff>
    </xdr:to>
    <mc:AlternateContent xmlns:mc="http://schemas.openxmlformats.org/markup-compatibility/2006" xmlns:xdr14="http://schemas.microsoft.com/office/excel/2010/spreadsheetDrawing" xmlns:aink="http://schemas.microsoft.com/office/drawing/2016/ink">
      <mc:Choice Requires="xdr14 aink">
        <xdr:contentPart xmlns:r="http://schemas.openxmlformats.org/officeDocument/2006/relationships" r:id="rId1">
          <xdr14:nvContentPartPr>
            <xdr14:cNvPr id="4" name="Ink 3">
              <a:extLst>
                <a:ext uri="{FF2B5EF4-FFF2-40B4-BE49-F238E27FC236}">
                  <a16:creationId xmlns:a16="http://schemas.microsoft.com/office/drawing/2014/main" id="{66EB5D25-2BCC-3225-E17E-10FE4196E88C}"/>
                </a:ext>
              </a:extLst>
            </xdr14:cNvPr>
            <xdr14:cNvContentPartPr/>
          </xdr14:nvContentPartPr>
          <xdr14:nvPr macro=""/>
          <xdr14:xfrm>
            <a:off x="770040" y="2781000"/>
            <a:ext cx="9000" cy="42840"/>
          </xdr14:xfrm>
        </xdr:contentPart>
      </mc:Choice>
      <mc:Fallback xmlns="">
        <xdr:pic>
          <xdr:nvPicPr>
            <xdr:cNvPr id="4" name="Ink 3">
              <a:extLst>
                <a:ext uri="{FF2B5EF4-FFF2-40B4-BE49-F238E27FC236}">
                  <a16:creationId xmlns:a16="http://schemas.microsoft.com/office/drawing/2014/main" id="{66EB5D25-2BCC-3225-E17E-10FE4196E88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752400" y="2673000"/>
              <a:ext cx="44640" cy="258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435813</xdr:colOff>
      <xdr:row>15</xdr:row>
      <xdr:rowOff>37900</xdr:rowOff>
    </xdr:from>
    <xdr:to>
      <xdr:col>1</xdr:col>
      <xdr:colOff>436173</xdr:colOff>
      <xdr:row>15</xdr:row>
      <xdr:rowOff>38260</xdr:rowOff>
    </xdr:to>
    <mc:AlternateContent xmlns:mc="http://schemas.openxmlformats.org/markup-compatibility/2006" xmlns:xdr14="http://schemas.microsoft.com/office/excel/2010/spreadsheetDrawing" xmlns:aink="http://schemas.microsoft.com/office/drawing/2016/ink">
      <mc:Choice Requires="xdr14 aink">
        <xdr:contentPart xmlns:r="http://schemas.openxmlformats.org/officeDocument/2006/relationships" r:id="rId3">
          <xdr14:nvContentPartPr>
            <xdr14:cNvPr id="5" name="Ink 4">
              <a:extLst>
                <a:ext uri="{FF2B5EF4-FFF2-40B4-BE49-F238E27FC236}">
                  <a16:creationId xmlns:a16="http://schemas.microsoft.com/office/drawing/2014/main" id="{09E7E4F4-434D-DD3E-3B16-75F3A403F06C}"/>
                </a:ext>
              </a:extLst>
            </xdr14:cNvPr>
            <xdr14:cNvContentPartPr/>
          </xdr14:nvContentPartPr>
          <xdr14:nvPr macro=""/>
          <xdr14:xfrm>
            <a:off x="1079280" y="27684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09E7E4F4-434D-DD3E-3B16-75F3A403F06C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061640" y="2660400"/>
              <a:ext cx="36000" cy="21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435813</xdr:colOff>
      <xdr:row>15</xdr:row>
      <xdr:rowOff>37900</xdr:rowOff>
    </xdr:from>
    <xdr:to>
      <xdr:col>1</xdr:col>
      <xdr:colOff>436173</xdr:colOff>
      <xdr:row>15</xdr:row>
      <xdr:rowOff>38260</xdr:rowOff>
    </xdr:to>
    <mc:AlternateContent xmlns:mc="http://schemas.openxmlformats.org/markup-compatibility/2006" xmlns:xdr14="http://schemas.microsoft.com/office/excel/2010/spreadsheetDrawing" xmlns:aink="http://schemas.microsoft.com/office/drawing/2016/ink">
      <mc:Choice Requires="xdr14 aink">
        <xdr:contentPart xmlns:r="http://schemas.openxmlformats.org/officeDocument/2006/relationships" r:id="rId5">
          <xdr14:nvContentPartPr>
            <xdr14:cNvPr id="6" name="Ink 5">
              <a:extLst>
                <a:ext uri="{FF2B5EF4-FFF2-40B4-BE49-F238E27FC236}">
                  <a16:creationId xmlns:a16="http://schemas.microsoft.com/office/drawing/2014/main" id="{640DC06B-7EAE-7E15-7035-276C5E7EE300}"/>
                </a:ext>
              </a:extLst>
            </xdr14:cNvPr>
            <xdr14:cNvContentPartPr/>
          </xdr14:nvContentPartPr>
          <xdr14:nvPr macro=""/>
          <xdr14:xfrm>
            <a:off x="1079280" y="2768400"/>
            <a:ext cx="360" cy="360"/>
          </xdr14:xfrm>
        </xdr:contentPart>
      </mc:Choice>
      <mc:Fallback xmlns="">
        <xdr:pic>
          <xdr:nvPicPr>
            <xdr:cNvPr id="6" name="Ink 5">
              <a:extLst>
                <a:ext uri="{FF2B5EF4-FFF2-40B4-BE49-F238E27FC236}">
                  <a16:creationId xmlns:a16="http://schemas.microsoft.com/office/drawing/2014/main" id="{640DC06B-7EAE-7E15-7035-276C5E7EE30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061640" y="2660400"/>
              <a:ext cx="36000" cy="216000"/>
            </a:xfrm>
            <a:prstGeom prst="rect">
              <a:avLst/>
            </a:prstGeom>
          </xdr:spPr>
        </xdr:pic>
      </mc:Fallback>
    </mc:AlternateContent>
    <xdr:clientData/>
  </xdr:twoCellAnchor>
  <xdr:oneCellAnchor>
    <xdr:from>
      <xdr:col>1</xdr:col>
      <xdr:colOff>126573</xdr:colOff>
      <xdr:row>23</xdr:row>
      <xdr:rowOff>50500</xdr:rowOff>
    </xdr:from>
    <xdr:ext cx="9000" cy="42840"/>
    <mc:AlternateContent xmlns:mc="http://schemas.openxmlformats.org/markup-compatibility/2006" xmlns:xdr14="http://schemas.microsoft.com/office/excel/2010/spreadsheetDrawing" xmlns:aink="http://schemas.microsoft.com/office/drawing/2016/ink">
      <mc:Choice Requires="xdr14 aink">
        <xdr:contentPart xmlns:r="http://schemas.openxmlformats.org/officeDocument/2006/relationships" r:id="rId6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E16831FC-20FA-4253-8890-D947D4F88194}"/>
                </a:ext>
              </a:extLst>
            </xdr14:cNvPr>
            <xdr14:cNvContentPartPr/>
          </xdr14:nvContentPartPr>
          <xdr14:nvPr macro=""/>
          <xdr14:xfrm>
            <a:off x="770040" y="2781000"/>
            <a:ext cx="9000" cy="42840"/>
          </xdr14:xfrm>
        </xdr:contentPart>
      </mc:Choice>
      <mc:Fallback xmlns="">
        <xdr:pic>
          <xdr:nvPicPr>
            <xdr:cNvPr id="4" name="Ink 3">
              <a:extLst>
                <a:ext uri="{FF2B5EF4-FFF2-40B4-BE49-F238E27FC236}">
                  <a16:creationId xmlns:a16="http://schemas.microsoft.com/office/drawing/2014/main" id="{66EB5D25-2BCC-3225-E17E-10FE4196E88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752400" y="2673000"/>
              <a:ext cx="44640" cy="25848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</xdr:col>
      <xdr:colOff>435813</xdr:colOff>
      <xdr:row>23</xdr:row>
      <xdr:rowOff>37900</xdr:rowOff>
    </xdr:from>
    <xdr:ext cx="360" cy="360"/>
    <mc:AlternateContent xmlns:mc="http://schemas.openxmlformats.org/markup-compatibility/2006" xmlns:xdr14="http://schemas.microsoft.com/office/excel/2010/spreadsheetDrawing" xmlns:aink="http://schemas.microsoft.com/office/drawing/2016/ink">
      <mc:Choice Requires="xdr14 aink">
        <xdr:contentPart xmlns:r="http://schemas.openxmlformats.org/officeDocument/2006/relationships" r:id="rId7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400D6169-B703-4CA7-8CE4-37EF350D6AE0}"/>
                </a:ext>
              </a:extLst>
            </xdr14:cNvPr>
            <xdr14:cNvContentPartPr/>
          </xdr14:nvContentPartPr>
          <xdr14:nvPr macro=""/>
          <xdr14:xfrm>
            <a:off x="1079280" y="27684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09E7E4F4-434D-DD3E-3B16-75F3A403F06C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061640" y="2660400"/>
              <a:ext cx="36000" cy="216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</xdr:col>
      <xdr:colOff>435813</xdr:colOff>
      <xdr:row>23</xdr:row>
      <xdr:rowOff>37900</xdr:rowOff>
    </xdr:from>
    <xdr:ext cx="360" cy="360"/>
    <mc:AlternateContent xmlns:mc="http://schemas.openxmlformats.org/markup-compatibility/2006" xmlns:xdr14="http://schemas.microsoft.com/office/excel/2010/spreadsheetDrawing" xmlns:aink="http://schemas.microsoft.com/office/drawing/2016/ink">
      <mc:Choice Requires="xdr14 aink">
        <xdr:contentPart xmlns:r="http://schemas.openxmlformats.org/officeDocument/2006/relationships" r:id="rId8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C606C463-0602-4D27-B575-4FF58DFFFEA6}"/>
                </a:ext>
              </a:extLst>
            </xdr14:cNvPr>
            <xdr14:cNvContentPartPr/>
          </xdr14:nvContentPartPr>
          <xdr14:nvPr macro=""/>
          <xdr14:xfrm>
            <a:off x="1079280" y="2768400"/>
            <a:ext cx="360" cy="360"/>
          </xdr14:xfrm>
        </xdr:contentPart>
      </mc:Choice>
      <mc:Fallback xmlns="">
        <xdr:pic>
          <xdr:nvPicPr>
            <xdr:cNvPr id="6" name="Ink 5">
              <a:extLst>
                <a:ext uri="{FF2B5EF4-FFF2-40B4-BE49-F238E27FC236}">
                  <a16:creationId xmlns:a16="http://schemas.microsoft.com/office/drawing/2014/main" id="{640DC06B-7EAE-7E15-7035-276C5E7EE30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061640" y="2660400"/>
              <a:ext cx="36000" cy="216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</xdr:col>
      <xdr:colOff>126573</xdr:colOff>
      <xdr:row>15</xdr:row>
      <xdr:rowOff>50500</xdr:rowOff>
    </xdr:from>
    <xdr:ext cx="9000" cy="42840"/>
    <mc:AlternateContent xmlns:mc="http://schemas.openxmlformats.org/markup-compatibility/2006" xmlns:xdr14="http://schemas.microsoft.com/office/excel/2010/spreadsheetDrawing" xmlns:aink="http://schemas.microsoft.com/office/drawing/2016/ink">
      <mc:Choice Requires="xdr14 aink">
        <xdr:contentPart xmlns:r="http://schemas.openxmlformats.org/officeDocument/2006/relationships" r:id="rId9">
          <xdr14:nvContentPartPr>
            <xdr14:cNvPr id="8" name="Ink 7">
              <a:extLst>
                <a:ext uri="{FF2B5EF4-FFF2-40B4-BE49-F238E27FC236}">
                  <a16:creationId xmlns:a16="http://schemas.microsoft.com/office/drawing/2014/main" id="{4B061609-11DA-474C-9303-D27B5E2EAA0F}"/>
                </a:ext>
              </a:extLst>
            </xdr14:cNvPr>
            <xdr14:cNvContentPartPr/>
          </xdr14:nvContentPartPr>
          <xdr14:nvPr macro=""/>
          <xdr14:xfrm>
            <a:off x="770040" y="2781000"/>
            <a:ext cx="9000" cy="42840"/>
          </xdr14:xfrm>
        </xdr:contentPart>
      </mc:Choice>
      <mc:Fallback xmlns="">
        <xdr:pic>
          <xdr:nvPicPr>
            <xdr:cNvPr id="4" name="Ink 3">
              <a:extLst>
                <a:ext uri="{FF2B5EF4-FFF2-40B4-BE49-F238E27FC236}">
                  <a16:creationId xmlns:a16="http://schemas.microsoft.com/office/drawing/2014/main" id="{66EB5D25-2BCC-3225-E17E-10FE4196E88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752400" y="2673000"/>
              <a:ext cx="44640" cy="25848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</xdr:col>
      <xdr:colOff>435813</xdr:colOff>
      <xdr:row>15</xdr:row>
      <xdr:rowOff>37900</xdr:rowOff>
    </xdr:from>
    <xdr:ext cx="360" cy="360"/>
    <mc:AlternateContent xmlns:mc="http://schemas.openxmlformats.org/markup-compatibility/2006" xmlns:xdr14="http://schemas.microsoft.com/office/excel/2010/spreadsheetDrawing" xmlns:aink="http://schemas.microsoft.com/office/drawing/2016/ink">
      <mc:Choice Requires="xdr14 aink">
        <xdr:contentPart xmlns:r="http://schemas.openxmlformats.org/officeDocument/2006/relationships" r:id="rId10">
          <xdr14:nvContentPartPr>
            <xdr14:cNvPr id="9" name="Ink 8">
              <a:extLst>
                <a:ext uri="{FF2B5EF4-FFF2-40B4-BE49-F238E27FC236}">
                  <a16:creationId xmlns:a16="http://schemas.microsoft.com/office/drawing/2014/main" id="{5136F8F5-570A-4C98-AF26-D9CC474A7591}"/>
                </a:ext>
              </a:extLst>
            </xdr14:cNvPr>
            <xdr14:cNvContentPartPr/>
          </xdr14:nvContentPartPr>
          <xdr14:nvPr macro=""/>
          <xdr14:xfrm>
            <a:off x="1079280" y="27684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09E7E4F4-434D-DD3E-3B16-75F3A403F06C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061640" y="2660400"/>
              <a:ext cx="36000" cy="216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</xdr:col>
      <xdr:colOff>435813</xdr:colOff>
      <xdr:row>15</xdr:row>
      <xdr:rowOff>37900</xdr:rowOff>
    </xdr:from>
    <xdr:ext cx="360" cy="360"/>
    <mc:AlternateContent xmlns:mc="http://schemas.openxmlformats.org/markup-compatibility/2006" xmlns:xdr14="http://schemas.microsoft.com/office/excel/2010/spreadsheetDrawing" xmlns:aink="http://schemas.microsoft.com/office/drawing/2016/ink">
      <mc:Choice Requires="xdr14 aink">
        <xdr:contentPart xmlns:r="http://schemas.openxmlformats.org/officeDocument/2006/relationships" r:id="rId11">
          <xdr14:nvContentPartPr>
            <xdr14:cNvPr id="10" name="Ink 9">
              <a:extLst>
                <a:ext uri="{FF2B5EF4-FFF2-40B4-BE49-F238E27FC236}">
                  <a16:creationId xmlns:a16="http://schemas.microsoft.com/office/drawing/2014/main" id="{50715B83-5B26-48A2-9E0A-215E25CD86F8}"/>
                </a:ext>
              </a:extLst>
            </xdr14:cNvPr>
            <xdr14:cNvContentPartPr/>
          </xdr14:nvContentPartPr>
          <xdr14:nvPr macro=""/>
          <xdr14:xfrm>
            <a:off x="1079280" y="2768400"/>
            <a:ext cx="360" cy="360"/>
          </xdr14:xfrm>
        </xdr:contentPart>
      </mc:Choice>
      <mc:Fallback xmlns="">
        <xdr:pic>
          <xdr:nvPicPr>
            <xdr:cNvPr id="6" name="Ink 5">
              <a:extLst>
                <a:ext uri="{FF2B5EF4-FFF2-40B4-BE49-F238E27FC236}">
                  <a16:creationId xmlns:a16="http://schemas.microsoft.com/office/drawing/2014/main" id="{640DC06B-7EAE-7E15-7035-276C5E7EE30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061640" y="2660400"/>
              <a:ext cx="36000" cy="216000"/>
            </a:xfrm>
            <a:prstGeom prst="rect">
              <a:avLst/>
            </a:prstGeom>
          </xdr:spPr>
        </xdr:pic>
      </mc:Fallback>
    </mc:AlternateContent>
    <xdr:clientData/>
  </xdr:oneCellAnchor>
  <xdr:twoCellAnchor>
    <xdr:from>
      <xdr:col>15</xdr:col>
      <xdr:colOff>560022</xdr:colOff>
      <xdr:row>96</xdr:row>
      <xdr:rowOff>5510</xdr:rowOff>
    </xdr:from>
    <xdr:to>
      <xdr:col>23</xdr:col>
      <xdr:colOff>504938</xdr:colOff>
      <xdr:row>114</xdr:row>
      <xdr:rowOff>100989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4F58292A-59B8-C11B-0CE2-3E5E229FFE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11</xdr:col>
      <xdr:colOff>0</xdr:colOff>
      <xdr:row>39</xdr:row>
      <xdr:rowOff>156991</xdr:rowOff>
    </xdr:from>
    <xdr:to>
      <xdr:col>19</xdr:col>
      <xdr:colOff>0</xdr:colOff>
      <xdr:row>54</xdr:row>
      <xdr:rowOff>45903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09DE1B1-73B3-1EE0-9F7D-2ABB21330B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10-06T15:00:16.576"/>
    </inkml:context>
    <inkml:brush xml:id="br0">
      <inkml:brushProperty name="width" value="0.1" units="cm"/>
      <inkml:brushProperty name="height" value="0.6" units="cm"/>
      <inkml:brushProperty name="color" value="#849398"/>
      <inkml:brushProperty name="ignorePressure" value="1"/>
      <inkml:brushProperty name="inkEffects" value="pencil"/>
    </inkml:brush>
  </inkml:definitions>
  <inkml:trace contextRef="#ctx0" brushRef="#br0">1 0,'0'0</inkml:trace>
  <inkml:trace contextRef="#ctx0" brushRef="#br0" timeOffset="959.74">25 118,'0'0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10-06T15:00:18.625"/>
    </inkml:context>
    <inkml:brush xml:id="br0">
      <inkml:brushProperty name="width" value="0.1" units="cm"/>
      <inkml:brushProperty name="height" value="0.6" units="cm"/>
      <inkml:brushProperty name="color" value="#849398"/>
      <inkml:brushProperty name="ignorePressure" value="1"/>
      <inkml:brushProperty name="inkEffects" value="pencil"/>
    </inkml:brush>
  </inkml:definitions>
  <inkml:trace contextRef="#ctx0" brushRef="#br0">1 0,'0'0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10-06T15:00:19.430"/>
    </inkml:context>
    <inkml:brush xml:id="br0">
      <inkml:brushProperty name="width" value="0.1" units="cm"/>
      <inkml:brushProperty name="height" value="0.6" units="cm"/>
      <inkml:brushProperty name="color" value="#849398"/>
      <inkml:brushProperty name="ignorePressure" value="1"/>
      <inkml:brushProperty name="inkEffects" value="pencil"/>
    </inkml:brush>
  </inkml:definitions>
  <inkml:trace contextRef="#ctx0" brushRef="#br0">1 0,'0'0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10-08T17:53:19.375"/>
    </inkml:context>
    <inkml:brush xml:id="br0">
      <inkml:brushProperty name="width" value="0.1" units="cm"/>
      <inkml:brushProperty name="height" value="0.6" units="cm"/>
      <inkml:brushProperty name="color" value="#849398"/>
      <inkml:brushProperty name="ignorePressure" value="1"/>
      <inkml:brushProperty name="inkEffects" value="pencil"/>
    </inkml:brush>
  </inkml:definitions>
  <inkml:trace contextRef="#ctx0" brushRef="#br0">1 0,'0'0</inkml:trace>
  <inkml:trace contextRef="#ctx0" brushRef="#br0" timeOffset="1">25 118,'0'0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10-08T17:53:19.377"/>
    </inkml:context>
    <inkml:brush xml:id="br0">
      <inkml:brushProperty name="width" value="0.1" units="cm"/>
      <inkml:brushProperty name="height" value="0.6" units="cm"/>
      <inkml:brushProperty name="color" value="#849398"/>
      <inkml:brushProperty name="ignorePressure" value="1"/>
      <inkml:brushProperty name="inkEffects" value="pencil"/>
    </inkml:brush>
  </inkml:definitions>
  <inkml:trace contextRef="#ctx0" brushRef="#br0">1 0,'0'0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10-08T17:53:19.378"/>
    </inkml:context>
    <inkml:brush xml:id="br0">
      <inkml:brushProperty name="width" value="0.1" units="cm"/>
      <inkml:brushProperty name="height" value="0.6" units="cm"/>
      <inkml:brushProperty name="color" value="#849398"/>
      <inkml:brushProperty name="ignorePressure" value="1"/>
      <inkml:brushProperty name="inkEffects" value="pencil"/>
    </inkml:brush>
  </inkml:definitions>
  <inkml:trace contextRef="#ctx0" brushRef="#br0">1 0,'0'0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10-08T18:38:11.678"/>
    </inkml:context>
    <inkml:brush xml:id="br0">
      <inkml:brushProperty name="width" value="0.1" units="cm"/>
      <inkml:brushProperty name="height" value="0.6" units="cm"/>
      <inkml:brushProperty name="color" value="#849398"/>
      <inkml:brushProperty name="ignorePressure" value="1"/>
      <inkml:brushProperty name="inkEffects" value="pencil"/>
    </inkml:brush>
  </inkml:definitions>
  <inkml:trace contextRef="#ctx0" brushRef="#br0">1 0,'0'0</inkml:trace>
  <inkml:trace contextRef="#ctx0" brushRef="#br0" timeOffset="1">25 118,'0'0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10-08T18:38:11.680"/>
    </inkml:context>
    <inkml:brush xml:id="br0">
      <inkml:brushProperty name="width" value="0.1" units="cm"/>
      <inkml:brushProperty name="height" value="0.6" units="cm"/>
      <inkml:brushProperty name="color" value="#849398"/>
      <inkml:brushProperty name="ignorePressure" value="1"/>
      <inkml:brushProperty name="inkEffects" value="pencil"/>
    </inkml:brush>
  </inkml:definitions>
  <inkml:trace contextRef="#ctx0" brushRef="#br0">1 0,'0'0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10-08T18:38:11.681"/>
    </inkml:context>
    <inkml:brush xml:id="br0">
      <inkml:brushProperty name="width" value="0.1" units="cm"/>
      <inkml:brushProperty name="height" value="0.6" units="cm"/>
      <inkml:brushProperty name="color" value="#849398"/>
      <inkml:brushProperty name="ignorePressure" value="1"/>
      <inkml:brushProperty name="inkEffects" value="pencil"/>
    </inkml:brush>
  </inkml:definitions>
  <inkml:trace contextRef="#ctx0" brushRef="#br0">1 0,'0'0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CB361-0FF1-4705-BF8A-29A0511FFFAD}">
  <dimension ref="A1:AC158"/>
  <sheetViews>
    <sheetView tabSelected="1" topLeftCell="A27" zoomScale="83" zoomScaleNormal="83" workbookViewId="0">
      <selection activeCell="K47" sqref="K47"/>
    </sheetView>
  </sheetViews>
  <sheetFormatPr defaultRowHeight="14.4" x14ac:dyDescent="0.3"/>
  <cols>
    <col min="7" max="7" width="9.6640625" customWidth="1"/>
    <col min="8" max="8" width="11.88671875" customWidth="1"/>
    <col min="9" max="9" width="10.88671875" customWidth="1"/>
    <col min="10" max="10" width="11.109375" customWidth="1"/>
    <col min="11" max="11" width="11.6640625" bestFit="1" customWidth="1"/>
    <col min="12" max="12" width="14.77734375" customWidth="1"/>
    <col min="13" max="13" width="13.88671875" customWidth="1"/>
    <col min="14" max="14" width="18.109375" customWidth="1"/>
    <col min="16" max="16" width="8.88671875" customWidth="1"/>
    <col min="17" max="17" width="9.5546875" customWidth="1"/>
    <col min="18" max="18" width="11.33203125" customWidth="1"/>
    <col min="20" max="20" width="11.109375" customWidth="1"/>
    <col min="22" max="22" width="13.5546875" customWidth="1"/>
    <col min="23" max="23" width="11.5546875" customWidth="1"/>
    <col min="24" max="24" width="11.109375" bestFit="1" customWidth="1"/>
    <col min="25" max="25" width="9.33203125" customWidth="1"/>
  </cols>
  <sheetData>
    <row r="1" spans="1:29" x14ac:dyDescent="0.3">
      <c r="A1" s="2"/>
      <c r="B1" s="3"/>
      <c r="C1" s="3"/>
      <c r="D1" s="3"/>
      <c r="E1" s="3"/>
      <c r="F1" s="3"/>
      <c r="G1" s="3"/>
      <c r="H1" s="3"/>
      <c r="I1" s="7"/>
      <c r="J1" s="3"/>
      <c r="K1" s="3"/>
      <c r="L1" s="3"/>
      <c r="M1" s="3"/>
      <c r="N1" s="3"/>
      <c r="O1" s="3"/>
      <c r="P1" s="3"/>
      <c r="Q1" s="3"/>
      <c r="R1" s="1"/>
      <c r="S1" s="1"/>
      <c r="T1" s="1"/>
      <c r="U1" s="1"/>
      <c r="V1" s="1"/>
      <c r="W1" s="1"/>
      <c r="X1" s="1"/>
      <c r="Y1" s="1"/>
      <c r="Z1" s="1"/>
    </row>
    <row r="2" spans="1:29" x14ac:dyDescent="0.3">
      <c r="A2" s="4"/>
      <c r="B2" s="24" t="s">
        <v>0</v>
      </c>
      <c r="C2" s="25"/>
      <c r="D2" s="1"/>
      <c r="E2" s="39" t="s">
        <v>7</v>
      </c>
      <c r="F2" s="40"/>
      <c r="G2" s="39" t="s">
        <v>8</v>
      </c>
      <c r="H2" s="40"/>
      <c r="I2" s="1"/>
      <c r="J2" s="39" t="s">
        <v>14</v>
      </c>
      <c r="K2" s="40"/>
      <c r="L2" s="1"/>
      <c r="M2" s="24" t="s">
        <v>19</v>
      </c>
      <c r="N2" s="25"/>
      <c r="O2" s="24" t="s">
        <v>20</v>
      </c>
      <c r="P2" s="25"/>
      <c r="Q2" s="1"/>
      <c r="R2" s="56" t="s">
        <v>56</v>
      </c>
      <c r="S2" s="57"/>
      <c r="T2" s="1"/>
      <c r="U2" s="52" t="s">
        <v>102</v>
      </c>
      <c r="V2" s="53"/>
      <c r="W2" s="1"/>
      <c r="X2" s="50" t="s">
        <v>125</v>
      </c>
      <c r="Y2" s="51"/>
      <c r="Z2" s="1"/>
    </row>
    <row r="3" spans="1:29" x14ac:dyDescent="0.3">
      <c r="A3" s="4"/>
      <c r="B3" s="26" t="s">
        <v>2</v>
      </c>
      <c r="C3" s="27">
        <f>1/POWER(1+C5,C6)</f>
        <v>0.5083492921347178</v>
      </c>
      <c r="D3" s="1"/>
      <c r="E3" s="26" t="s">
        <v>9</v>
      </c>
      <c r="F3" s="27">
        <f>(POWER(1+F5,F6)-1)/(F5*(POWER(1+F5,F6)))</f>
        <v>2.6243160444164007</v>
      </c>
      <c r="G3" s="26" t="s">
        <v>12</v>
      </c>
      <c r="H3" s="27">
        <f>(POWER(1+H5,H6)-1)/H5</f>
        <v>11.977988748859355</v>
      </c>
      <c r="I3" s="1"/>
      <c r="J3" s="26" t="s">
        <v>17</v>
      </c>
      <c r="K3" s="27">
        <f>(POWER(1+K5,K6)-(K6*K5)-1)/(POWER(K5,2)*POWER(1+K5,K6))</f>
        <v>32.466479672239096</v>
      </c>
      <c r="L3" s="1"/>
      <c r="M3" s="26" t="s">
        <v>3</v>
      </c>
      <c r="N3" s="27">
        <f>N4*((1-POWER((1+N7)/(1+N6),N5))/(N6-N7))</f>
        <v>2293.8420155366157</v>
      </c>
      <c r="O3" s="26" t="s">
        <v>3</v>
      </c>
      <c r="P3" s="27">
        <f>P4*((P5)/(1+P6))</f>
        <v>818.18181818181813</v>
      </c>
      <c r="Q3" s="1"/>
      <c r="R3" s="54" t="s">
        <v>57</v>
      </c>
      <c r="S3" s="55">
        <f>LCM(S4,S5)</f>
        <v>105</v>
      </c>
      <c r="T3" s="1"/>
      <c r="U3" s="26" t="s">
        <v>98</v>
      </c>
      <c r="V3" s="100">
        <f>RATE(V4,V5,V6,V7)</f>
        <v>0.10554808438487862</v>
      </c>
      <c r="W3" s="1"/>
      <c r="X3" s="23" t="s">
        <v>126</v>
      </c>
      <c r="Y3" s="36">
        <f>-4137.23 -2046.63 + (Y4*((POWER(1+Y5,Y6)-1)/(Y5*(POWER(1+Y5,Y6))))*(1/POWER(1+Y5,Z6))) +5327.531</f>
        <v>49.935971126853474</v>
      </c>
      <c r="Z3" s="1"/>
    </row>
    <row r="4" spans="1:29" x14ac:dyDescent="0.3">
      <c r="A4" s="4"/>
      <c r="B4" s="28" t="s">
        <v>3</v>
      </c>
      <c r="C4" s="29">
        <f>C7*(1/POWER(1+C5,C6))</f>
        <v>273.39024931005122</v>
      </c>
      <c r="D4" s="1"/>
      <c r="E4" s="26" t="s">
        <v>3</v>
      </c>
      <c r="F4" s="27">
        <f>F7*F3</f>
        <v>4324.8728411982283</v>
      </c>
      <c r="G4" s="26" t="s">
        <v>6</v>
      </c>
      <c r="H4" s="27">
        <f>H3*H7</f>
        <v>-2719.0034459910735</v>
      </c>
      <c r="I4" s="1"/>
      <c r="J4" s="26" t="s">
        <v>3</v>
      </c>
      <c r="K4" s="27">
        <f>K3*K7</f>
        <v>-1785.6563819731502</v>
      </c>
      <c r="L4" s="1"/>
      <c r="M4" s="33" t="s">
        <v>21</v>
      </c>
      <c r="N4" s="32">
        <v>638</v>
      </c>
      <c r="O4" s="33" t="s">
        <v>21</v>
      </c>
      <c r="P4" s="32">
        <v>150</v>
      </c>
      <c r="Q4" s="1"/>
      <c r="R4" s="33" t="s">
        <v>58</v>
      </c>
      <c r="S4" s="32">
        <v>15</v>
      </c>
      <c r="T4" s="1"/>
      <c r="U4" s="33" t="s">
        <v>5</v>
      </c>
      <c r="V4" s="32">
        <v>10</v>
      </c>
      <c r="W4" s="1"/>
      <c r="X4" s="35" t="s">
        <v>127</v>
      </c>
      <c r="Y4" s="22">
        <v>350</v>
      </c>
      <c r="Z4" s="1"/>
    </row>
    <row r="5" spans="1:29" x14ac:dyDescent="0.3">
      <c r="A5" s="4"/>
      <c r="B5" s="33" t="s">
        <v>4</v>
      </c>
      <c r="C5" s="32">
        <v>7.0000000000000007E-2</v>
      </c>
      <c r="D5" s="1"/>
      <c r="E5" s="33" t="s">
        <v>4</v>
      </c>
      <c r="F5" s="32">
        <v>7.0000000000000007E-2</v>
      </c>
      <c r="G5" s="33" t="s">
        <v>4</v>
      </c>
      <c r="H5" s="32">
        <v>7.0000000000000007E-2</v>
      </c>
      <c r="I5" s="1"/>
      <c r="J5" s="33" t="s">
        <v>4</v>
      </c>
      <c r="K5" s="32">
        <v>7.0000000000000007E-2</v>
      </c>
      <c r="L5" s="1"/>
      <c r="M5" s="33" t="s">
        <v>5</v>
      </c>
      <c r="N5" s="32">
        <v>6</v>
      </c>
      <c r="O5" s="33" t="s">
        <v>5</v>
      </c>
      <c r="P5" s="32">
        <v>6</v>
      </c>
      <c r="Q5" s="1"/>
      <c r="R5" s="33" t="s">
        <v>59</v>
      </c>
      <c r="S5" s="32">
        <v>21</v>
      </c>
      <c r="T5" s="1"/>
      <c r="U5" s="33" t="s">
        <v>10</v>
      </c>
      <c r="V5" s="32">
        <v>15000</v>
      </c>
      <c r="W5" s="1"/>
      <c r="X5" s="35" t="s">
        <v>4</v>
      </c>
      <c r="Y5" s="36">
        <v>0.06</v>
      </c>
      <c r="Z5" s="9" t="s">
        <v>138</v>
      </c>
      <c r="AA5" s="9" t="s">
        <v>139</v>
      </c>
      <c r="AB5" s="9" t="s">
        <v>140</v>
      </c>
      <c r="AC5" s="1"/>
    </row>
    <row r="6" spans="1:29" x14ac:dyDescent="0.3">
      <c r="A6" s="4"/>
      <c r="B6" s="33" t="s">
        <v>5</v>
      </c>
      <c r="C6" s="32">
        <v>10</v>
      </c>
      <c r="D6" s="1"/>
      <c r="E6" s="33" t="s">
        <v>5</v>
      </c>
      <c r="F6" s="32">
        <v>3</v>
      </c>
      <c r="G6" s="33" t="s">
        <v>5</v>
      </c>
      <c r="H6" s="32">
        <v>9</v>
      </c>
      <c r="I6" s="1"/>
      <c r="J6" s="33" t="s">
        <v>5</v>
      </c>
      <c r="K6" s="32">
        <v>11</v>
      </c>
      <c r="L6" s="1"/>
      <c r="M6" s="33" t="s">
        <v>4</v>
      </c>
      <c r="N6" s="32">
        <v>0.09</v>
      </c>
      <c r="O6" s="34" t="s">
        <v>23</v>
      </c>
      <c r="P6" s="42">
        <v>0.1</v>
      </c>
      <c r="Q6" s="1"/>
      <c r="R6" s="1"/>
      <c r="S6" s="1"/>
      <c r="T6" s="1"/>
      <c r="U6" s="33" t="s">
        <v>96</v>
      </c>
      <c r="V6" s="32">
        <v>-200000</v>
      </c>
      <c r="W6" s="1"/>
      <c r="X6" s="35" t="s">
        <v>5</v>
      </c>
      <c r="Y6" s="36">
        <v>4</v>
      </c>
      <c r="Z6" s="36">
        <v>5</v>
      </c>
      <c r="AA6" s="36">
        <v>10</v>
      </c>
      <c r="AB6" s="36">
        <v>10</v>
      </c>
      <c r="AC6" s="1"/>
    </row>
    <row r="7" spans="1:29" x14ac:dyDescent="0.3">
      <c r="A7" s="4"/>
      <c r="B7" s="33" t="s">
        <v>6</v>
      </c>
      <c r="C7" s="32">
        <v>537.79999999999995</v>
      </c>
      <c r="D7" s="1"/>
      <c r="E7" s="33" t="s">
        <v>10</v>
      </c>
      <c r="F7" s="32">
        <v>1648</v>
      </c>
      <c r="G7" s="33" t="s">
        <v>10</v>
      </c>
      <c r="H7" s="32">
        <v>-227</v>
      </c>
      <c r="I7" s="1"/>
      <c r="J7" s="33" t="s">
        <v>16</v>
      </c>
      <c r="K7" s="32">
        <v>-55</v>
      </c>
      <c r="L7" s="1"/>
      <c r="M7" s="33" t="s">
        <v>22</v>
      </c>
      <c r="N7" s="70">
        <v>-0.1</v>
      </c>
      <c r="O7" s="69"/>
      <c r="P7" s="69"/>
      <c r="Q7" s="1"/>
      <c r="R7" s="58" t="s">
        <v>90</v>
      </c>
      <c r="S7" s="59"/>
      <c r="T7" s="1"/>
      <c r="U7" s="33" t="s">
        <v>6</v>
      </c>
      <c r="V7" s="32">
        <v>300000</v>
      </c>
      <c r="W7" s="1"/>
      <c r="X7" s="35" t="s">
        <v>22</v>
      </c>
      <c r="Y7" s="36">
        <v>-0.2</v>
      </c>
      <c r="Z7" s="1"/>
      <c r="AA7" s="1"/>
      <c r="AB7" s="1"/>
      <c r="AC7" s="1"/>
    </row>
    <row r="8" spans="1:29" x14ac:dyDescent="0.3">
      <c r="A8" s="4"/>
      <c r="B8" s="30"/>
      <c r="C8" s="31"/>
      <c r="D8" s="1"/>
      <c r="E8" s="13"/>
      <c r="F8" s="13"/>
      <c r="G8" s="13"/>
      <c r="H8" s="13"/>
      <c r="I8" s="1"/>
      <c r="J8" s="41"/>
      <c r="K8" s="41"/>
      <c r="L8" s="1"/>
      <c r="M8" s="41"/>
      <c r="N8" s="41"/>
      <c r="O8" s="41"/>
      <c r="P8" s="41"/>
      <c r="Q8" s="1"/>
      <c r="R8" s="26" t="s">
        <v>91</v>
      </c>
      <c r="S8" s="27">
        <f>(-S11*((S9*POWER(1+S9,S10))/(POWER(1+S9,S10)-1)))+(S12*(S9/(POWER(1+S9,S10)-1)))</f>
        <v>-2.4684447093271804</v>
      </c>
      <c r="T8" s="1"/>
      <c r="U8" s="26" t="s">
        <v>99</v>
      </c>
      <c r="V8" s="100">
        <f>IRR(V28:V53)</f>
        <v>0.20697705927709298</v>
      </c>
      <c r="W8" s="1"/>
      <c r="X8" s="35" t="s">
        <v>21</v>
      </c>
      <c r="Y8" s="36"/>
      <c r="Z8" s="1"/>
    </row>
    <row r="9" spans="1:29" x14ac:dyDescent="0.3">
      <c r="A9" s="4"/>
      <c r="B9" s="26" t="s">
        <v>1</v>
      </c>
      <c r="C9" s="27">
        <f>POWER(1+C11,C12)</f>
        <v>1.06</v>
      </c>
      <c r="D9" s="1"/>
      <c r="E9" s="26" t="s">
        <v>11</v>
      </c>
      <c r="F9" s="27">
        <f>(F11*POWER(1+F11,F12))/(POWER(1+F11,F12)-1)</f>
        <v>0.15348647013842193</v>
      </c>
      <c r="G9" s="26" t="s">
        <v>13</v>
      </c>
      <c r="H9" s="27">
        <f>H11/(POWER(1+H11,H12)-1)</f>
        <v>5.6455765167727635E-2</v>
      </c>
      <c r="I9" s="1"/>
      <c r="J9" s="26" t="s">
        <v>15</v>
      </c>
      <c r="K9" s="27">
        <f>(POWER(1+K11,K12)-(K12*K11)-1)/(POWER(K11,2))</f>
        <v>34.358881000000103</v>
      </c>
      <c r="L9" s="1"/>
      <c r="M9" s="26" t="s">
        <v>6</v>
      </c>
      <c r="N9" s="27">
        <f>N10*((POWER(1+N13,N11)-POWER(1+N12,N11))/(N13-N12))</f>
        <v>16067.279655630011</v>
      </c>
      <c r="O9" s="26" t="s">
        <v>6</v>
      </c>
      <c r="P9" s="27">
        <f>P10*(P11*POWER(1+P12,P11-1))</f>
        <v>1771.4466258944003</v>
      </c>
      <c r="Q9" s="1"/>
      <c r="R9" s="33" t="s">
        <v>4</v>
      </c>
      <c r="S9" s="32">
        <v>0.12</v>
      </c>
      <c r="T9" s="1"/>
      <c r="U9" s="1"/>
      <c r="V9" s="1"/>
      <c r="W9" s="1"/>
      <c r="X9" s="1"/>
      <c r="Y9" s="1"/>
      <c r="Z9" s="1"/>
    </row>
    <row r="10" spans="1:29" x14ac:dyDescent="0.3">
      <c r="A10" s="4"/>
      <c r="B10" s="26" t="s">
        <v>6</v>
      </c>
      <c r="C10" s="27">
        <f>C13*(POWER(1+C11,C12))</f>
        <v>813.12600000000009</v>
      </c>
      <c r="D10" s="1"/>
      <c r="E10" s="26" t="s">
        <v>10</v>
      </c>
      <c r="F10" s="27">
        <f>F9*F13</f>
        <v>-825.4502364044331</v>
      </c>
      <c r="G10" s="26" t="s">
        <v>10</v>
      </c>
      <c r="H10" s="27">
        <f>H9*H13</f>
        <v>-846.83647751591457</v>
      </c>
      <c r="I10" s="1"/>
      <c r="J10" s="26" t="s">
        <v>6</v>
      </c>
      <c r="K10" s="27">
        <f>K9*K13</f>
        <v>206.15328600000061</v>
      </c>
      <c r="L10" s="1"/>
      <c r="M10" s="33" t="s">
        <v>21</v>
      </c>
      <c r="N10" s="32">
        <v>1700</v>
      </c>
      <c r="O10" s="33" t="s">
        <v>21</v>
      </c>
      <c r="P10" s="32">
        <v>200</v>
      </c>
      <c r="Q10" s="1"/>
      <c r="R10" s="33" t="s">
        <v>5</v>
      </c>
      <c r="S10" s="32">
        <v>8</v>
      </c>
      <c r="T10" s="1"/>
      <c r="U10" s="19" t="s">
        <v>129</v>
      </c>
      <c r="V10" s="20"/>
      <c r="W10" s="1"/>
      <c r="X10" s="39" t="s">
        <v>142</v>
      </c>
      <c r="Y10" s="40"/>
      <c r="Z10" s="1"/>
    </row>
    <row r="11" spans="1:29" x14ac:dyDescent="0.3">
      <c r="A11" s="4"/>
      <c r="B11" s="33" t="s">
        <v>4</v>
      </c>
      <c r="C11" s="32">
        <v>0.06</v>
      </c>
      <c r="D11" s="1"/>
      <c r="E11" s="33" t="s">
        <v>4</v>
      </c>
      <c r="F11" s="32">
        <v>7.0000000000000007E-2</v>
      </c>
      <c r="G11" s="33" t="s">
        <v>4</v>
      </c>
      <c r="H11" s="32">
        <v>0.05</v>
      </c>
      <c r="I11" s="1"/>
      <c r="J11" s="33" t="s">
        <v>4</v>
      </c>
      <c r="K11" s="32">
        <v>0.1</v>
      </c>
      <c r="L11" s="1"/>
      <c r="M11" s="33" t="s">
        <v>5</v>
      </c>
      <c r="N11" s="32">
        <v>6</v>
      </c>
      <c r="O11" s="33" t="s">
        <v>5</v>
      </c>
      <c r="P11" s="32">
        <v>7</v>
      </c>
      <c r="Q11" s="1"/>
      <c r="R11" s="33" t="s">
        <v>96</v>
      </c>
      <c r="S11" s="32">
        <v>12.464285714285714</v>
      </c>
      <c r="T11" s="1"/>
      <c r="U11" s="21" t="s">
        <v>3</v>
      </c>
      <c r="V11" s="22">
        <f>(V12*V17)+(V14/V15)*(V18)</f>
        <v>204.28266003113941</v>
      </c>
      <c r="W11" s="1"/>
      <c r="X11" s="23" t="s">
        <v>143</v>
      </c>
      <c r="Y11" s="22">
        <f>Y12+Y13+(Y12*Y13)</f>
        <v>0.12350000000000001</v>
      </c>
      <c r="Z11" s="1"/>
    </row>
    <row r="12" spans="1:29" x14ac:dyDescent="0.3">
      <c r="A12" s="4"/>
      <c r="B12" s="33" t="s">
        <v>5</v>
      </c>
      <c r="C12" s="32">
        <v>1</v>
      </c>
      <c r="D12" s="1"/>
      <c r="E12" s="33" t="s">
        <v>5</v>
      </c>
      <c r="F12" s="32">
        <v>9</v>
      </c>
      <c r="G12" s="33" t="s">
        <v>5</v>
      </c>
      <c r="H12" s="32">
        <v>13</v>
      </c>
      <c r="I12" s="1"/>
      <c r="J12" s="33" t="s">
        <v>5</v>
      </c>
      <c r="K12" s="32">
        <v>8</v>
      </c>
      <c r="L12" s="1"/>
      <c r="M12" s="33" t="s">
        <v>4</v>
      </c>
      <c r="N12" s="32">
        <v>0.08</v>
      </c>
      <c r="O12" s="34" t="s">
        <v>23</v>
      </c>
      <c r="P12" s="42">
        <v>0.04</v>
      </c>
      <c r="Q12" s="1"/>
      <c r="R12" s="33" t="s">
        <v>137</v>
      </c>
      <c r="S12" s="32">
        <v>0.5</v>
      </c>
      <c r="T12" s="1"/>
      <c r="U12" s="35" t="s">
        <v>130</v>
      </c>
      <c r="V12" s="36">
        <v>100</v>
      </c>
      <c r="W12" s="1"/>
      <c r="X12" s="35" t="s">
        <v>4</v>
      </c>
      <c r="Y12" s="36">
        <v>7.0000000000000007E-2</v>
      </c>
      <c r="Z12" s="1"/>
    </row>
    <row r="13" spans="1:29" x14ac:dyDescent="0.3">
      <c r="A13" s="4"/>
      <c r="B13" s="33" t="s">
        <v>3</v>
      </c>
      <c r="C13" s="32">
        <v>767.1</v>
      </c>
      <c r="D13" s="1"/>
      <c r="E13" s="33" t="s">
        <v>3</v>
      </c>
      <c r="F13" s="32">
        <v>-5378</v>
      </c>
      <c r="G13" s="33" t="s">
        <v>6</v>
      </c>
      <c r="H13" s="32">
        <v>-15000</v>
      </c>
      <c r="I13" s="1"/>
      <c r="J13" s="33" t="s">
        <v>16</v>
      </c>
      <c r="K13" s="32">
        <v>6</v>
      </c>
      <c r="L13" s="1"/>
      <c r="M13" s="33" t="s">
        <v>22</v>
      </c>
      <c r="N13" s="70">
        <v>0.11</v>
      </c>
      <c r="O13" s="69"/>
      <c r="P13" s="69"/>
      <c r="Q13" s="1"/>
      <c r="R13" s="58" t="s">
        <v>93</v>
      </c>
      <c r="S13" s="59"/>
      <c r="T13" s="1"/>
      <c r="U13" s="35" t="s">
        <v>131</v>
      </c>
      <c r="V13" s="36">
        <v>0.04</v>
      </c>
      <c r="W13" s="1"/>
      <c r="X13" s="35" t="s">
        <v>144</v>
      </c>
      <c r="Y13" s="36">
        <v>0.05</v>
      </c>
      <c r="Z13" s="1"/>
    </row>
    <row r="14" spans="1:29" x14ac:dyDescent="0.3">
      <c r="A14" s="4"/>
      <c r="B14" s="1"/>
      <c r="C14" s="1"/>
      <c r="D14" s="1"/>
      <c r="E14" s="1"/>
      <c r="F14" s="1"/>
      <c r="G14" s="1"/>
      <c r="H14" s="1"/>
      <c r="I14" s="1"/>
      <c r="J14" s="41"/>
      <c r="K14" s="41"/>
      <c r="L14" s="1"/>
      <c r="M14" s="1"/>
      <c r="N14" s="1"/>
      <c r="O14" s="1"/>
      <c r="P14" s="1"/>
      <c r="Q14" s="1"/>
      <c r="R14" s="26" t="s">
        <v>92</v>
      </c>
      <c r="S14" s="27">
        <f>S8+S15</f>
        <v>-3.3684447093271803</v>
      </c>
      <c r="T14" s="1"/>
      <c r="U14" s="35" t="s">
        <v>132</v>
      </c>
      <c r="V14" s="36">
        <v>10</v>
      </c>
      <c r="W14" s="1"/>
      <c r="X14" s="1"/>
      <c r="Y14" s="1"/>
      <c r="Z14" s="1"/>
    </row>
    <row r="15" spans="1:29" x14ac:dyDescent="0.3">
      <c r="A15" s="4"/>
      <c r="B15" s="37" t="s">
        <v>24</v>
      </c>
      <c r="C15" s="38"/>
      <c r="D15" s="1"/>
      <c r="E15" s="37" t="s">
        <v>30</v>
      </c>
      <c r="F15" s="38"/>
      <c r="G15" s="37" t="s">
        <v>29</v>
      </c>
      <c r="H15" s="38"/>
      <c r="I15" s="1"/>
      <c r="J15" s="26" t="s">
        <v>18</v>
      </c>
      <c r="K15" s="27">
        <f>(POWER(1+K17,K18)-(K18*K17)-1)/((POWER(1+K17,K18)-1)*K17)</f>
        <v>1.9409047665706516</v>
      </c>
      <c r="L15" s="1"/>
      <c r="M15" s="43" t="s">
        <v>31</v>
      </c>
      <c r="N15" s="44"/>
      <c r="O15" s="44"/>
      <c r="P15" s="45"/>
      <c r="Q15" s="1"/>
      <c r="R15" s="33" t="s">
        <v>97</v>
      </c>
      <c r="S15" s="32">
        <v>-0.9</v>
      </c>
      <c r="T15" s="1"/>
      <c r="U15" s="35" t="s">
        <v>26</v>
      </c>
      <c r="V15" s="36">
        <v>2</v>
      </c>
      <c r="W15" s="1"/>
    </row>
    <row r="16" spans="1:29" x14ac:dyDescent="0.3">
      <c r="A16" s="4"/>
      <c r="B16" s="26" t="s">
        <v>37</v>
      </c>
      <c r="C16" s="27">
        <f>POWER(1+(C17)/(C18),C18)-1</f>
        <v>8.2432159999999977E-2</v>
      </c>
      <c r="D16" s="1"/>
      <c r="E16" s="26" t="s">
        <v>27</v>
      </c>
      <c r="F16" s="27">
        <f>F17/F18</f>
        <v>2</v>
      </c>
      <c r="G16" s="26" t="s">
        <v>28</v>
      </c>
      <c r="H16" s="27">
        <f>POWER(1+H17,1/H18)-1</f>
        <v>1.3159403820177218E-2</v>
      </c>
      <c r="I16" s="1"/>
      <c r="J16" s="26" t="s">
        <v>10</v>
      </c>
      <c r="K16" s="27">
        <f>K15*K19</f>
        <v>582.27142997119552</v>
      </c>
      <c r="L16" s="1"/>
      <c r="M16" s="26" t="s">
        <v>6</v>
      </c>
      <c r="N16" s="27">
        <f>POWER(1+(P16)/(P17),P17*P18)</f>
        <v>1.3270217568054961</v>
      </c>
      <c r="O16" s="33" t="s">
        <v>32</v>
      </c>
      <c r="P16" s="32">
        <v>0.14399999999999999</v>
      </c>
      <c r="Q16" s="1"/>
      <c r="R16" s="58" t="s">
        <v>141</v>
      </c>
      <c r="S16" s="60"/>
      <c r="T16" s="1"/>
      <c r="U16" s="35" t="s">
        <v>5</v>
      </c>
      <c r="V16" s="36">
        <v>60</v>
      </c>
      <c r="W16" s="1"/>
    </row>
    <row r="17" spans="1:24" x14ac:dyDescent="0.3">
      <c r="A17" s="4"/>
      <c r="B17" s="33" t="s">
        <v>36</v>
      </c>
      <c r="C17" s="32">
        <v>0.08</v>
      </c>
      <c r="D17" s="1"/>
      <c r="E17" s="33" t="s">
        <v>36</v>
      </c>
      <c r="F17" s="32">
        <v>8</v>
      </c>
      <c r="G17" s="33" t="s">
        <v>25</v>
      </c>
      <c r="H17" s="32">
        <v>0.04</v>
      </c>
      <c r="I17" s="1"/>
      <c r="J17" s="33" t="s">
        <v>4</v>
      </c>
      <c r="K17" s="32">
        <v>0.03</v>
      </c>
      <c r="L17" s="1"/>
      <c r="M17" s="26" t="s">
        <v>1</v>
      </c>
      <c r="N17" s="27">
        <f>EXP(P16*P18)</f>
        <v>1.3337573041233846</v>
      </c>
      <c r="O17" s="33" t="s">
        <v>33</v>
      </c>
      <c r="P17" s="32">
        <v>4</v>
      </c>
      <c r="Q17" s="1"/>
      <c r="R17" s="23" t="s">
        <v>92</v>
      </c>
      <c r="S17" s="22">
        <f>S18*S19</f>
        <v>450</v>
      </c>
      <c r="T17" s="1"/>
      <c r="U17" s="35" t="s">
        <v>2</v>
      </c>
      <c r="V17" s="36">
        <f>1/POWER(1+V19,V16)</f>
        <v>0.30478226645907031</v>
      </c>
      <c r="W17" s="1"/>
      <c r="X17" s="73"/>
    </row>
    <row r="18" spans="1:24" x14ac:dyDescent="0.3">
      <c r="A18" s="4"/>
      <c r="B18" s="33" t="s">
        <v>26</v>
      </c>
      <c r="C18" s="32">
        <v>4</v>
      </c>
      <c r="D18" s="1"/>
      <c r="E18" s="33" t="s">
        <v>26</v>
      </c>
      <c r="F18" s="32">
        <v>4</v>
      </c>
      <c r="G18" s="33" t="s">
        <v>26</v>
      </c>
      <c r="H18" s="32">
        <v>3</v>
      </c>
      <c r="I18" s="1"/>
      <c r="J18" s="33" t="s">
        <v>5</v>
      </c>
      <c r="K18" s="32">
        <v>5</v>
      </c>
      <c r="L18" s="1"/>
      <c r="M18" s="26" t="s">
        <v>25</v>
      </c>
      <c r="N18" s="27">
        <f>EXP(P16)-1</f>
        <v>0.15488410852491352</v>
      </c>
      <c r="O18" s="33" t="s">
        <v>34</v>
      </c>
      <c r="P18" s="32">
        <v>2</v>
      </c>
      <c r="Q18" s="1"/>
      <c r="R18" s="35" t="s">
        <v>95</v>
      </c>
      <c r="S18" s="36">
        <v>5000</v>
      </c>
      <c r="T18" s="1"/>
      <c r="U18" s="35" t="s">
        <v>9</v>
      </c>
      <c r="V18" s="36">
        <f>(POWER(1+V19,V16)-1)/(V19*(POWER(1+V19,V16)))</f>
        <v>34.760886677046479</v>
      </c>
      <c r="W18" s="1"/>
    </row>
    <row r="19" spans="1:24" x14ac:dyDescent="0.3">
      <c r="A19" s="4"/>
      <c r="B19" s="15"/>
      <c r="C19" s="15"/>
      <c r="D19" s="1"/>
      <c r="E19" s="71" t="s">
        <v>39</v>
      </c>
      <c r="F19" s="72"/>
      <c r="G19" s="72"/>
      <c r="H19" s="20"/>
      <c r="I19" s="1"/>
      <c r="J19" s="34" t="s">
        <v>16</v>
      </c>
      <c r="K19" s="42">
        <v>300</v>
      </c>
      <c r="L19" s="1"/>
      <c r="M19" s="46" t="s">
        <v>103</v>
      </c>
      <c r="N19" s="47"/>
      <c r="O19" s="48" t="s">
        <v>86</v>
      </c>
      <c r="P19" s="49"/>
      <c r="Q19" s="1"/>
      <c r="R19" s="35" t="s">
        <v>4</v>
      </c>
      <c r="S19" s="36">
        <v>0.09</v>
      </c>
      <c r="T19" s="1"/>
      <c r="U19" s="23" t="s">
        <v>133</v>
      </c>
      <c r="V19" s="22">
        <f>V13/V15</f>
        <v>0.02</v>
      </c>
      <c r="W19" s="1"/>
    </row>
    <row r="20" spans="1:24" x14ac:dyDescent="0.3">
      <c r="A20" s="4"/>
      <c r="B20" s="26" t="s">
        <v>38</v>
      </c>
      <c r="C20" s="27">
        <f>POWER(1+C21,C22)-1</f>
        <v>0.12682503013196977</v>
      </c>
      <c r="D20" s="1"/>
      <c r="E20" s="26" t="s">
        <v>44</v>
      </c>
      <c r="F20" s="27">
        <f>(F21*F22)+(H21*H22)</f>
        <v>9</v>
      </c>
      <c r="G20" s="69"/>
      <c r="H20" s="69"/>
      <c r="I20" s="1"/>
      <c r="J20" s="69"/>
      <c r="K20" s="69"/>
      <c r="L20" s="1"/>
      <c r="M20" s="26" t="s">
        <v>88</v>
      </c>
      <c r="N20" s="27">
        <f>N21/N22</f>
        <v>5</v>
      </c>
      <c r="O20" s="26" t="s">
        <v>87</v>
      </c>
      <c r="P20" s="27">
        <f>P21/P22</f>
        <v>-346995</v>
      </c>
      <c r="Q20" s="1"/>
      <c r="R20" s="69"/>
      <c r="S20" s="69"/>
      <c r="T20" s="1"/>
      <c r="U20" s="1"/>
      <c r="V20" s="1"/>
      <c r="W20" s="1"/>
    </row>
    <row r="21" spans="1:24" x14ac:dyDescent="0.3">
      <c r="A21" s="1"/>
      <c r="B21" s="33" t="s">
        <v>35</v>
      </c>
      <c r="C21" s="32">
        <v>0.01</v>
      </c>
      <c r="D21" s="1"/>
      <c r="E21" s="33" t="s">
        <v>43</v>
      </c>
      <c r="F21" s="32">
        <v>0.4</v>
      </c>
      <c r="G21" s="33" t="s">
        <v>40</v>
      </c>
      <c r="H21" s="32">
        <v>0.6</v>
      </c>
      <c r="I21" s="1"/>
      <c r="J21" s="69"/>
      <c r="K21" s="69"/>
      <c r="L21" s="1"/>
      <c r="M21" s="33" t="s">
        <v>3</v>
      </c>
      <c r="N21" s="32">
        <v>1000</v>
      </c>
      <c r="O21" s="33" t="s">
        <v>10</v>
      </c>
      <c r="P21" s="32">
        <v>-17349.75</v>
      </c>
      <c r="Q21" s="1"/>
      <c r="R21" s="69"/>
      <c r="S21" s="69"/>
      <c r="T21" s="1"/>
      <c r="U21" s="23" t="s">
        <v>134</v>
      </c>
      <c r="V21" s="22">
        <f>V22/(POWER(V23,2))</f>
        <v>0.1875</v>
      </c>
      <c r="W21" s="1"/>
    </row>
    <row r="22" spans="1:24" x14ac:dyDescent="0.3">
      <c r="A22" s="4"/>
      <c r="B22" s="33" t="s">
        <v>26</v>
      </c>
      <c r="C22" s="32">
        <v>12</v>
      </c>
      <c r="D22" s="1"/>
      <c r="E22" s="33" t="s">
        <v>42</v>
      </c>
      <c r="F22" s="32">
        <v>15</v>
      </c>
      <c r="G22" s="33" t="s">
        <v>41</v>
      </c>
      <c r="H22" s="32">
        <v>5</v>
      </c>
      <c r="I22" s="1"/>
      <c r="J22" s="69"/>
      <c r="K22" s="69"/>
      <c r="L22" s="1"/>
      <c r="M22" s="33" t="s">
        <v>89</v>
      </c>
      <c r="N22" s="32">
        <v>200</v>
      </c>
      <c r="O22" s="33" t="s">
        <v>4</v>
      </c>
      <c r="P22" s="32">
        <v>0.05</v>
      </c>
      <c r="Q22" s="1"/>
      <c r="R22" s="69"/>
      <c r="S22" s="69"/>
      <c r="T22" s="1"/>
      <c r="U22" s="35" t="s">
        <v>135</v>
      </c>
      <c r="V22" s="36">
        <v>3</v>
      </c>
      <c r="W22" s="1"/>
    </row>
    <row r="23" spans="1:24" x14ac:dyDescent="0.3">
      <c r="A23" s="4"/>
      <c r="B23" s="5"/>
      <c r="C23" s="1"/>
      <c r="D23" s="1"/>
      <c r="E23" s="5"/>
      <c r="F23" s="1"/>
      <c r="G23" s="5"/>
      <c r="H23" s="1"/>
      <c r="I23" s="1"/>
      <c r="J23" s="5"/>
      <c r="K23" s="1"/>
      <c r="L23" s="1"/>
      <c r="M23" s="5"/>
      <c r="N23" s="1"/>
      <c r="O23" s="1"/>
      <c r="P23" s="1"/>
      <c r="Q23" s="1"/>
      <c r="R23" s="1"/>
      <c r="S23" s="1"/>
      <c r="T23" s="1"/>
      <c r="U23" s="35" t="s">
        <v>136</v>
      </c>
      <c r="V23" s="36">
        <v>4</v>
      </c>
      <c r="W23" s="1"/>
    </row>
    <row r="24" spans="1:24" x14ac:dyDescent="0.3">
      <c r="A24" s="6"/>
      <c r="T24" s="1"/>
      <c r="U24" s="1"/>
      <c r="V24" s="1"/>
      <c r="W24" s="1"/>
    </row>
    <row r="25" spans="1:24" x14ac:dyDescent="0.3">
      <c r="A25" s="6"/>
    </row>
    <row r="26" spans="1:24" x14ac:dyDescent="0.3">
      <c r="A26" s="4"/>
      <c r="B26" s="1" t="s">
        <v>10</v>
      </c>
      <c r="C26" s="1"/>
      <c r="D26" s="1"/>
      <c r="E26" s="1"/>
      <c r="F26" s="1"/>
      <c r="G26" s="1" t="s">
        <v>128</v>
      </c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1:24" x14ac:dyDescent="0.3">
      <c r="A27" s="4"/>
      <c r="B27" s="63" t="s">
        <v>45</v>
      </c>
      <c r="C27" s="63" t="s">
        <v>46</v>
      </c>
      <c r="D27" s="63" t="s">
        <v>47</v>
      </c>
      <c r="E27" s="63" t="s">
        <v>48</v>
      </c>
      <c r="F27" s="9"/>
      <c r="G27" s="63" t="s">
        <v>45</v>
      </c>
      <c r="H27" s="63" t="s">
        <v>46</v>
      </c>
      <c r="I27" s="63" t="s">
        <v>47</v>
      </c>
      <c r="J27" s="63" t="s">
        <v>48</v>
      </c>
      <c r="K27" s="1"/>
      <c r="L27" s="63" t="s">
        <v>49</v>
      </c>
      <c r="M27" s="63" t="s">
        <v>50</v>
      </c>
      <c r="N27" s="63" t="s">
        <v>51</v>
      </c>
      <c r="O27" s="63" t="s">
        <v>52</v>
      </c>
      <c r="P27" s="63" t="s">
        <v>53</v>
      </c>
      <c r="Q27" s="63" t="s">
        <v>54</v>
      </c>
      <c r="R27" s="63" t="s">
        <v>55</v>
      </c>
      <c r="S27" s="64" t="s">
        <v>94</v>
      </c>
      <c r="T27" s="1"/>
      <c r="U27" s="63" t="s">
        <v>45</v>
      </c>
      <c r="V27" s="63" t="s">
        <v>48</v>
      </c>
      <c r="W27" s="18" t="s">
        <v>100</v>
      </c>
      <c r="X27" s="10"/>
    </row>
    <row r="28" spans="1:24" x14ac:dyDescent="0.3">
      <c r="A28" s="4"/>
      <c r="B28" s="61" t="s">
        <v>70</v>
      </c>
      <c r="C28" s="32">
        <v>5378</v>
      </c>
      <c r="D28" s="91"/>
      <c r="E28" s="62">
        <f>D28-C28</f>
        <v>-5378</v>
      </c>
      <c r="F28" s="1"/>
      <c r="G28" s="61" t="s">
        <v>70</v>
      </c>
      <c r="H28" s="62"/>
      <c r="I28" s="62"/>
      <c r="J28" s="62">
        <f>I28-H28</f>
        <v>0</v>
      </c>
      <c r="K28" s="1"/>
      <c r="L28" s="62">
        <v>-5378</v>
      </c>
      <c r="M28" s="62"/>
      <c r="N28" s="62"/>
      <c r="O28" s="62"/>
      <c r="P28" s="62"/>
      <c r="Q28" s="62"/>
      <c r="R28" s="62"/>
      <c r="S28" s="62">
        <v>4293</v>
      </c>
      <c r="T28" s="1"/>
      <c r="U28" s="61" t="s">
        <v>70</v>
      </c>
      <c r="V28" s="62">
        <v>-5378</v>
      </c>
      <c r="W28" s="9" t="s">
        <v>101</v>
      </c>
    </row>
    <row r="29" spans="1:24" x14ac:dyDescent="0.3">
      <c r="A29" s="1"/>
      <c r="B29" s="61" t="s">
        <v>60</v>
      </c>
      <c r="C29" s="32">
        <v>227</v>
      </c>
      <c r="D29" s="91">
        <v>1648</v>
      </c>
      <c r="E29" s="62">
        <f t="shared" ref="E29:E53" si="0">D29-C29</f>
        <v>1421</v>
      </c>
      <c r="F29" s="1"/>
      <c r="G29" s="61" t="s">
        <v>60</v>
      </c>
      <c r="H29" s="62"/>
      <c r="I29" s="62"/>
      <c r="J29" s="62">
        <f>I29-H29</f>
        <v>0</v>
      </c>
      <c r="K29" s="1"/>
      <c r="L29" s="62">
        <v>-1478.9</v>
      </c>
      <c r="M29" s="62"/>
      <c r="N29" s="62"/>
      <c r="O29" s="62"/>
      <c r="P29" s="62"/>
      <c r="Q29" s="62"/>
      <c r="R29" s="62"/>
      <c r="S29" s="62">
        <f>1/0.16</f>
        <v>6.25</v>
      </c>
      <c r="T29" s="1"/>
      <c r="U29" s="61" t="s">
        <v>60</v>
      </c>
      <c r="V29" s="62">
        <v>1421</v>
      </c>
      <c r="W29" s="1"/>
    </row>
    <row r="30" spans="1:24" x14ac:dyDescent="0.3">
      <c r="A30" s="1"/>
      <c r="B30" s="61" t="s">
        <v>61</v>
      </c>
      <c r="C30" s="32">
        <f>C29</f>
        <v>227</v>
      </c>
      <c r="D30" s="91">
        <f>D29</f>
        <v>1648</v>
      </c>
      <c r="E30" s="62">
        <f t="shared" si="0"/>
        <v>1421</v>
      </c>
      <c r="F30" s="1"/>
      <c r="G30" s="61" t="s">
        <v>61</v>
      </c>
      <c r="H30" s="62"/>
      <c r="I30" s="62"/>
      <c r="J30" s="62">
        <f>I30-H30</f>
        <v>0</v>
      </c>
      <c r="K30" s="1"/>
      <c r="L30" s="62">
        <v>4324.87</v>
      </c>
      <c r="M30" s="62"/>
      <c r="N30" s="62"/>
      <c r="O30" s="62"/>
      <c r="P30" s="62"/>
      <c r="Q30" s="62"/>
      <c r="R30" s="62"/>
      <c r="S30" s="62"/>
      <c r="T30" s="1"/>
      <c r="U30" s="61" t="s">
        <v>61</v>
      </c>
      <c r="V30" s="62">
        <v>1421</v>
      </c>
      <c r="W30" s="1"/>
    </row>
    <row r="31" spans="1:24" x14ac:dyDescent="0.3">
      <c r="A31" s="1"/>
      <c r="B31" s="61" t="s">
        <v>62</v>
      </c>
      <c r="C31" s="32">
        <f t="shared" ref="C31:C37" si="1">C30</f>
        <v>227</v>
      </c>
      <c r="D31" s="91">
        <f>D30</f>
        <v>1648</v>
      </c>
      <c r="E31" s="62">
        <f t="shared" si="0"/>
        <v>1421</v>
      </c>
      <c r="F31" s="1"/>
      <c r="G31" s="61" t="s">
        <v>62</v>
      </c>
      <c r="H31" s="62"/>
      <c r="I31" s="62"/>
      <c r="J31" s="62">
        <f t="shared" ref="J31:J36" si="2">I31-H31</f>
        <v>0</v>
      </c>
      <c r="K31" s="1"/>
      <c r="L31" s="62">
        <v>5659.45</v>
      </c>
      <c r="M31" s="62"/>
      <c r="N31" s="62"/>
      <c r="O31" s="62"/>
      <c r="P31" s="62"/>
      <c r="Q31" s="62"/>
      <c r="R31" s="62"/>
      <c r="S31" s="62"/>
      <c r="T31" s="1"/>
      <c r="U31" s="61" t="s">
        <v>62</v>
      </c>
      <c r="V31" s="62">
        <v>1421</v>
      </c>
      <c r="W31" s="1"/>
    </row>
    <row r="32" spans="1:24" x14ac:dyDescent="0.3">
      <c r="A32" s="1"/>
      <c r="B32" s="61" t="s">
        <v>68</v>
      </c>
      <c r="C32" s="32">
        <f>C31</f>
        <v>227</v>
      </c>
      <c r="D32" s="91">
        <f>D31</f>
        <v>1648</v>
      </c>
      <c r="E32" s="62">
        <f t="shared" ref="E32:E38" si="3">D32-C32</f>
        <v>1421</v>
      </c>
      <c r="F32" s="1"/>
      <c r="G32" s="61" t="s">
        <v>68</v>
      </c>
      <c r="H32" s="62"/>
      <c r="I32" s="62"/>
      <c r="J32" s="62">
        <f t="shared" si="2"/>
        <v>0</v>
      </c>
      <c r="K32" s="1"/>
      <c r="L32" s="62">
        <v>273.39</v>
      </c>
      <c r="M32" s="62"/>
      <c r="N32" s="62"/>
      <c r="O32" s="62"/>
      <c r="P32" s="62"/>
      <c r="Q32" s="62"/>
      <c r="R32" s="62"/>
      <c r="S32" s="62"/>
      <c r="T32" s="1"/>
      <c r="U32" s="61" t="s">
        <v>68</v>
      </c>
      <c r="V32" s="62">
        <v>1421</v>
      </c>
      <c r="W32" s="1"/>
    </row>
    <row r="33" spans="1:24" x14ac:dyDescent="0.3">
      <c r="A33" s="1"/>
      <c r="B33" s="61" t="s">
        <v>63</v>
      </c>
      <c r="C33" s="32">
        <f t="shared" si="1"/>
        <v>227</v>
      </c>
      <c r="D33" s="91">
        <f>D32-84</f>
        <v>1564</v>
      </c>
      <c r="E33" s="62">
        <f t="shared" si="3"/>
        <v>1337</v>
      </c>
      <c r="F33" s="1"/>
      <c r="G33" s="61" t="s">
        <v>63</v>
      </c>
      <c r="H33" s="62"/>
      <c r="I33" s="62"/>
      <c r="J33" s="62">
        <f t="shared" si="2"/>
        <v>0</v>
      </c>
      <c r="K33" s="1"/>
      <c r="L33" s="62"/>
      <c r="M33" s="62"/>
      <c r="N33" s="62"/>
      <c r="O33" s="62"/>
      <c r="P33" s="62"/>
      <c r="Q33" s="62"/>
      <c r="R33" s="62"/>
      <c r="S33" s="62"/>
      <c r="T33" s="1"/>
      <c r="U33" s="61" t="s">
        <v>63</v>
      </c>
      <c r="V33" s="62">
        <v>1337</v>
      </c>
      <c r="W33" s="1"/>
      <c r="X33" s="17"/>
    </row>
    <row r="34" spans="1:24" x14ac:dyDescent="0.3">
      <c r="A34" s="1"/>
      <c r="B34" s="61" t="s">
        <v>64</v>
      </c>
      <c r="C34" s="32">
        <f t="shared" si="1"/>
        <v>227</v>
      </c>
      <c r="D34" s="91">
        <f>D33-84</f>
        <v>1480</v>
      </c>
      <c r="E34" s="62">
        <f t="shared" si="3"/>
        <v>1253</v>
      </c>
      <c r="F34" s="1"/>
      <c r="G34" s="61" t="s">
        <v>64</v>
      </c>
      <c r="H34" s="62"/>
      <c r="I34" s="62"/>
      <c r="J34" s="62">
        <f t="shared" si="2"/>
        <v>0</v>
      </c>
      <c r="K34" s="1"/>
      <c r="L34" s="62"/>
      <c r="M34" s="62"/>
      <c r="N34" s="62"/>
      <c r="O34" s="62"/>
      <c r="P34" s="62"/>
      <c r="Q34" s="62"/>
      <c r="R34" s="62"/>
      <c r="S34" s="62"/>
      <c r="T34" s="1"/>
      <c r="U34" s="61" t="s">
        <v>64</v>
      </c>
      <c r="V34" s="62">
        <v>1253</v>
      </c>
      <c r="W34" s="1"/>
    </row>
    <row r="35" spans="1:24" x14ac:dyDescent="0.3">
      <c r="A35" s="1"/>
      <c r="B35" s="61" t="s">
        <v>65</v>
      </c>
      <c r="C35" s="32">
        <f t="shared" si="1"/>
        <v>227</v>
      </c>
      <c r="D35" s="91">
        <f>D34-84</f>
        <v>1396</v>
      </c>
      <c r="E35" s="62">
        <f t="shared" si="3"/>
        <v>1169</v>
      </c>
      <c r="F35" s="1"/>
      <c r="G35" s="61" t="s">
        <v>65</v>
      </c>
      <c r="H35" s="62"/>
      <c r="I35" s="62"/>
      <c r="J35" s="62">
        <f t="shared" si="2"/>
        <v>0</v>
      </c>
      <c r="K35" s="1"/>
      <c r="L35" s="62"/>
      <c r="M35" s="62"/>
      <c r="N35" s="62"/>
      <c r="O35" s="62"/>
      <c r="P35" s="62"/>
      <c r="Q35" s="62"/>
      <c r="R35" s="62"/>
      <c r="S35" s="62"/>
      <c r="T35" s="1"/>
      <c r="U35" s="61" t="s">
        <v>65</v>
      </c>
      <c r="V35" s="62">
        <v>1169</v>
      </c>
      <c r="W35" s="1"/>
    </row>
    <row r="36" spans="1:24" x14ac:dyDescent="0.3">
      <c r="A36" s="1"/>
      <c r="B36" s="61" t="s">
        <v>66</v>
      </c>
      <c r="C36" s="32">
        <f t="shared" si="1"/>
        <v>227</v>
      </c>
      <c r="D36" s="91">
        <f>D35-84</f>
        <v>1312</v>
      </c>
      <c r="E36" s="62">
        <f t="shared" si="3"/>
        <v>1085</v>
      </c>
      <c r="F36" s="1"/>
      <c r="G36" s="61" t="s">
        <v>66</v>
      </c>
      <c r="H36" s="62"/>
      <c r="I36" s="62"/>
      <c r="J36" s="62">
        <f t="shared" si="2"/>
        <v>0</v>
      </c>
      <c r="K36" s="1"/>
      <c r="L36" s="62"/>
      <c r="M36" s="62"/>
      <c r="N36" s="62"/>
      <c r="O36" s="62"/>
      <c r="P36" s="62"/>
      <c r="Q36" s="62"/>
      <c r="R36" s="62"/>
      <c r="S36" s="62"/>
      <c r="T36" s="1"/>
      <c r="U36" s="61" t="s">
        <v>66</v>
      </c>
      <c r="V36" s="62">
        <v>1085</v>
      </c>
      <c r="W36" s="1"/>
    </row>
    <row r="37" spans="1:24" x14ac:dyDescent="0.3">
      <c r="A37" s="1"/>
      <c r="B37" s="61" t="s">
        <v>67</v>
      </c>
      <c r="C37" s="32">
        <f t="shared" si="1"/>
        <v>227</v>
      </c>
      <c r="D37" s="91">
        <f>D36-84</f>
        <v>1228</v>
      </c>
      <c r="E37" s="62">
        <f t="shared" si="3"/>
        <v>1001</v>
      </c>
      <c r="F37" s="1"/>
      <c r="G37" s="61" t="s">
        <v>67</v>
      </c>
      <c r="H37" s="62"/>
      <c r="I37" s="62"/>
      <c r="J37" s="62">
        <f>I37-H37</f>
        <v>0</v>
      </c>
      <c r="K37" s="1"/>
      <c r="L37" s="62"/>
      <c r="M37" s="62"/>
      <c r="N37" s="62"/>
      <c r="O37" s="62"/>
      <c r="P37" s="62"/>
      <c r="Q37" s="62"/>
      <c r="R37" s="62"/>
      <c r="S37" s="62"/>
      <c r="T37" s="1"/>
      <c r="U37" s="61" t="s">
        <v>67</v>
      </c>
      <c r="V37" s="62">
        <v>1001</v>
      </c>
      <c r="W37" s="1"/>
    </row>
    <row r="38" spans="1:24" x14ac:dyDescent="0.3">
      <c r="A38" s="1"/>
      <c r="B38" s="61" t="s">
        <v>69</v>
      </c>
      <c r="C38" s="32"/>
      <c r="D38" s="91">
        <v>537.79999999999995</v>
      </c>
      <c r="E38" s="62">
        <f t="shared" si="3"/>
        <v>537.79999999999995</v>
      </c>
      <c r="F38" s="1"/>
      <c r="G38" s="61" t="s">
        <v>69</v>
      </c>
      <c r="H38" s="62"/>
      <c r="I38" s="62"/>
      <c r="J38" s="62">
        <f t="shared" ref="J38:J53" si="4">I38-H38</f>
        <v>0</v>
      </c>
      <c r="K38" s="1"/>
      <c r="L38" s="62"/>
      <c r="M38" s="62"/>
      <c r="N38" s="62"/>
      <c r="O38" s="62"/>
      <c r="P38" s="62"/>
      <c r="Q38" s="62"/>
      <c r="R38" s="62"/>
      <c r="S38" s="62"/>
      <c r="T38" s="1"/>
      <c r="U38" s="61" t="s">
        <v>69</v>
      </c>
      <c r="V38" s="62">
        <v>537.79999999999995</v>
      </c>
      <c r="W38" s="1"/>
    </row>
    <row r="39" spans="1:24" x14ac:dyDescent="0.3">
      <c r="A39" s="1"/>
      <c r="B39" s="61" t="s">
        <v>71</v>
      </c>
      <c r="C39" s="62"/>
      <c r="D39" s="62"/>
      <c r="E39" s="62">
        <f t="shared" si="0"/>
        <v>0</v>
      </c>
      <c r="F39" s="1"/>
      <c r="G39" s="61" t="s">
        <v>71</v>
      </c>
      <c r="H39" s="62"/>
      <c r="I39" s="62"/>
      <c r="J39" s="62">
        <f t="shared" si="4"/>
        <v>0</v>
      </c>
      <c r="K39" s="1"/>
      <c r="L39" s="65">
        <f>SUM(L28,L29,L30,L31,L32,L33,L34,L35,L36,L37,L38)</f>
        <v>3400.81</v>
      </c>
      <c r="M39" s="65">
        <f t="shared" ref="M39" si="5">SUM(M28,M29,M30,M31,M32,M33,M34,M35,M36,M37,M38)</f>
        <v>0</v>
      </c>
      <c r="N39" s="65">
        <f>SUM(N28,N29,N30,N31,N32,N33,N34,N35,N36,N37,N38)</f>
        <v>0</v>
      </c>
      <c r="O39" s="65">
        <f>SUM(O28,O29,O30,O31,O32,O33,O34,O35,O36,O37,O38)</f>
        <v>0</v>
      </c>
      <c r="P39" s="65">
        <f t="shared" ref="P39:R39" si="6">SUM(P28,P29,P30,P31,P32,P33,P34,P35,P36,P37,P38)</f>
        <v>0</v>
      </c>
      <c r="Q39" s="65">
        <f t="shared" si="6"/>
        <v>0</v>
      </c>
      <c r="R39" s="65">
        <f t="shared" si="6"/>
        <v>0</v>
      </c>
      <c r="S39" s="66">
        <f>PRODUCT(S28,S29,S30,S31,S32,S33,S34,S35,S36,S37,S38)</f>
        <v>26831.25</v>
      </c>
      <c r="T39" s="1"/>
      <c r="U39" s="61" t="s">
        <v>71</v>
      </c>
      <c r="V39" s="62"/>
      <c r="W39" s="1"/>
    </row>
    <row r="40" spans="1:24" x14ac:dyDescent="0.3">
      <c r="A40" s="1"/>
      <c r="B40" s="61" t="s">
        <v>72</v>
      </c>
      <c r="C40" s="62"/>
      <c r="D40" s="62"/>
      <c r="E40" s="62">
        <f>D40-C40</f>
        <v>0</v>
      </c>
      <c r="F40" s="1"/>
      <c r="G40" s="61" t="s">
        <v>72</v>
      </c>
      <c r="H40" s="62"/>
      <c r="I40" s="62"/>
      <c r="J40" s="62">
        <f t="shared" si="4"/>
        <v>0</v>
      </c>
      <c r="K40" s="1"/>
      <c r="L40" s="1"/>
      <c r="M40" s="1"/>
      <c r="N40" s="1"/>
      <c r="O40" s="1"/>
      <c r="P40" s="1"/>
      <c r="Q40" s="1"/>
      <c r="R40" s="1"/>
      <c r="S40" s="1"/>
      <c r="T40" s="1"/>
      <c r="U40" s="61" t="s">
        <v>72</v>
      </c>
      <c r="V40" s="62"/>
      <c r="W40" s="1"/>
    </row>
    <row r="41" spans="1:24" x14ac:dyDescent="0.3">
      <c r="A41" s="1"/>
      <c r="B41" s="61" t="s">
        <v>73</v>
      </c>
      <c r="C41" s="62"/>
      <c r="D41" s="62"/>
      <c r="E41" s="62">
        <f>D41-C41</f>
        <v>0</v>
      </c>
      <c r="F41" s="1"/>
      <c r="G41" s="61" t="s">
        <v>73</v>
      </c>
      <c r="H41" s="62"/>
      <c r="I41" s="62"/>
      <c r="J41" s="62">
        <f t="shared" si="4"/>
        <v>0</v>
      </c>
      <c r="K41" s="1"/>
      <c r="T41" s="1"/>
      <c r="U41" s="61" t="s">
        <v>73</v>
      </c>
      <c r="V41" s="62"/>
      <c r="W41" s="1"/>
    </row>
    <row r="42" spans="1:24" x14ac:dyDescent="0.3">
      <c r="A42" s="1"/>
      <c r="B42" s="61" t="s">
        <v>74</v>
      </c>
      <c r="C42" s="62"/>
      <c r="D42" s="62"/>
      <c r="E42" s="62">
        <f t="shared" si="0"/>
        <v>0</v>
      </c>
      <c r="F42" s="1"/>
      <c r="G42" s="61" t="s">
        <v>74</v>
      </c>
      <c r="H42" s="62"/>
      <c r="I42" s="62"/>
      <c r="J42" s="62">
        <f t="shared" si="4"/>
        <v>0</v>
      </c>
      <c r="K42" s="1"/>
      <c r="T42" s="1"/>
      <c r="U42" s="61" t="s">
        <v>74</v>
      </c>
      <c r="V42" s="62"/>
      <c r="W42" s="1"/>
    </row>
    <row r="43" spans="1:24" x14ac:dyDescent="0.3">
      <c r="A43" s="1"/>
      <c r="B43" s="61" t="s">
        <v>75</v>
      </c>
      <c r="C43" s="62"/>
      <c r="D43" s="62"/>
      <c r="E43" s="62">
        <f t="shared" si="0"/>
        <v>0</v>
      </c>
      <c r="F43" s="1"/>
      <c r="G43" s="61" t="s">
        <v>75</v>
      </c>
      <c r="H43" s="62"/>
      <c r="I43" s="62"/>
      <c r="J43" s="62">
        <f t="shared" si="4"/>
        <v>0</v>
      </c>
      <c r="K43" s="1"/>
      <c r="T43" s="1"/>
      <c r="U43" s="61" t="s">
        <v>75</v>
      </c>
      <c r="V43" s="62"/>
      <c r="W43" s="1"/>
    </row>
    <row r="44" spans="1:24" x14ac:dyDescent="0.3">
      <c r="A44" s="1"/>
      <c r="B44" s="61" t="s">
        <v>76</v>
      </c>
      <c r="C44" s="62"/>
      <c r="D44" s="62"/>
      <c r="E44" s="62">
        <f t="shared" si="0"/>
        <v>0</v>
      </c>
      <c r="F44" s="1"/>
      <c r="G44" s="61" t="s">
        <v>76</v>
      </c>
      <c r="H44" s="62"/>
      <c r="I44" s="62"/>
      <c r="J44" s="62">
        <f t="shared" si="4"/>
        <v>0</v>
      </c>
      <c r="K44" s="1"/>
      <c r="T44" s="1"/>
      <c r="U44" s="61" t="s">
        <v>76</v>
      </c>
      <c r="V44" s="62"/>
      <c r="W44" s="1"/>
    </row>
    <row r="45" spans="1:24" x14ac:dyDescent="0.3">
      <c r="A45" s="1"/>
      <c r="B45" s="61" t="s">
        <v>77</v>
      </c>
      <c r="C45" s="62"/>
      <c r="D45" s="62"/>
      <c r="E45" s="62">
        <f t="shared" si="0"/>
        <v>0</v>
      </c>
      <c r="F45" s="1"/>
      <c r="G45" s="61" t="s">
        <v>77</v>
      </c>
      <c r="H45" s="62"/>
      <c r="I45" s="62"/>
      <c r="J45" s="62">
        <f t="shared" si="4"/>
        <v>0</v>
      </c>
      <c r="K45" s="1"/>
      <c r="T45" s="1"/>
      <c r="U45" s="61" t="s">
        <v>77</v>
      </c>
      <c r="V45" s="62"/>
      <c r="W45" s="1"/>
    </row>
    <row r="46" spans="1:24" x14ac:dyDescent="0.3">
      <c r="A46" s="1"/>
      <c r="B46" s="61" t="s">
        <v>78</v>
      </c>
      <c r="C46" s="62"/>
      <c r="D46" s="62"/>
      <c r="E46" s="62">
        <f t="shared" si="0"/>
        <v>0</v>
      </c>
      <c r="F46" s="1"/>
      <c r="G46" s="61" t="s">
        <v>78</v>
      </c>
      <c r="H46" s="62"/>
      <c r="I46" s="62"/>
      <c r="J46" s="62">
        <f t="shared" si="4"/>
        <v>0</v>
      </c>
      <c r="K46" s="1"/>
      <c r="T46" s="1"/>
      <c r="U46" s="61" t="s">
        <v>78</v>
      </c>
      <c r="V46" s="62"/>
      <c r="W46" s="1"/>
    </row>
    <row r="47" spans="1:24" x14ac:dyDescent="0.3">
      <c r="A47" s="1"/>
      <c r="B47" s="61" t="s">
        <v>79</v>
      </c>
      <c r="C47" s="62"/>
      <c r="D47" s="62"/>
      <c r="E47" s="62">
        <f t="shared" si="0"/>
        <v>0</v>
      </c>
      <c r="F47" s="1"/>
      <c r="G47" s="61" t="s">
        <v>79</v>
      </c>
      <c r="H47" s="62"/>
      <c r="I47" s="62"/>
      <c r="J47" s="62">
        <f t="shared" si="4"/>
        <v>0</v>
      </c>
      <c r="K47" s="1"/>
      <c r="T47" s="1"/>
      <c r="U47" s="61" t="s">
        <v>79</v>
      </c>
      <c r="V47" s="62"/>
      <c r="W47" s="1"/>
    </row>
    <row r="48" spans="1:24" x14ac:dyDescent="0.3">
      <c r="A48" s="1"/>
      <c r="B48" s="61" t="s">
        <v>80</v>
      </c>
      <c r="C48" s="62"/>
      <c r="D48" s="62"/>
      <c r="E48" s="62">
        <f t="shared" si="0"/>
        <v>0</v>
      </c>
      <c r="F48" s="1"/>
      <c r="G48" s="61" t="s">
        <v>80</v>
      </c>
      <c r="H48" s="62"/>
      <c r="I48" s="62"/>
      <c r="J48" s="62">
        <f t="shared" si="4"/>
        <v>0</v>
      </c>
      <c r="K48" s="1"/>
      <c r="T48" s="1"/>
      <c r="U48" s="61" t="s">
        <v>80</v>
      </c>
      <c r="V48" s="62"/>
      <c r="W48" s="1"/>
    </row>
    <row r="49" spans="1:29" x14ac:dyDescent="0.3">
      <c r="A49" s="1"/>
      <c r="B49" s="61" t="s">
        <v>81</v>
      </c>
      <c r="C49" s="62"/>
      <c r="D49" s="62"/>
      <c r="E49" s="62">
        <f t="shared" si="0"/>
        <v>0</v>
      </c>
      <c r="F49" s="1"/>
      <c r="G49" s="61" t="s">
        <v>81</v>
      </c>
      <c r="H49" s="62"/>
      <c r="I49" s="62"/>
      <c r="J49" s="62">
        <f t="shared" si="4"/>
        <v>0</v>
      </c>
      <c r="K49" s="1"/>
      <c r="T49" s="1"/>
      <c r="U49" s="61" t="s">
        <v>81</v>
      </c>
      <c r="V49" s="62"/>
      <c r="W49" s="1"/>
    </row>
    <row r="50" spans="1:29" x14ac:dyDescent="0.3">
      <c r="A50" s="1"/>
      <c r="B50" s="61" t="s">
        <v>82</v>
      </c>
      <c r="C50" s="62"/>
      <c r="D50" s="62"/>
      <c r="E50" s="62">
        <f t="shared" si="0"/>
        <v>0</v>
      </c>
      <c r="F50" s="1"/>
      <c r="G50" s="61" t="s">
        <v>82</v>
      </c>
      <c r="H50" s="62"/>
      <c r="I50" s="62"/>
      <c r="J50" s="62">
        <f t="shared" si="4"/>
        <v>0</v>
      </c>
      <c r="K50" s="1"/>
      <c r="T50" s="1"/>
      <c r="U50" s="61" t="s">
        <v>82</v>
      </c>
      <c r="V50" s="62"/>
      <c r="W50" s="1"/>
    </row>
    <row r="51" spans="1:29" x14ac:dyDescent="0.3">
      <c r="A51" s="1"/>
      <c r="B51" s="61" t="s">
        <v>83</v>
      </c>
      <c r="C51" s="62"/>
      <c r="D51" s="62"/>
      <c r="E51" s="62">
        <f t="shared" si="0"/>
        <v>0</v>
      </c>
      <c r="F51" s="1"/>
      <c r="G51" s="61" t="s">
        <v>83</v>
      </c>
      <c r="H51" s="62"/>
      <c r="I51" s="62"/>
      <c r="J51" s="62">
        <f t="shared" si="4"/>
        <v>0</v>
      </c>
      <c r="K51" s="1"/>
      <c r="T51" s="1"/>
      <c r="U51" s="61" t="s">
        <v>83</v>
      </c>
      <c r="V51" s="62"/>
      <c r="W51" s="1"/>
    </row>
    <row r="52" spans="1:29" x14ac:dyDescent="0.3">
      <c r="A52" s="1"/>
      <c r="B52" s="61" t="s">
        <v>84</v>
      </c>
      <c r="C52" s="62"/>
      <c r="D52" s="62"/>
      <c r="E52" s="62">
        <f t="shared" si="0"/>
        <v>0</v>
      </c>
      <c r="F52" s="1"/>
      <c r="G52" s="61" t="s">
        <v>84</v>
      </c>
      <c r="H52" s="62"/>
      <c r="I52" s="62"/>
      <c r="J52" s="62">
        <f t="shared" si="4"/>
        <v>0</v>
      </c>
      <c r="K52" s="1"/>
      <c r="T52" s="1"/>
      <c r="U52" s="61" t="s">
        <v>84</v>
      </c>
      <c r="V52" s="62"/>
      <c r="W52" s="1"/>
    </row>
    <row r="53" spans="1:29" x14ac:dyDescent="0.3">
      <c r="A53" s="1"/>
      <c r="B53" s="61" t="s">
        <v>85</v>
      </c>
      <c r="C53" s="62"/>
      <c r="D53" s="62"/>
      <c r="E53" s="62">
        <f t="shared" si="0"/>
        <v>0</v>
      </c>
      <c r="F53" s="1"/>
      <c r="G53" s="61" t="s">
        <v>85</v>
      </c>
      <c r="H53" s="62"/>
      <c r="I53" s="62"/>
      <c r="J53" s="62">
        <f t="shared" si="4"/>
        <v>0</v>
      </c>
      <c r="K53" s="1"/>
      <c r="T53" s="1"/>
      <c r="U53" s="61" t="s">
        <v>85</v>
      </c>
      <c r="V53" s="67"/>
      <c r="W53" s="1"/>
    </row>
    <row r="54" spans="1:29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T54" s="1"/>
      <c r="U54" s="9"/>
      <c r="V54" s="9"/>
      <c r="W54" s="1"/>
    </row>
    <row r="55" spans="1:29" x14ac:dyDescent="0.3">
      <c r="K55" s="1"/>
      <c r="L55" s="1"/>
      <c r="M55" s="1"/>
      <c r="N55" s="1"/>
      <c r="O55" s="1"/>
      <c r="P55" s="1"/>
      <c r="Q55" s="1"/>
      <c r="R55" s="1"/>
      <c r="S55" s="1"/>
      <c r="T55" s="1"/>
    </row>
    <row r="57" spans="1:29" ht="15" thickBot="1" x14ac:dyDescent="0.35">
      <c r="A57" s="4"/>
      <c r="B57" s="1"/>
      <c r="C57" s="1"/>
      <c r="D57" s="1"/>
      <c r="E57" s="1"/>
      <c r="F57" s="1"/>
      <c r="G57" s="1"/>
      <c r="H57" s="1"/>
      <c r="I57" s="1"/>
      <c r="J57" s="1"/>
      <c r="K57" s="1">
        <v>1</v>
      </c>
      <c r="L57" s="1"/>
      <c r="M57" s="1"/>
      <c r="N57" s="1"/>
      <c r="O57" s="1"/>
      <c r="P57" s="1"/>
      <c r="Q57" s="1"/>
      <c r="R57" s="1"/>
      <c r="S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x14ac:dyDescent="0.3">
      <c r="A58" s="4"/>
      <c r="B58" s="63" t="s">
        <v>45</v>
      </c>
      <c r="C58" s="89" t="s">
        <v>46</v>
      </c>
      <c r="D58" s="90" t="s">
        <v>47</v>
      </c>
      <c r="E58" s="94" t="s">
        <v>48</v>
      </c>
      <c r="F58" s="92" t="s">
        <v>104</v>
      </c>
      <c r="G58" s="94" t="s">
        <v>173</v>
      </c>
      <c r="H58" s="98" t="s">
        <v>170</v>
      </c>
      <c r="I58" s="87" t="s">
        <v>171</v>
      </c>
      <c r="J58" s="86" t="s">
        <v>163</v>
      </c>
      <c r="K58" s="87" t="s">
        <v>164</v>
      </c>
      <c r="L58" s="88" t="s">
        <v>172</v>
      </c>
      <c r="M58" s="88" t="s">
        <v>174</v>
      </c>
      <c r="N58" s="94" t="s">
        <v>175</v>
      </c>
      <c r="O58" s="97" t="s">
        <v>105</v>
      </c>
      <c r="P58" s="97" t="s">
        <v>166</v>
      </c>
      <c r="Q58" s="97" t="s">
        <v>146</v>
      </c>
      <c r="R58" s="97" t="s">
        <v>128</v>
      </c>
      <c r="S58" s="1"/>
      <c r="U58" s="1"/>
      <c r="V58" s="83" t="s">
        <v>162</v>
      </c>
      <c r="W58" s="83" t="s">
        <v>104</v>
      </c>
      <c r="X58" s="83" t="s">
        <v>163</v>
      </c>
      <c r="Y58" s="83" t="s">
        <v>164</v>
      </c>
      <c r="Z58" s="83" t="s">
        <v>165</v>
      </c>
      <c r="AA58" s="83" t="s">
        <v>167</v>
      </c>
      <c r="AB58" s="83" t="s">
        <v>166</v>
      </c>
      <c r="AC58" s="1"/>
    </row>
    <row r="59" spans="1:29" x14ac:dyDescent="0.3">
      <c r="A59" s="4"/>
      <c r="B59" s="61">
        <v>0</v>
      </c>
      <c r="C59" s="32">
        <v>5378</v>
      </c>
      <c r="D59" s="91"/>
      <c r="E59" s="95">
        <f>D59-C59</f>
        <v>-5378</v>
      </c>
      <c r="F59" s="93">
        <f>E59</f>
        <v>-5378</v>
      </c>
      <c r="G59" s="95">
        <f>F59</f>
        <v>-5378</v>
      </c>
      <c r="H59" s="99">
        <v>0</v>
      </c>
      <c r="I59" s="62">
        <f>E59-H59</f>
        <v>-5378</v>
      </c>
      <c r="J59" s="85">
        <f t="shared" ref="J59:J84" si="7">I59*P$59</f>
        <v>-1559.62</v>
      </c>
      <c r="K59" s="62">
        <v>0</v>
      </c>
      <c r="L59" s="84">
        <f>E59-K59</f>
        <v>-5378</v>
      </c>
      <c r="M59" s="84">
        <f>L59*(1/POWER(1+O$59,B59))</f>
        <v>-5378</v>
      </c>
      <c r="N59" s="95">
        <f>L59</f>
        <v>-5378</v>
      </c>
      <c r="O59" s="32">
        <v>0.12350000000000001</v>
      </c>
      <c r="P59" s="32">
        <v>0.28999999999999998</v>
      </c>
      <c r="Q59" s="32">
        <v>0.22573631731887289</v>
      </c>
      <c r="R59" s="32">
        <v>5378</v>
      </c>
      <c r="S59" s="1"/>
      <c r="U59" s="1"/>
      <c r="V59" s="62">
        <v>0</v>
      </c>
      <c r="W59" s="62">
        <v>0</v>
      </c>
      <c r="X59" s="62">
        <f t="shared" ref="X59:X84" si="8">W59*AB$59</f>
        <v>0</v>
      </c>
      <c r="Y59" s="62">
        <f>IF(X59&gt;0,X59,0)</f>
        <v>0</v>
      </c>
      <c r="Z59" s="67">
        <f>W59-Y59</f>
        <v>0</v>
      </c>
      <c r="AA59" s="67">
        <f>Z59</f>
        <v>0</v>
      </c>
      <c r="AB59" s="36">
        <v>0.3</v>
      </c>
      <c r="AC59" s="1"/>
    </row>
    <row r="60" spans="1:29" x14ac:dyDescent="0.3">
      <c r="A60" s="11"/>
      <c r="B60" s="61">
        <f>1</f>
        <v>1</v>
      </c>
      <c r="C60" s="32">
        <v>227</v>
      </c>
      <c r="D60" s="91">
        <v>1648</v>
      </c>
      <c r="E60" s="95">
        <f>D60-C60</f>
        <v>1421</v>
      </c>
      <c r="F60" s="93">
        <f>E60*(1/POWER(1+O$59,B60))</f>
        <v>1264.797507788162</v>
      </c>
      <c r="G60" s="95">
        <f>F60+G59</f>
        <v>-4113.202492211838</v>
      </c>
      <c r="H60" s="99">
        <v>537.79999999999995</v>
      </c>
      <c r="I60" s="62">
        <f t="shared" ref="I60:I84" si="9">E60-H60</f>
        <v>883.2</v>
      </c>
      <c r="J60" s="85">
        <f>I60*P$59</f>
        <v>256.12799999999999</v>
      </c>
      <c r="K60" s="62">
        <f>IF(J60&gt;0,J60,0)</f>
        <v>256.12799999999999</v>
      </c>
      <c r="L60" s="84">
        <f t="shared" ref="L60:L84" si="10">E60-K60</f>
        <v>1164.8720000000001</v>
      </c>
      <c r="M60" s="84">
        <f t="shared" ref="M60:M84" si="11">L60*(1/POWER(1+O$59,B60))</f>
        <v>1036.824210057855</v>
      </c>
      <c r="N60" s="95">
        <f>M60+N59</f>
        <v>-4341.1757899421445</v>
      </c>
      <c r="O60" s="69"/>
      <c r="P60" s="69"/>
      <c r="Q60" s="69"/>
      <c r="R60" s="69"/>
      <c r="S60" s="1">
        <f>SUM(H60:H68)</f>
        <v>4840.2000000000007</v>
      </c>
      <c r="U60" s="1"/>
      <c r="V60" s="62">
        <v>1</v>
      </c>
      <c r="W60" s="62">
        <v>-995.60359040117226</v>
      </c>
      <c r="X60" s="62">
        <f t="shared" si="8"/>
        <v>-298.68107712035169</v>
      </c>
      <c r="Y60" s="62">
        <f t="shared" ref="Y60:Y84" si="12">IF(X60&gt;0,X60,0)</f>
        <v>0</v>
      </c>
      <c r="Z60" s="67">
        <f t="shared" ref="Z60:Z84" si="13">W60-Y60</f>
        <v>-995.60359040117226</v>
      </c>
      <c r="AA60" s="67">
        <f>Z60+AA59</f>
        <v>-995.60359040117226</v>
      </c>
      <c r="AB60" s="74"/>
      <c r="AC60" s="1"/>
    </row>
    <row r="61" spans="1:29" x14ac:dyDescent="0.3">
      <c r="A61" s="1"/>
      <c r="B61" s="61">
        <f>B60+1</f>
        <v>2</v>
      </c>
      <c r="C61" s="32">
        <f>C60</f>
        <v>227</v>
      </c>
      <c r="D61" s="91">
        <f>D60</f>
        <v>1648</v>
      </c>
      <c r="E61" s="95">
        <f t="shared" ref="E61:E62" si="14">D61-C61</f>
        <v>1421</v>
      </c>
      <c r="F61" s="93">
        <f t="shared" ref="F61:F84" si="15">E61*(1/POWER(1+O$59,B61))</f>
        <v>1125.7654719965838</v>
      </c>
      <c r="G61" s="95">
        <f>F61+G60</f>
        <v>-2987.4370202152541</v>
      </c>
      <c r="H61" s="99">
        <v>537.79999999999995</v>
      </c>
      <c r="I61" s="62">
        <f t="shared" si="9"/>
        <v>883.2</v>
      </c>
      <c r="J61" s="85">
        <f>I61*P$59</f>
        <v>256.12799999999999</v>
      </c>
      <c r="K61" s="62">
        <f t="shared" ref="K61:K84" si="16">IF(J61&gt;0,J61,0)</f>
        <v>256.12799999999999</v>
      </c>
      <c r="L61" s="84">
        <f t="shared" si="10"/>
        <v>1164.8720000000001</v>
      </c>
      <c r="M61" s="84">
        <f t="shared" si="11"/>
        <v>922.85198937058738</v>
      </c>
      <c r="N61" s="95">
        <f t="shared" ref="N61:N84" si="17">M61+N60</f>
        <v>-3418.3238005715571</v>
      </c>
      <c r="O61" s="69"/>
      <c r="P61" s="69"/>
      <c r="Q61" s="69"/>
      <c r="R61" s="69"/>
      <c r="S61" s="1"/>
      <c r="U61" s="1"/>
      <c r="V61" s="62">
        <v>2</v>
      </c>
      <c r="W61" s="62">
        <v>-911.89191280561658</v>
      </c>
      <c r="X61" s="62">
        <f t="shared" si="8"/>
        <v>-273.56757384168498</v>
      </c>
      <c r="Y61" s="62">
        <f t="shared" si="12"/>
        <v>0</v>
      </c>
      <c r="Z61" s="67">
        <f t="shared" si="13"/>
        <v>-911.89191280561658</v>
      </c>
      <c r="AA61" s="67">
        <f t="shared" ref="AA61:AA84" si="18">Z61+AA60</f>
        <v>-1907.4955032067887</v>
      </c>
      <c r="AB61" s="74"/>
      <c r="AC61" s="1"/>
    </row>
    <row r="62" spans="1:29" x14ac:dyDescent="0.3">
      <c r="A62" s="1"/>
      <c r="B62" s="61">
        <f t="shared" ref="B62:B84" si="19">B61+1</f>
        <v>3</v>
      </c>
      <c r="C62" s="32">
        <f t="shared" ref="C62:C68" si="20">C61</f>
        <v>227</v>
      </c>
      <c r="D62" s="91">
        <f t="shared" ref="D62:D63" si="21">D61</f>
        <v>1648</v>
      </c>
      <c r="E62" s="95">
        <f t="shared" si="14"/>
        <v>1421</v>
      </c>
      <c r="F62" s="93">
        <f t="shared" si="15"/>
        <v>1002.0164414744851</v>
      </c>
      <c r="G62" s="95">
        <f t="shared" ref="G62:G84" si="22">F62+G61</f>
        <v>-1985.4205787407691</v>
      </c>
      <c r="H62" s="99">
        <v>537.79999999999995</v>
      </c>
      <c r="I62" s="62">
        <f t="shared" si="9"/>
        <v>883.2</v>
      </c>
      <c r="J62" s="85">
        <f t="shared" si="7"/>
        <v>256.12799999999999</v>
      </c>
      <c r="K62" s="62">
        <f t="shared" si="16"/>
        <v>256.12799999999999</v>
      </c>
      <c r="L62" s="84">
        <f t="shared" si="10"/>
        <v>1164.8720000000001</v>
      </c>
      <c r="M62" s="84">
        <f t="shared" si="11"/>
        <v>821.40809022749227</v>
      </c>
      <c r="N62" s="95">
        <f t="shared" si="17"/>
        <v>-2596.9157103440648</v>
      </c>
      <c r="O62" s="69"/>
      <c r="P62" s="69"/>
      <c r="Q62" s="69"/>
      <c r="R62" s="69"/>
      <c r="S62" s="1"/>
      <c r="U62" s="1"/>
      <c r="V62" s="62">
        <v>3</v>
      </c>
      <c r="W62" s="62">
        <v>-835.21882469831155</v>
      </c>
      <c r="X62" s="62">
        <f t="shared" si="8"/>
        <v>-250.56564740949347</v>
      </c>
      <c r="Y62" s="62">
        <f t="shared" si="12"/>
        <v>0</v>
      </c>
      <c r="Z62" s="67">
        <f t="shared" si="13"/>
        <v>-835.21882469831155</v>
      </c>
      <c r="AA62" s="67">
        <f t="shared" si="18"/>
        <v>-2742.7143279051002</v>
      </c>
      <c r="AB62" s="74"/>
      <c r="AC62" s="1"/>
    </row>
    <row r="63" spans="1:29" x14ac:dyDescent="0.3">
      <c r="A63" s="1"/>
      <c r="B63" s="61">
        <f t="shared" si="19"/>
        <v>4</v>
      </c>
      <c r="C63" s="32">
        <f t="shared" si="20"/>
        <v>227</v>
      </c>
      <c r="D63" s="91">
        <f t="shared" si="21"/>
        <v>1648</v>
      </c>
      <c r="E63" s="95">
        <f t="shared" ref="E63:E69" si="23">D63-C63</f>
        <v>1421</v>
      </c>
      <c r="F63" s="93">
        <f t="shared" si="15"/>
        <v>891.87044189985318</v>
      </c>
      <c r="G63" s="95">
        <f t="shared" si="22"/>
        <v>-1093.5501368409159</v>
      </c>
      <c r="H63" s="99">
        <v>537.79999999999995</v>
      </c>
      <c r="I63" s="62">
        <f t="shared" si="9"/>
        <v>883.2</v>
      </c>
      <c r="J63" s="85">
        <f t="shared" si="7"/>
        <v>256.12799999999999</v>
      </c>
      <c r="K63" s="62">
        <f t="shared" si="16"/>
        <v>256.12799999999999</v>
      </c>
      <c r="L63" s="84">
        <f t="shared" si="10"/>
        <v>1164.8720000000001</v>
      </c>
      <c r="M63" s="84">
        <f t="shared" si="11"/>
        <v>731.11534510680212</v>
      </c>
      <c r="N63" s="95">
        <f t="shared" si="17"/>
        <v>-1865.8003652372627</v>
      </c>
      <c r="O63" s="69"/>
      <c r="P63" s="69"/>
      <c r="Q63" s="69"/>
      <c r="R63" s="69"/>
      <c r="S63" s="1"/>
      <c r="U63" s="1"/>
      <c r="V63" s="62">
        <v>4</v>
      </c>
      <c r="W63" s="62">
        <v>-764.99251208857982</v>
      </c>
      <c r="X63" s="62">
        <f t="shared" si="8"/>
        <v>-229.49775362657394</v>
      </c>
      <c r="Y63" s="62">
        <f t="shared" si="12"/>
        <v>0</v>
      </c>
      <c r="Z63" s="67">
        <f t="shared" si="13"/>
        <v>-764.99251208857982</v>
      </c>
      <c r="AA63" s="67">
        <f t="shared" si="18"/>
        <v>-3507.7068399936798</v>
      </c>
      <c r="AB63" s="74"/>
      <c r="AC63" s="1"/>
    </row>
    <row r="64" spans="1:29" x14ac:dyDescent="0.3">
      <c r="A64" s="1"/>
      <c r="B64" s="61">
        <f t="shared" si="19"/>
        <v>5</v>
      </c>
      <c r="C64" s="32">
        <f t="shared" si="20"/>
        <v>227</v>
      </c>
      <c r="D64" s="91">
        <f>D63-84</f>
        <v>1564</v>
      </c>
      <c r="E64" s="95">
        <f t="shared" si="23"/>
        <v>1337</v>
      </c>
      <c r="F64" s="93">
        <f t="shared" si="15"/>
        <v>746.90612947694672</v>
      </c>
      <c r="G64" s="95">
        <f t="shared" si="22"/>
        <v>-346.64400736396919</v>
      </c>
      <c r="H64" s="99">
        <v>537.79999999999995</v>
      </c>
      <c r="I64" s="62">
        <f t="shared" si="9"/>
        <v>799.2</v>
      </c>
      <c r="J64" s="85">
        <f t="shared" si="7"/>
        <v>231.768</v>
      </c>
      <c r="K64" s="62">
        <f t="shared" si="16"/>
        <v>231.768</v>
      </c>
      <c r="L64" s="84">
        <f t="shared" si="10"/>
        <v>1105.232</v>
      </c>
      <c r="M64" s="84">
        <f t="shared" si="11"/>
        <v>617.43048264327956</v>
      </c>
      <c r="N64" s="95">
        <f t="shared" si="17"/>
        <v>-1248.3698825939832</v>
      </c>
      <c r="O64" s="69"/>
      <c r="P64" s="69"/>
      <c r="Q64" s="69"/>
      <c r="R64" s="69"/>
      <c r="S64" s="1"/>
      <c r="U64" s="1"/>
      <c r="V64" s="62">
        <v>5</v>
      </c>
      <c r="W64" s="62">
        <v>-1465.1563979382154</v>
      </c>
      <c r="X64" s="62">
        <f t="shared" si="8"/>
        <v>-439.54691938146459</v>
      </c>
      <c r="Y64" s="62">
        <f t="shared" si="12"/>
        <v>0</v>
      </c>
      <c r="Z64" s="67">
        <f t="shared" si="13"/>
        <v>-1465.1563979382154</v>
      </c>
      <c r="AA64" s="67">
        <f t="shared" si="18"/>
        <v>-4972.8632379318951</v>
      </c>
      <c r="AB64" s="74"/>
      <c r="AC64" s="1"/>
    </row>
    <row r="65" spans="1:29" x14ac:dyDescent="0.3">
      <c r="A65" s="1"/>
      <c r="B65" s="61">
        <f t="shared" si="19"/>
        <v>6</v>
      </c>
      <c r="C65" s="32">
        <f t="shared" si="20"/>
        <v>227</v>
      </c>
      <c r="D65" s="91">
        <f t="shared" ref="D65:D68" si="24">D64-84</f>
        <v>1480</v>
      </c>
      <c r="E65" s="95">
        <f t="shared" si="23"/>
        <v>1253</v>
      </c>
      <c r="F65" s="93">
        <f t="shared" si="15"/>
        <v>623.03523803173732</v>
      </c>
      <c r="G65" s="95">
        <f t="shared" si="22"/>
        <v>276.39123066776813</v>
      </c>
      <c r="H65" s="99">
        <v>537.79999999999995</v>
      </c>
      <c r="I65" s="62">
        <f>E65-H65</f>
        <v>715.2</v>
      </c>
      <c r="J65" s="85">
        <f t="shared" si="7"/>
        <v>207.40799999999999</v>
      </c>
      <c r="K65" s="62">
        <f t="shared" si="16"/>
        <v>207.40799999999999</v>
      </c>
      <c r="L65" s="84">
        <f>E65-K65</f>
        <v>1045.5920000000001</v>
      </c>
      <c r="M65" s="84">
        <f t="shared" si="11"/>
        <v>519.90475706630514</v>
      </c>
      <c r="N65" s="95">
        <f t="shared" si="17"/>
        <v>-728.46512552767808</v>
      </c>
      <c r="O65" s="69"/>
      <c r="P65" s="69"/>
      <c r="Q65" s="69"/>
      <c r="R65" s="69"/>
      <c r="S65" s="1"/>
      <c r="U65" s="1"/>
      <c r="V65" s="62">
        <v>6</v>
      </c>
      <c r="W65" s="62">
        <v>1621.8105439913268</v>
      </c>
      <c r="X65" s="62">
        <f t="shared" si="8"/>
        <v>486.54316319739803</v>
      </c>
      <c r="Y65" s="62">
        <f t="shared" si="12"/>
        <v>486.54316319739803</v>
      </c>
      <c r="Z65" s="67">
        <f t="shared" si="13"/>
        <v>1135.2673807939286</v>
      </c>
      <c r="AA65" s="67">
        <f t="shared" si="18"/>
        <v>-3837.5958571379665</v>
      </c>
      <c r="AB65" s="74"/>
      <c r="AC65" s="1"/>
    </row>
    <row r="66" spans="1:29" x14ac:dyDescent="0.3">
      <c r="A66" s="1"/>
      <c r="B66" s="61">
        <f t="shared" si="19"/>
        <v>7</v>
      </c>
      <c r="C66" s="32">
        <f t="shared" si="20"/>
        <v>227</v>
      </c>
      <c r="D66" s="91">
        <f t="shared" si="24"/>
        <v>1396</v>
      </c>
      <c r="E66" s="95">
        <f t="shared" si="23"/>
        <v>1169</v>
      </c>
      <c r="F66" s="93">
        <f t="shared" si="15"/>
        <v>517.37206281895487</v>
      </c>
      <c r="G66" s="95">
        <f>F66+G65</f>
        <v>793.763293486723</v>
      </c>
      <c r="H66" s="99">
        <v>537.79999999999995</v>
      </c>
      <c r="I66" s="62">
        <f t="shared" si="9"/>
        <v>631.20000000000005</v>
      </c>
      <c r="J66" s="85">
        <f>I66*P$59</f>
        <v>183.048</v>
      </c>
      <c r="K66" s="62">
        <f t="shared" si="16"/>
        <v>183.048</v>
      </c>
      <c r="L66" s="84">
        <f t="shared" si="10"/>
        <v>985.952</v>
      </c>
      <c r="M66" s="84">
        <f t="shared" si="11"/>
        <v>436.35929861460579</v>
      </c>
      <c r="N66" s="95">
        <f t="shared" si="17"/>
        <v>-292.10582691307229</v>
      </c>
      <c r="O66" s="69"/>
      <c r="P66" s="69"/>
      <c r="Q66" s="69"/>
      <c r="R66" s="69"/>
      <c r="S66" s="1"/>
      <c r="U66" s="1"/>
      <c r="V66" s="62">
        <v>7</v>
      </c>
      <c r="W66" s="62">
        <v>1485.4465506423578</v>
      </c>
      <c r="X66" s="62">
        <f t="shared" si="8"/>
        <v>445.63396519270731</v>
      </c>
      <c r="Y66" s="62">
        <f t="shared" si="12"/>
        <v>445.63396519270731</v>
      </c>
      <c r="Z66" s="67">
        <f t="shared" si="13"/>
        <v>1039.8125854496504</v>
      </c>
      <c r="AA66" s="67">
        <f t="shared" si="18"/>
        <v>-2797.7832716883158</v>
      </c>
      <c r="AB66" s="74"/>
      <c r="AC66" s="1"/>
    </row>
    <row r="67" spans="1:29" x14ac:dyDescent="0.3">
      <c r="A67" s="1"/>
      <c r="B67" s="61">
        <f t="shared" si="19"/>
        <v>8</v>
      </c>
      <c r="C67" s="32">
        <f t="shared" si="20"/>
        <v>227</v>
      </c>
      <c r="D67" s="91">
        <f t="shared" si="24"/>
        <v>1312</v>
      </c>
      <c r="E67" s="95">
        <f t="shared" si="23"/>
        <v>1085</v>
      </c>
      <c r="F67" s="93">
        <f t="shared" si="15"/>
        <v>427.41043806612674</v>
      </c>
      <c r="G67" s="95">
        <f t="shared" si="22"/>
        <v>1221.1737315528499</v>
      </c>
      <c r="H67" s="99">
        <v>537.79999999999995</v>
      </c>
      <c r="I67" s="62">
        <f t="shared" si="9"/>
        <v>547.20000000000005</v>
      </c>
      <c r="J67" s="85">
        <f t="shared" si="7"/>
        <v>158.68799999999999</v>
      </c>
      <c r="K67" s="62">
        <f t="shared" si="16"/>
        <v>158.68799999999999</v>
      </c>
      <c r="L67" s="84">
        <f t="shared" si="10"/>
        <v>926.31200000000001</v>
      </c>
      <c r="M67" s="84">
        <f t="shared" si="11"/>
        <v>364.89900249392628</v>
      </c>
      <c r="N67" s="95">
        <f t="shared" si="17"/>
        <v>72.793175580853983</v>
      </c>
      <c r="O67" s="69"/>
      <c r="P67" s="69"/>
      <c r="Q67" s="69"/>
      <c r="R67" s="69"/>
      <c r="S67" s="1"/>
      <c r="U67" s="1"/>
      <c r="V67" s="62">
        <v>8</v>
      </c>
      <c r="W67" s="62">
        <v>1360.5482237061344</v>
      </c>
      <c r="X67" s="62">
        <f t="shared" si="8"/>
        <v>408.16446711184034</v>
      </c>
      <c r="Y67" s="62">
        <f t="shared" si="12"/>
        <v>408.16446711184034</v>
      </c>
      <c r="Z67" s="67">
        <f t="shared" si="13"/>
        <v>952.38375659429403</v>
      </c>
      <c r="AA67" s="67">
        <f t="shared" si="18"/>
        <v>-1845.3995150940218</v>
      </c>
      <c r="AB67" s="74"/>
      <c r="AC67" s="1"/>
    </row>
    <row r="68" spans="1:29" x14ac:dyDescent="0.3">
      <c r="A68" s="1"/>
      <c r="B68" s="61">
        <f t="shared" si="19"/>
        <v>9</v>
      </c>
      <c r="C68" s="32">
        <f t="shared" si="20"/>
        <v>227</v>
      </c>
      <c r="D68" s="91">
        <f t="shared" si="24"/>
        <v>1228</v>
      </c>
      <c r="E68" s="95">
        <f t="shared" si="23"/>
        <v>1001</v>
      </c>
      <c r="F68" s="93">
        <f t="shared" si="15"/>
        <v>350.97516484175964</v>
      </c>
      <c r="G68" s="95">
        <f>F68+G67</f>
        <v>1572.1488963946094</v>
      </c>
      <c r="H68" s="99">
        <v>537.79999999999995</v>
      </c>
      <c r="I68" s="62">
        <f t="shared" si="9"/>
        <v>463.20000000000005</v>
      </c>
      <c r="J68" s="85">
        <f t="shared" si="7"/>
        <v>134.328</v>
      </c>
      <c r="K68" s="62">
        <f t="shared" si="16"/>
        <v>134.328</v>
      </c>
      <c r="L68" s="84">
        <f t="shared" si="10"/>
        <v>866.67200000000003</v>
      </c>
      <c r="M68" s="84">
        <f t="shared" si="11"/>
        <v>303.87647159214538</v>
      </c>
      <c r="N68" s="95">
        <f t="shared" si="17"/>
        <v>376.66964717299936</v>
      </c>
      <c r="O68" s="69"/>
      <c r="P68" s="69"/>
      <c r="Q68" s="69"/>
      <c r="R68" s="69"/>
      <c r="S68" s="1"/>
      <c r="U68" s="1"/>
      <c r="V68" s="62">
        <v>9</v>
      </c>
      <c r="W68" s="62">
        <v>1246.1515146603174</v>
      </c>
      <c r="X68" s="62">
        <f t="shared" si="8"/>
        <v>373.84545439809523</v>
      </c>
      <c r="Y68" s="62">
        <f t="shared" si="12"/>
        <v>373.84545439809523</v>
      </c>
      <c r="Z68" s="67">
        <f t="shared" si="13"/>
        <v>872.30606026222222</v>
      </c>
      <c r="AA68" s="67">
        <f t="shared" si="18"/>
        <v>-973.09345483179959</v>
      </c>
      <c r="AB68" s="74"/>
      <c r="AC68" s="1"/>
    </row>
    <row r="69" spans="1:29" x14ac:dyDescent="0.3">
      <c r="A69" s="1"/>
      <c r="B69" s="61">
        <f t="shared" si="19"/>
        <v>10</v>
      </c>
      <c r="C69" s="32"/>
      <c r="D69" s="91">
        <v>537.79999999999995</v>
      </c>
      <c r="E69" s="95">
        <f t="shared" si="23"/>
        <v>537.79999999999995</v>
      </c>
      <c r="F69" s="93">
        <f t="shared" si="15"/>
        <v>167.83789744025293</v>
      </c>
      <c r="G69" s="95">
        <f t="shared" si="22"/>
        <v>1739.9867938348623</v>
      </c>
      <c r="H69" s="99">
        <v>0</v>
      </c>
      <c r="I69" s="62">
        <f t="shared" si="9"/>
        <v>537.79999999999995</v>
      </c>
      <c r="J69" s="85">
        <f t="shared" si="7"/>
        <v>155.96199999999999</v>
      </c>
      <c r="K69" s="62">
        <f t="shared" si="16"/>
        <v>155.96199999999999</v>
      </c>
      <c r="L69" s="84">
        <f t="shared" si="10"/>
        <v>381.83799999999997</v>
      </c>
      <c r="M69" s="84">
        <f>L69*(1/POWER(1+O$59,B69))</f>
        <v>119.16490718257958</v>
      </c>
      <c r="N69" s="95">
        <f>M69+N68</f>
        <v>495.83455435557892</v>
      </c>
      <c r="O69" s="69"/>
      <c r="P69" s="69"/>
      <c r="Q69" s="69"/>
      <c r="R69" s="69"/>
      <c r="S69" s="1"/>
      <c r="U69" s="1"/>
      <c r="V69" s="62">
        <v>10</v>
      </c>
      <c r="W69" s="62">
        <v>1141.3734334679584</v>
      </c>
      <c r="X69" s="62">
        <f t="shared" si="8"/>
        <v>342.41203004038749</v>
      </c>
      <c r="Y69" s="62">
        <f t="shared" si="12"/>
        <v>342.41203004038749</v>
      </c>
      <c r="Z69" s="67">
        <f t="shared" si="13"/>
        <v>798.96140342757099</v>
      </c>
      <c r="AA69" s="67">
        <f t="shared" si="18"/>
        <v>-174.1320514042286</v>
      </c>
      <c r="AB69" s="74"/>
      <c r="AC69" s="1"/>
    </row>
    <row r="70" spans="1:29" x14ac:dyDescent="0.3">
      <c r="A70" s="1"/>
      <c r="B70" s="61">
        <f t="shared" si="19"/>
        <v>11</v>
      </c>
      <c r="C70" s="32"/>
      <c r="D70" s="91"/>
      <c r="E70" s="95">
        <f t="shared" ref="E70" si="25">D70-C70</f>
        <v>0</v>
      </c>
      <c r="F70" s="93">
        <f t="shared" si="15"/>
        <v>0</v>
      </c>
      <c r="G70" s="95">
        <f t="shared" si="22"/>
        <v>1739.9867938348623</v>
      </c>
      <c r="H70" s="99">
        <v>0</v>
      </c>
      <c r="I70" s="62">
        <f t="shared" si="9"/>
        <v>0</v>
      </c>
      <c r="J70" s="85">
        <f t="shared" si="7"/>
        <v>0</v>
      </c>
      <c r="K70" s="62">
        <f t="shared" si="16"/>
        <v>0</v>
      </c>
      <c r="L70" s="84">
        <f t="shared" si="10"/>
        <v>0</v>
      </c>
      <c r="M70" s="84">
        <f t="shared" si="11"/>
        <v>0</v>
      </c>
      <c r="N70" s="95">
        <f t="shared" si="17"/>
        <v>495.83455435557892</v>
      </c>
      <c r="O70" s="69"/>
      <c r="P70" s="69"/>
      <c r="Q70" s="69"/>
      <c r="R70" s="69"/>
      <c r="S70" s="1"/>
      <c r="U70" s="1"/>
      <c r="V70" s="62">
        <v>11</v>
      </c>
      <c r="W70" s="62">
        <v>1045.405233071953</v>
      </c>
      <c r="X70" s="62">
        <f t="shared" si="8"/>
        <v>313.62156992158589</v>
      </c>
      <c r="Y70" s="62">
        <f t="shared" si="12"/>
        <v>313.62156992158589</v>
      </c>
      <c r="Z70" s="67">
        <f t="shared" si="13"/>
        <v>731.78366315036715</v>
      </c>
      <c r="AA70" s="67">
        <f t="shared" si="18"/>
        <v>557.65161174613854</v>
      </c>
      <c r="AB70" s="74"/>
      <c r="AC70" s="1"/>
    </row>
    <row r="71" spans="1:29" x14ac:dyDescent="0.3">
      <c r="A71" s="1"/>
      <c r="B71" s="61">
        <f t="shared" si="19"/>
        <v>12</v>
      </c>
      <c r="C71" s="32"/>
      <c r="D71" s="91"/>
      <c r="E71" s="95">
        <f>D71-C71</f>
        <v>0</v>
      </c>
      <c r="F71" s="93">
        <f t="shared" si="15"/>
        <v>0</v>
      </c>
      <c r="G71" s="95">
        <f>F71+G70</f>
        <v>1739.9867938348623</v>
      </c>
      <c r="H71" s="99">
        <v>0</v>
      </c>
      <c r="I71" s="62">
        <f t="shared" si="9"/>
        <v>0</v>
      </c>
      <c r="J71" s="85">
        <f t="shared" si="7"/>
        <v>0</v>
      </c>
      <c r="K71" s="62">
        <f t="shared" si="16"/>
        <v>0</v>
      </c>
      <c r="L71" s="84">
        <f t="shared" si="10"/>
        <v>0</v>
      </c>
      <c r="M71" s="84">
        <f t="shared" si="11"/>
        <v>0</v>
      </c>
      <c r="N71" s="95">
        <f t="shared" si="17"/>
        <v>495.83455435557892</v>
      </c>
      <c r="O71" s="69"/>
      <c r="P71" s="69"/>
      <c r="Q71" s="69"/>
      <c r="R71" s="69"/>
      <c r="S71" s="1"/>
      <c r="U71" s="1"/>
      <c r="V71" s="62">
        <v>12</v>
      </c>
      <c r="W71" s="62">
        <v>957.506166946284</v>
      </c>
      <c r="X71" s="62">
        <f t="shared" si="8"/>
        <v>287.25185008388519</v>
      </c>
      <c r="Y71" s="62">
        <f t="shared" si="12"/>
        <v>287.25185008388519</v>
      </c>
      <c r="Z71" s="67">
        <f t="shared" si="13"/>
        <v>670.25431686239881</v>
      </c>
      <c r="AA71" s="67">
        <f t="shared" si="18"/>
        <v>1227.9059286085374</v>
      </c>
      <c r="AB71" s="74"/>
      <c r="AC71" s="1"/>
    </row>
    <row r="72" spans="1:29" x14ac:dyDescent="0.3">
      <c r="A72" s="1"/>
      <c r="B72" s="61">
        <f t="shared" si="19"/>
        <v>13</v>
      </c>
      <c r="C72" s="32"/>
      <c r="D72" s="91"/>
      <c r="E72" s="95">
        <f>D72-C72</f>
        <v>0</v>
      </c>
      <c r="F72" s="93">
        <f t="shared" si="15"/>
        <v>0</v>
      </c>
      <c r="G72" s="95">
        <f t="shared" si="22"/>
        <v>1739.9867938348623</v>
      </c>
      <c r="H72" s="99">
        <v>0</v>
      </c>
      <c r="I72" s="62">
        <f t="shared" si="9"/>
        <v>0</v>
      </c>
      <c r="J72" s="85">
        <f t="shared" si="7"/>
        <v>0</v>
      </c>
      <c r="K72" s="62">
        <f t="shared" si="16"/>
        <v>0</v>
      </c>
      <c r="L72" s="84">
        <f t="shared" si="10"/>
        <v>0</v>
      </c>
      <c r="M72" s="84">
        <f t="shared" si="11"/>
        <v>0</v>
      </c>
      <c r="N72" s="95">
        <f t="shared" si="17"/>
        <v>495.83455435557892</v>
      </c>
      <c r="O72" s="69"/>
      <c r="P72" s="69"/>
      <c r="Q72" s="69"/>
      <c r="R72" s="69"/>
      <c r="S72" s="1"/>
      <c r="U72" s="1"/>
      <c r="V72" s="62">
        <v>13</v>
      </c>
      <c r="W72" s="62">
        <v>701.59821721654805</v>
      </c>
      <c r="X72" s="62">
        <f t="shared" si="8"/>
        <v>210.47946516496441</v>
      </c>
      <c r="Y72" s="62">
        <f t="shared" si="12"/>
        <v>210.47946516496441</v>
      </c>
      <c r="Z72" s="67">
        <f t="shared" si="13"/>
        <v>491.11875205158367</v>
      </c>
      <c r="AA72" s="67">
        <f t="shared" si="18"/>
        <v>1719.024680660121</v>
      </c>
      <c r="AB72" s="74"/>
      <c r="AC72" s="1"/>
    </row>
    <row r="73" spans="1:29" x14ac:dyDescent="0.3">
      <c r="A73" s="1"/>
      <c r="B73" s="61">
        <f t="shared" si="19"/>
        <v>14</v>
      </c>
      <c r="C73" s="32"/>
      <c r="D73" s="91"/>
      <c r="E73" s="95">
        <f t="shared" ref="E73:E84" si="26">D73-C73</f>
        <v>0</v>
      </c>
      <c r="F73" s="93">
        <f t="shared" si="15"/>
        <v>0</v>
      </c>
      <c r="G73" s="95">
        <f t="shared" si="22"/>
        <v>1739.9867938348623</v>
      </c>
      <c r="H73" s="99">
        <v>0</v>
      </c>
      <c r="I73" s="62">
        <f t="shared" si="9"/>
        <v>0</v>
      </c>
      <c r="J73" s="85">
        <f t="shared" si="7"/>
        <v>0</v>
      </c>
      <c r="K73" s="62">
        <f t="shared" si="16"/>
        <v>0</v>
      </c>
      <c r="L73" s="84">
        <f t="shared" si="10"/>
        <v>0</v>
      </c>
      <c r="M73" s="84">
        <f t="shared" si="11"/>
        <v>0</v>
      </c>
      <c r="N73" s="95">
        <f t="shared" si="17"/>
        <v>495.83455435557892</v>
      </c>
      <c r="O73" s="69"/>
      <c r="P73" s="69"/>
      <c r="Q73" s="69"/>
      <c r="R73" s="69"/>
      <c r="S73" s="1"/>
      <c r="U73" s="1"/>
      <c r="V73" s="62">
        <v>14</v>
      </c>
      <c r="W73" s="62">
        <v>514.08552278186335</v>
      </c>
      <c r="X73" s="62">
        <f t="shared" si="8"/>
        <v>154.225656834559</v>
      </c>
      <c r="Y73" s="62">
        <f t="shared" si="12"/>
        <v>154.225656834559</v>
      </c>
      <c r="Z73" s="67">
        <f t="shared" si="13"/>
        <v>359.85986594730434</v>
      </c>
      <c r="AA73" s="67">
        <f t="shared" si="18"/>
        <v>2078.8845466074254</v>
      </c>
      <c r="AB73" s="74"/>
      <c r="AC73" s="1"/>
    </row>
    <row r="74" spans="1:29" x14ac:dyDescent="0.3">
      <c r="A74" s="1"/>
      <c r="B74" s="61">
        <f t="shared" si="19"/>
        <v>15</v>
      </c>
      <c r="C74" s="32"/>
      <c r="D74" s="91"/>
      <c r="E74" s="95">
        <f>D74-C74</f>
        <v>0</v>
      </c>
      <c r="F74" s="93">
        <f t="shared" si="15"/>
        <v>0</v>
      </c>
      <c r="G74" s="95">
        <f t="shared" si="22"/>
        <v>1739.9867938348623</v>
      </c>
      <c r="H74" s="99">
        <v>0</v>
      </c>
      <c r="I74" s="62">
        <f t="shared" si="9"/>
        <v>0</v>
      </c>
      <c r="J74" s="85">
        <f t="shared" si="7"/>
        <v>0</v>
      </c>
      <c r="K74" s="62">
        <f t="shared" si="16"/>
        <v>0</v>
      </c>
      <c r="L74" s="84">
        <f t="shared" si="10"/>
        <v>0</v>
      </c>
      <c r="M74" s="84">
        <f t="shared" si="11"/>
        <v>0</v>
      </c>
      <c r="N74" s="95">
        <f t="shared" si="17"/>
        <v>495.83455435557892</v>
      </c>
      <c r="O74" s="69"/>
      <c r="P74" s="69"/>
      <c r="Q74" s="69"/>
      <c r="R74" s="69"/>
      <c r="S74" s="1"/>
      <c r="U74" s="1"/>
      <c r="V74" s="62">
        <v>15</v>
      </c>
      <c r="W74" s="62">
        <v>376.68842116275016</v>
      </c>
      <c r="X74" s="62">
        <f t="shared" si="8"/>
        <v>113.00652634882505</v>
      </c>
      <c r="Y74" s="62">
        <f t="shared" si="12"/>
        <v>113.00652634882505</v>
      </c>
      <c r="Z74" s="67">
        <f t="shared" si="13"/>
        <v>263.68189481392511</v>
      </c>
      <c r="AA74" s="67">
        <f t="shared" si="18"/>
        <v>2342.5664414213506</v>
      </c>
      <c r="AB74" s="74"/>
      <c r="AC74" s="1"/>
    </row>
    <row r="75" spans="1:29" x14ac:dyDescent="0.3">
      <c r="A75" s="1"/>
      <c r="B75" s="61">
        <f t="shared" si="19"/>
        <v>16</v>
      </c>
      <c r="C75" s="32"/>
      <c r="D75" s="91"/>
      <c r="E75" s="95">
        <f t="shared" si="26"/>
        <v>0</v>
      </c>
      <c r="F75" s="93">
        <f t="shared" si="15"/>
        <v>0</v>
      </c>
      <c r="G75" s="95">
        <f t="shared" si="22"/>
        <v>1739.9867938348623</v>
      </c>
      <c r="H75" s="99">
        <v>0</v>
      </c>
      <c r="I75" s="62">
        <f t="shared" si="9"/>
        <v>0</v>
      </c>
      <c r="J75" s="85">
        <f t="shared" si="7"/>
        <v>0</v>
      </c>
      <c r="K75" s="62">
        <f t="shared" si="16"/>
        <v>0</v>
      </c>
      <c r="L75" s="84">
        <f t="shared" si="10"/>
        <v>0</v>
      </c>
      <c r="M75" s="84">
        <f t="shared" si="11"/>
        <v>0</v>
      </c>
      <c r="N75" s="95">
        <f t="shared" si="17"/>
        <v>495.83455435557892</v>
      </c>
      <c r="O75" s="69"/>
      <c r="P75" s="69"/>
      <c r="Q75" s="69"/>
      <c r="R75" s="69"/>
      <c r="S75" s="1"/>
      <c r="U75" s="1"/>
      <c r="V75" s="62">
        <v>16</v>
      </c>
      <c r="W75" s="62">
        <v>276.01276509452288</v>
      </c>
      <c r="X75" s="62">
        <f t="shared" si="8"/>
        <v>82.803829528356857</v>
      </c>
      <c r="Y75" s="62">
        <f t="shared" si="12"/>
        <v>82.803829528356857</v>
      </c>
      <c r="Z75" s="67">
        <f t="shared" si="13"/>
        <v>193.20893556616602</v>
      </c>
      <c r="AA75" s="67">
        <f t="shared" si="18"/>
        <v>2535.7753769875167</v>
      </c>
      <c r="AB75" s="74"/>
      <c r="AC75" s="1"/>
    </row>
    <row r="76" spans="1:29" x14ac:dyDescent="0.3">
      <c r="A76" s="1"/>
      <c r="B76" s="61">
        <f t="shared" si="19"/>
        <v>17</v>
      </c>
      <c r="C76" s="32"/>
      <c r="D76" s="91"/>
      <c r="E76" s="95">
        <f t="shared" si="26"/>
        <v>0</v>
      </c>
      <c r="F76" s="93">
        <f t="shared" si="15"/>
        <v>0</v>
      </c>
      <c r="G76" s="95">
        <f t="shared" si="22"/>
        <v>1739.9867938348623</v>
      </c>
      <c r="H76" s="99">
        <v>0</v>
      </c>
      <c r="I76" s="62">
        <f t="shared" si="9"/>
        <v>0</v>
      </c>
      <c r="J76" s="85">
        <f t="shared" si="7"/>
        <v>0</v>
      </c>
      <c r="K76" s="62">
        <f t="shared" si="16"/>
        <v>0</v>
      </c>
      <c r="L76" s="84">
        <f t="shared" si="10"/>
        <v>0</v>
      </c>
      <c r="M76" s="84">
        <f t="shared" si="11"/>
        <v>0</v>
      </c>
      <c r="N76" s="95">
        <f t="shared" si="17"/>
        <v>495.83455435557892</v>
      </c>
      <c r="O76" s="69"/>
      <c r="P76" s="69"/>
      <c r="Q76" s="69"/>
      <c r="R76" s="69"/>
      <c r="S76" s="1"/>
      <c r="U76" s="1"/>
      <c r="V76" s="62">
        <v>17</v>
      </c>
      <c r="W76" s="62">
        <v>202.24419497675245</v>
      </c>
      <c r="X76" s="62">
        <f t="shared" si="8"/>
        <v>60.673258493025735</v>
      </c>
      <c r="Y76" s="62">
        <f t="shared" si="12"/>
        <v>60.673258493025735</v>
      </c>
      <c r="Z76" s="67">
        <f t="shared" si="13"/>
        <v>141.57093648372671</v>
      </c>
      <c r="AA76" s="67">
        <f t="shared" si="18"/>
        <v>2677.3463134712433</v>
      </c>
      <c r="AB76" s="74"/>
      <c r="AC76" s="1"/>
    </row>
    <row r="77" spans="1:29" x14ac:dyDescent="0.3">
      <c r="A77" s="1"/>
      <c r="B77" s="61">
        <f t="shared" si="19"/>
        <v>18</v>
      </c>
      <c r="C77" s="32"/>
      <c r="D77" s="91"/>
      <c r="E77" s="95">
        <f>D77-C77</f>
        <v>0</v>
      </c>
      <c r="F77" s="93">
        <f t="shared" si="15"/>
        <v>0</v>
      </c>
      <c r="G77" s="95">
        <f t="shared" si="22"/>
        <v>1739.9867938348623</v>
      </c>
      <c r="H77" s="99">
        <v>0</v>
      </c>
      <c r="I77" s="62">
        <f t="shared" si="9"/>
        <v>0</v>
      </c>
      <c r="J77" s="85">
        <f t="shared" si="7"/>
        <v>0</v>
      </c>
      <c r="K77" s="62">
        <f t="shared" si="16"/>
        <v>0</v>
      </c>
      <c r="L77" s="84">
        <f t="shared" si="10"/>
        <v>0</v>
      </c>
      <c r="M77" s="84">
        <f t="shared" si="11"/>
        <v>0</v>
      </c>
      <c r="N77" s="95">
        <f t="shared" si="17"/>
        <v>495.83455435557892</v>
      </c>
      <c r="O77" s="69"/>
      <c r="P77" s="69"/>
      <c r="Q77" s="69"/>
      <c r="R77" s="69"/>
      <c r="S77" s="1"/>
      <c r="U77" s="1"/>
      <c r="V77" s="62">
        <v>18</v>
      </c>
      <c r="W77" s="62">
        <v>148.19138668382664</v>
      </c>
      <c r="X77" s="62">
        <f t="shared" si="8"/>
        <v>44.457416005147991</v>
      </c>
      <c r="Y77" s="62">
        <f t="shared" si="12"/>
        <v>44.457416005147991</v>
      </c>
      <c r="Z77" s="67">
        <f t="shared" si="13"/>
        <v>103.73397067867865</v>
      </c>
      <c r="AA77" s="67">
        <f t="shared" si="18"/>
        <v>2781.0802841499221</v>
      </c>
      <c r="AB77" s="74"/>
      <c r="AC77" s="1"/>
    </row>
    <row r="78" spans="1:29" x14ac:dyDescent="0.3">
      <c r="A78" s="1"/>
      <c r="B78" s="61">
        <f t="shared" si="19"/>
        <v>19</v>
      </c>
      <c r="C78" s="32"/>
      <c r="D78" s="91"/>
      <c r="E78" s="95">
        <f t="shared" si="26"/>
        <v>0</v>
      </c>
      <c r="F78" s="93">
        <f t="shared" si="15"/>
        <v>0</v>
      </c>
      <c r="G78" s="95">
        <f t="shared" si="22"/>
        <v>1739.9867938348623</v>
      </c>
      <c r="H78" s="99">
        <v>0</v>
      </c>
      <c r="I78" s="62">
        <f t="shared" si="9"/>
        <v>0</v>
      </c>
      <c r="J78" s="85">
        <f t="shared" si="7"/>
        <v>0</v>
      </c>
      <c r="K78" s="62">
        <f t="shared" si="16"/>
        <v>0</v>
      </c>
      <c r="L78" s="84">
        <f t="shared" si="10"/>
        <v>0</v>
      </c>
      <c r="M78" s="84">
        <f t="shared" si="11"/>
        <v>0</v>
      </c>
      <c r="N78" s="95">
        <f t="shared" si="17"/>
        <v>495.83455435557892</v>
      </c>
      <c r="O78" s="69"/>
      <c r="P78" s="69"/>
      <c r="Q78" s="69"/>
      <c r="R78" s="69"/>
      <c r="S78" s="1"/>
      <c r="U78" s="1"/>
      <c r="V78" s="62">
        <v>19</v>
      </c>
      <c r="W78" s="62">
        <v>-294.03964444493289</v>
      </c>
      <c r="X78" s="62">
        <f t="shared" si="8"/>
        <v>-88.211893333479864</v>
      </c>
      <c r="Y78" s="62">
        <f t="shared" si="12"/>
        <v>0</v>
      </c>
      <c r="Z78" s="67">
        <f t="shared" si="13"/>
        <v>-294.03964444493289</v>
      </c>
      <c r="AA78" s="67">
        <f t="shared" si="18"/>
        <v>2487.0406397049892</v>
      </c>
      <c r="AB78" s="74"/>
      <c r="AC78" s="1"/>
    </row>
    <row r="79" spans="1:29" x14ac:dyDescent="0.3">
      <c r="A79" s="1"/>
      <c r="B79" s="61">
        <f t="shared" si="19"/>
        <v>20</v>
      </c>
      <c r="C79" s="32"/>
      <c r="D79" s="91"/>
      <c r="E79" s="95">
        <f t="shared" si="26"/>
        <v>0</v>
      </c>
      <c r="F79" s="93">
        <f t="shared" si="15"/>
        <v>0</v>
      </c>
      <c r="G79" s="95">
        <f t="shared" si="22"/>
        <v>1739.9867938348623</v>
      </c>
      <c r="H79" s="99">
        <v>0</v>
      </c>
      <c r="I79" s="62">
        <f t="shared" si="9"/>
        <v>0</v>
      </c>
      <c r="J79" s="85">
        <f t="shared" si="7"/>
        <v>0</v>
      </c>
      <c r="K79" s="62">
        <f t="shared" si="16"/>
        <v>0</v>
      </c>
      <c r="L79" s="84">
        <f t="shared" si="10"/>
        <v>0</v>
      </c>
      <c r="M79" s="84">
        <f t="shared" si="11"/>
        <v>0</v>
      </c>
      <c r="N79" s="95">
        <f t="shared" si="17"/>
        <v>495.83455435557892</v>
      </c>
      <c r="O79" s="69"/>
      <c r="P79" s="69"/>
      <c r="Q79" s="69"/>
      <c r="R79" s="69"/>
      <c r="S79" s="1"/>
      <c r="U79" s="1"/>
      <c r="V79" s="62">
        <v>20</v>
      </c>
      <c r="W79" s="62"/>
      <c r="X79" s="62">
        <f t="shared" si="8"/>
        <v>0</v>
      </c>
      <c r="Y79" s="62">
        <f t="shared" si="12"/>
        <v>0</v>
      </c>
      <c r="Z79" s="67">
        <f t="shared" si="13"/>
        <v>0</v>
      </c>
      <c r="AA79" s="67">
        <f t="shared" si="18"/>
        <v>2487.0406397049892</v>
      </c>
      <c r="AB79" s="74"/>
      <c r="AC79" s="1"/>
    </row>
    <row r="80" spans="1:29" x14ac:dyDescent="0.3">
      <c r="A80" s="1"/>
      <c r="B80" s="61">
        <f t="shared" si="19"/>
        <v>21</v>
      </c>
      <c r="C80" s="32"/>
      <c r="D80" s="91"/>
      <c r="E80" s="95">
        <f t="shared" si="26"/>
        <v>0</v>
      </c>
      <c r="F80" s="93">
        <f t="shared" si="15"/>
        <v>0</v>
      </c>
      <c r="G80" s="95">
        <f t="shared" si="22"/>
        <v>1739.9867938348623</v>
      </c>
      <c r="H80" s="99">
        <v>0</v>
      </c>
      <c r="I80" s="62">
        <f t="shared" si="9"/>
        <v>0</v>
      </c>
      <c r="J80" s="85">
        <f t="shared" si="7"/>
        <v>0</v>
      </c>
      <c r="K80" s="62">
        <f t="shared" si="16"/>
        <v>0</v>
      </c>
      <c r="L80" s="84">
        <f t="shared" si="10"/>
        <v>0</v>
      </c>
      <c r="M80" s="84">
        <f t="shared" si="11"/>
        <v>0</v>
      </c>
      <c r="N80" s="95">
        <f t="shared" si="17"/>
        <v>495.83455435557892</v>
      </c>
      <c r="O80" s="69"/>
      <c r="P80" s="69"/>
      <c r="Q80" s="69"/>
      <c r="R80" s="69"/>
      <c r="S80" s="1"/>
      <c r="U80" s="1"/>
      <c r="V80" s="62">
        <v>21</v>
      </c>
      <c r="W80" s="62"/>
      <c r="X80" s="62">
        <f t="shared" si="8"/>
        <v>0</v>
      </c>
      <c r="Y80" s="62">
        <f t="shared" si="12"/>
        <v>0</v>
      </c>
      <c r="Z80" s="67">
        <f t="shared" si="13"/>
        <v>0</v>
      </c>
      <c r="AA80" s="67">
        <f t="shared" si="18"/>
        <v>2487.0406397049892</v>
      </c>
      <c r="AB80" s="74"/>
      <c r="AC80" s="1"/>
    </row>
    <row r="81" spans="1:29" x14ac:dyDescent="0.3">
      <c r="A81" s="1"/>
      <c r="B81" s="61">
        <f>B80+1</f>
        <v>22</v>
      </c>
      <c r="C81" s="32"/>
      <c r="D81" s="91"/>
      <c r="E81" s="95">
        <f t="shared" si="26"/>
        <v>0</v>
      </c>
      <c r="F81" s="93">
        <f t="shared" si="15"/>
        <v>0</v>
      </c>
      <c r="G81" s="95">
        <f t="shared" si="22"/>
        <v>1739.9867938348623</v>
      </c>
      <c r="H81" s="99">
        <v>0</v>
      </c>
      <c r="I81" s="62">
        <f t="shared" si="9"/>
        <v>0</v>
      </c>
      <c r="J81" s="85">
        <f t="shared" si="7"/>
        <v>0</v>
      </c>
      <c r="K81" s="62">
        <f t="shared" si="16"/>
        <v>0</v>
      </c>
      <c r="L81" s="84">
        <f t="shared" si="10"/>
        <v>0</v>
      </c>
      <c r="M81" s="84">
        <f t="shared" si="11"/>
        <v>0</v>
      </c>
      <c r="N81" s="95">
        <f t="shared" si="17"/>
        <v>495.83455435557892</v>
      </c>
      <c r="O81" s="69"/>
      <c r="P81" s="69"/>
      <c r="Q81" s="69"/>
      <c r="R81" s="69"/>
      <c r="S81" s="1"/>
      <c r="U81" s="1"/>
      <c r="V81" s="62">
        <v>22</v>
      </c>
      <c r="W81" s="62"/>
      <c r="X81" s="62">
        <f t="shared" si="8"/>
        <v>0</v>
      </c>
      <c r="Y81" s="62">
        <f t="shared" si="12"/>
        <v>0</v>
      </c>
      <c r="Z81" s="67">
        <f t="shared" si="13"/>
        <v>0</v>
      </c>
      <c r="AA81" s="67">
        <f t="shared" si="18"/>
        <v>2487.0406397049892</v>
      </c>
      <c r="AB81" s="74"/>
      <c r="AC81" s="1"/>
    </row>
    <row r="82" spans="1:29" x14ac:dyDescent="0.3">
      <c r="A82" s="1"/>
      <c r="B82" s="61">
        <f t="shared" si="19"/>
        <v>23</v>
      </c>
      <c r="C82" s="32"/>
      <c r="D82" s="91"/>
      <c r="E82" s="95">
        <f t="shared" si="26"/>
        <v>0</v>
      </c>
      <c r="F82" s="93">
        <f t="shared" si="15"/>
        <v>0</v>
      </c>
      <c r="G82" s="95">
        <f t="shared" si="22"/>
        <v>1739.9867938348623</v>
      </c>
      <c r="H82" s="99">
        <v>0</v>
      </c>
      <c r="I82" s="62">
        <f t="shared" si="9"/>
        <v>0</v>
      </c>
      <c r="J82" s="85">
        <f t="shared" si="7"/>
        <v>0</v>
      </c>
      <c r="K82" s="62">
        <f t="shared" si="16"/>
        <v>0</v>
      </c>
      <c r="L82" s="84">
        <f t="shared" si="10"/>
        <v>0</v>
      </c>
      <c r="M82" s="84">
        <f t="shared" si="11"/>
        <v>0</v>
      </c>
      <c r="N82" s="95">
        <f t="shared" si="17"/>
        <v>495.83455435557892</v>
      </c>
      <c r="O82" s="69"/>
      <c r="P82" s="69"/>
      <c r="Q82" s="69"/>
      <c r="R82" s="69"/>
      <c r="S82" s="1"/>
      <c r="U82" s="1"/>
      <c r="V82" s="62">
        <v>23</v>
      </c>
      <c r="W82" s="62"/>
      <c r="X82" s="62">
        <f t="shared" si="8"/>
        <v>0</v>
      </c>
      <c r="Y82" s="62">
        <f t="shared" si="12"/>
        <v>0</v>
      </c>
      <c r="Z82" s="67">
        <f t="shared" si="13"/>
        <v>0</v>
      </c>
      <c r="AA82" s="67">
        <f t="shared" si="18"/>
        <v>2487.0406397049892</v>
      </c>
      <c r="AB82" s="74"/>
      <c r="AC82" s="1"/>
    </row>
    <row r="83" spans="1:29" x14ac:dyDescent="0.3">
      <c r="A83" s="1"/>
      <c r="B83" s="61">
        <f t="shared" si="19"/>
        <v>24</v>
      </c>
      <c r="C83" s="32"/>
      <c r="D83" s="91"/>
      <c r="E83" s="95">
        <f t="shared" si="26"/>
        <v>0</v>
      </c>
      <c r="F83" s="93">
        <f t="shared" si="15"/>
        <v>0</v>
      </c>
      <c r="G83" s="95">
        <f t="shared" si="22"/>
        <v>1739.9867938348623</v>
      </c>
      <c r="H83" s="99">
        <v>0</v>
      </c>
      <c r="I83" s="62">
        <f t="shared" si="9"/>
        <v>0</v>
      </c>
      <c r="J83" s="85">
        <f t="shared" si="7"/>
        <v>0</v>
      </c>
      <c r="K83" s="62">
        <f t="shared" si="16"/>
        <v>0</v>
      </c>
      <c r="L83" s="84">
        <f t="shared" si="10"/>
        <v>0</v>
      </c>
      <c r="M83" s="84">
        <f t="shared" si="11"/>
        <v>0</v>
      </c>
      <c r="N83" s="95">
        <f t="shared" si="17"/>
        <v>495.83455435557892</v>
      </c>
      <c r="O83" s="69"/>
      <c r="P83" s="69"/>
      <c r="Q83" s="69"/>
      <c r="R83" s="69"/>
      <c r="S83" s="1"/>
      <c r="U83" s="1"/>
      <c r="V83" s="62">
        <v>24</v>
      </c>
      <c r="W83" s="62"/>
      <c r="X83" s="62">
        <f t="shared" si="8"/>
        <v>0</v>
      </c>
      <c r="Y83" s="62">
        <f t="shared" si="12"/>
        <v>0</v>
      </c>
      <c r="Z83" s="67">
        <f t="shared" si="13"/>
        <v>0</v>
      </c>
      <c r="AA83" s="67">
        <f t="shared" si="18"/>
        <v>2487.0406397049892</v>
      </c>
      <c r="AB83" s="74"/>
      <c r="AC83" s="1"/>
    </row>
    <row r="84" spans="1:29" ht="15" thickBot="1" x14ac:dyDescent="0.35">
      <c r="A84" s="1"/>
      <c r="B84" s="61">
        <f t="shared" si="19"/>
        <v>25</v>
      </c>
      <c r="C84" s="32"/>
      <c r="D84" s="91"/>
      <c r="E84" s="96">
        <f t="shared" si="26"/>
        <v>0</v>
      </c>
      <c r="F84" s="93">
        <f t="shared" si="15"/>
        <v>0</v>
      </c>
      <c r="G84" s="96">
        <f t="shared" si="22"/>
        <v>1739.9867938348623</v>
      </c>
      <c r="H84" s="99">
        <v>0</v>
      </c>
      <c r="I84" s="62">
        <f t="shared" si="9"/>
        <v>0</v>
      </c>
      <c r="J84" s="85">
        <f t="shared" si="7"/>
        <v>0</v>
      </c>
      <c r="K84" s="62">
        <f t="shared" si="16"/>
        <v>0</v>
      </c>
      <c r="L84" s="84">
        <f t="shared" si="10"/>
        <v>0</v>
      </c>
      <c r="M84" s="84">
        <f t="shared" si="11"/>
        <v>0</v>
      </c>
      <c r="N84" s="96">
        <f t="shared" si="17"/>
        <v>495.83455435557892</v>
      </c>
      <c r="O84" s="69"/>
      <c r="P84" s="69"/>
      <c r="Q84" s="69"/>
      <c r="R84" s="69"/>
      <c r="S84" s="1"/>
      <c r="U84" s="1"/>
      <c r="V84" s="62">
        <v>25</v>
      </c>
      <c r="W84" s="62"/>
      <c r="X84" s="62">
        <f t="shared" si="8"/>
        <v>0</v>
      </c>
      <c r="Y84" s="62">
        <f t="shared" si="12"/>
        <v>0</v>
      </c>
      <c r="Z84" s="67">
        <f t="shared" si="13"/>
        <v>0</v>
      </c>
      <c r="AA84" s="67">
        <f t="shared" si="18"/>
        <v>2487.0406397049892</v>
      </c>
      <c r="AB84" s="74"/>
      <c r="AC84" s="1"/>
    </row>
    <row r="85" spans="1:29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U85" s="1"/>
      <c r="V85" s="1"/>
      <c r="W85" s="1"/>
      <c r="X85" s="1"/>
      <c r="Y85" s="1"/>
      <c r="Z85" s="1"/>
      <c r="AA85" s="1"/>
      <c r="AB85" s="1"/>
      <c r="AC85" s="1"/>
    </row>
    <row r="87" spans="1:29" x14ac:dyDescent="0.3">
      <c r="A87" s="8"/>
      <c r="B87" s="8"/>
      <c r="C87" s="8"/>
      <c r="D87" s="8"/>
    </row>
    <row r="88" spans="1:29" x14ac:dyDescent="0.3">
      <c r="A88" s="1"/>
      <c r="B88" s="1"/>
      <c r="C88" s="1"/>
      <c r="D88" s="1" t="s">
        <v>168</v>
      </c>
      <c r="E88" s="1"/>
      <c r="F88" s="1"/>
      <c r="G88" s="1"/>
      <c r="H88" s="1"/>
      <c r="I88" s="1"/>
      <c r="J88" s="1"/>
      <c r="K88" s="1" t="s">
        <v>169</v>
      </c>
      <c r="L88" s="1"/>
      <c r="M88" s="1"/>
      <c r="N88" s="1"/>
      <c r="O88" s="1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</row>
    <row r="89" spans="1:29" x14ac:dyDescent="0.3">
      <c r="A89" s="1"/>
      <c r="B89" s="75"/>
      <c r="C89" s="76"/>
      <c r="D89" s="77" t="s">
        <v>145</v>
      </c>
      <c r="E89" s="78"/>
      <c r="F89" s="78"/>
      <c r="G89" s="79"/>
      <c r="H89" s="1"/>
      <c r="I89" s="81"/>
      <c r="J89" s="78"/>
      <c r="K89" s="82" t="s">
        <v>153</v>
      </c>
      <c r="L89" s="78"/>
      <c r="M89" s="78"/>
      <c r="N89" s="79"/>
      <c r="O89" s="1"/>
      <c r="Q89" s="9"/>
      <c r="R89" s="61" t="s">
        <v>187</v>
      </c>
      <c r="S89" s="61" t="s">
        <v>188</v>
      </c>
      <c r="T89" s="61" t="s">
        <v>189</v>
      </c>
      <c r="U89" s="61" t="s">
        <v>190</v>
      </c>
      <c r="V89" s="9"/>
      <c r="W89" s="9"/>
      <c r="X89" s="61" t="s">
        <v>187</v>
      </c>
      <c r="Y89" s="61" t="s">
        <v>192</v>
      </c>
      <c r="Z89" s="61" t="s">
        <v>193</v>
      </c>
      <c r="AA89" s="61" t="s">
        <v>194</v>
      </c>
      <c r="AB89" s="9"/>
    </row>
    <row r="90" spans="1:29" x14ac:dyDescent="0.3">
      <c r="A90" s="1"/>
      <c r="B90" s="26" t="s">
        <v>146</v>
      </c>
      <c r="C90" s="27">
        <f>1/C91</f>
        <v>0.1111111111111111</v>
      </c>
      <c r="D90" s="26" t="s">
        <v>147</v>
      </c>
      <c r="E90" s="27">
        <f>(E91-E92)/E93</f>
        <v>537.79999999999995</v>
      </c>
      <c r="F90" s="26" t="s">
        <v>149</v>
      </c>
      <c r="G90" s="27">
        <f>G91-(G93*G92)</f>
        <v>4302.3999999999996</v>
      </c>
      <c r="H90" s="1"/>
      <c r="I90" s="26" t="s">
        <v>146</v>
      </c>
      <c r="J90" s="27">
        <f>1-(POWER(J92/J91,1/J93))</f>
        <v>0.22573631731887289</v>
      </c>
      <c r="K90" s="26" t="s">
        <v>147</v>
      </c>
      <c r="L90" s="27">
        <f>L91*L92*(POWER(1-L91,L93-1))</f>
        <v>939.96378724383635</v>
      </c>
      <c r="M90" s="26" t="s">
        <v>149</v>
      </c>
      <c r="N90" s="27">
        <f>N92*(POWER(1-N91,N93))</f>
        <v>2455.2344740000003</v>
      </c>
      <c r="O90" s="1"/>
      <c r="Q90" s="9"/>
      <c r="R90" s="67" t="s">
        <v>5</v>
      </c>
      <c r="S90" s="67">
        <v>10</v>
      </c>
      <c r="T90" s="67">
        <v>8</v>
      </c>
      <c r="U90" s="67">
        <v>12</v>
      </c>
      <c r="V90" s="9"/>
      <c r="W90" s="9"/>
      <c r="X90" s="67" t="s">
        <v>5</v>
      </c>
      <c r="Y90" s="67">
        <v>7222</v>
      </c>
      <c r="Z90" s="67">
        <v>13146</v>
      </c>
      <c r="AA90" s="67">
        <v>11510</v>
      </c>
      <c r="AB90" s="9"/>
    </row>
    <row r="91" spans="1:29" x14ac:dyDescent="0.3">
      <c r="A91" s="1"/>
      <c r="B91" s="33" t="s">
        <v>5</v>
      </c>
      <c r="C91" s="32">
        <v>9</v>
      </c>
      <c r="D91" s="33" t="s">
        <v>128</v>
      </c>
      <c r="E91" s="32">
        <v>5378</v>
      </c>
      <c r="F91" s="80" t="s">
        <v>128</v>
      </c>
      <c r="G91" s="80">
        <f>E91</f>
        <v>5378</v>
      </c>
      <c r="H91" s="1"/>
      <c r="I91" s="33" t="s">
        <v>128</v>
      </c>
      <c r="J91" s="32">
        <v>5378</v>
      </c>
      <c r="K91" s="33" t="s">
        <v>184</v>
      </c>
      <c r="L91" s="32">
        <v>0.22573631731887289</v>
      </c>
      <c r="M91" s="33" t="s">
        <v>146</v>
      </c>
      <c r="N91" s="32">
        <v>0.23</v>
      </c>
      <c r="O91" s="1"/>
      <c r="Q91" s="9"/>
      <c r="R91" s="67" t="s">
        <v>3</v>
      </c>
      <c r="S91" s="67">
        <v>-80000</v>
      </c>
      <c r="T91" s="67">
        <v>-70000</v>
      </c>
      <c r="U91" s="67">
        <v>-90000</v>
      </c>
      <c r="V91" s="9"/>
      <c r="W91" s="9"/>
      <c r="X91" s="67" t="s">
        <v>3</v>
      </c>
      <c r="Y91" s="67">
        <v>21510</v>
      </c>
      <c r="Z91" s="67">
        <v>1510</v>
      </c>
      <c r="AA91" s="67">
        <v>11510</v>
      </c>
      <c r="AB91" s="9"/>
    </row>
    <row r="92" spans="1:29" x14ac:dyDescent="0.3">
      <c r="A92" s="1"/>
      <c r="B92" s="74"/>
      <c r="C92" s="74"/>
      <c r="D92" s="33" t="s">
        <v>148</v>
      </c>
      <c r="E92" s="32">
        <v>537.79999999999995</v>
      </c>
      <c r="F92" s="80" t="s">
        <v>147</v>
      </c>
      <c r="G92" s="80">
        <f>E90</f>
        <v>537.79999999999995</v>
      </c>
      <c r="H92" s="1"/>
      <c r="I92" s="33" t="s">
        <v>148</v>
      </c>
      <c r="J92" s="32">
        <v>537.79999999999995</v>
      </c>
      <c r="K92" s="80" t="s">
        <v>185</v>
      </c>
      <c r="L92" s="80">
        <f>J91</f>
        <v>5378</v>
      </c>
      <c r="M92" s="80" t="s">
        <v>128</v>
      </c>
      <c r="N92" s="80">
        <f>J91</f>
        <v>5378</v>
      </c>
      <c r="O92" s="1"/>
      <c r="Q92" s="9"/>
      <c r="R92" s="67" t="s">
        <v>16</v>
      </c>
      <c r="S92" s="67">
        <v>-2000</v>
      </c>
      <c r="T92" s="67">
        <v>-2500</v>
      </c>
      <c r="U92" s="67">
        <v>-1500</v>
      </c>
      <c r="V92" s="9"/>
      <c r="W92" s="9"/>
      <c r="X92" s="67" t="s">
        <v>16</v>
      </c>
      <c r="Y92" s="67">
        <v>511</v>
      </c>
      <c r="Z92" s="67">
        <v>22509</v>
      </c>
      <c r="AA92" s="67">
        <v>11510</v>
      </c>
      <c r="AB92" s="9"/>
    </row>
    <row r="93" spans="1:29" x14ac:dyDescent="0.3">
      <c r="A93" s="1"/>
      <c r="B93" s="69"/>
      <c r="C93" s="69"/>
      <c r="D93" s="33" t="s">
        <v>5</v>
      </c>
      <c r="E93" s="32">
        <v>9</v>
      </c>
      <c r="F93" s="33" t="s">
        <v>150</v>
      </c>
      <c r="G93" s="32">
        <v>2</v>
      </c>
      <c r="H93" s="1"/>
      <c r="I93" s="33" t="s">
        <v>5</v>
      </c>
      <c r="J93" s="32">
        <v>9</v>
      </c>
      <c r="K93" s="33" t="s">
        <v>186</v>
      </c>
      <c r="L93" s="32">
        <v>2</v>
      </c>
      <c r="M93" s="80" t="s">
        <v>150</v>
      </c>
      <c r="N93" s="80">
        <v>3</v>
      </c>
      <c r="O93" s="1"/>
      <c r="Q93" s="9"/>
      <c r="R93" s="67" t="s">
        <v>10</v>
      </c>
      <c r="S93" s="67">
        <v>27000</v>
      </c>
      <c r="T93" s="67">
        <v>25000</v>
      </c>
      <c r="U93" s="67">
        <v>30000</v>
      </c>
      <c r="V93" s="9"/>
      <c r="W93" s="9"/>
      <c r="X93" s="67" t="s">
        <v>10</v>
      </c>
      <c r="Y93" s="67">
        <v>1473</v>
      </c>
      <c r="Z93" s="67">
        <v>26567</v>
      </c>
      <c r="AA93" s="67">
        <v>11510</v>
      </c>
      <c r="AB93" s="9"/>
    </row>
    <row r="94" spans="1:29" x14ac:dyDescent="0.3">
      <c r="A94" s="1"/>
      <c r="B94" s="1"/>
      <c r="C94" s="1"/>
      <c r="D94" s="1"/>
      <c r="E94" s="1"/>
      <c r="F94" s="1"/>
      <c r="G94" s="1"/>
      <c r="H94" s="1"/>
      <c r="I94" s="74"/>
      <c r="J94" s="74"/>
      <c r="K94" s="26" t="s">
        <v>147</v>
      </c>
      <c r="L94" s="27">
        <f>L95-L96</f>
        <v>0</v>
      </c>
      <c r="M94" s="26" t="s">
        <v>151</v>
      </c>
      <c r="N94" s="27">
        <f>N96-N95</f>
        <v>0</v>
      </c>
      <c r="O94" s="1"/>
      <c r="Q94" s="9"/>
      <c r="R94" s="67" t="s">
        <v>191</v>
      </c>
      <c r="S94" s="67">
        <v>0.15</v>
      </c>
      <c r="T94" s="67">
        <v>0.1</v>
      </c>
      <c r="U94" s="67">
        <v>0.25</v>
      </c>
      <c r="V94" s="9"/>
      <c r="W94" s="9"/>
      <c r="X94" s="67" t="s">
        <v>191</v>
      </c>
      <c r="Y94" s="67">
        <v>27831</v>
      </c>
      <c r="Z94" s="67">
        <v>-10712</v>
      </c>
      <c r="AA94" s="67">
        <v>11510</v>
      </c>
      <c r="AB94" s="9"/>
    </row>
    <row r="95" spans="1:29" x14ac:dyDescent="0.3">
      <c r="D95" s="8"/>
      <c r="H95" s="1"/>
      <c r="I95" s="74"/>
      <c r="J95" s="74"/>
      <c r="K95" s="33" t="s">
        <v>149</v>
      </c>
      <c r="L95" s="32"/>
      <c r="M95" s="33" t="s">
        <v>147</v>
      </c>
      <c r="N95" s="32"/>
      <c r="O95" s="1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</row>
    <row r="96" spans="1:29" x14ac:dyDescent="0.3">
      <c r="D96" s="8"/>
      <c r="H96" s="1"/>
      <c r="I96" s="74"/>
      <c r="J96" s="74"/>
      <c r="K96" s="33" t="s">
        <v>152</v>
      </c>
      <c r="L96" s="32"/>
      <c r="M96" s="33" t="s">
        <v>152</v>
      </c>
      <c r="N96" s="32"/>
      <c r="O96" s="1"/>
    </row>
    <row r="97" spans="1:15" x14ac:dyDescent="0.3">
      <c r="D97" s="8"/>
      <c r="H97" s="1"/>
      <c r="I97" s="1"/>
      <c r="J97" s="1"/>
      <c r="K97" s="1"/>
      <c r="L97" s="1"/>
      <c r="M97" s="1"/>
      <c r="N97" s="1"/>
      <c r="O97" s="1"/>
    </row>
    <row r="98" spans="1:15" x14ac:dyDescent="0.3">
      <c r="D98" s="8"/>
    </row>
    <row r="99" spans="1:15" x14ac:dyDescent="0.3">
      <c r="D99" s="8"/>
    </row>
    <row r="100" spans="1:15" x14ac:dyDescent="0.3">
      <c r="A100" s="1"/>
      <c r="B100" s="1"/>
      <c r="C100" s="1"/>
      <c r="D100" s="1"/>
      <c r="E100" s="1"/>
      <c r="F100" s="1"/>
      <c r="H100" s="1"/>
      <c r="I100" s="1"/>
      <c r="J100" s="1"/>
      <c r="K100" s="1"/>
      <c r="L100" s="1"/>
      <c r="M100" s="1"/>
    </row>
    <row r="101" spans="1:15" x14ac:dyDescent="0.3">
      <c r="A101" s="1"/>
      <c r="B101" s="61" t="s">
        <v>155</v>
      </c>
      <c r="C101" s="61" t="s">
        <v>154</v>
      </c>
      <c r="D101" s="61" t="s">
        <v>156</v>
      </c>
      <c r="E101" s="61" t="s">
        <v>157</v>
      </c>
      <c r="F101" s="1"/>
      <c r="H101" s="1"/>
      <c r="I101" s="26" t="s">
        <v>159</v>
      </c>
      <c r="J101" s="61" t="s">
        <v>160</v>
      </c>
      <c r="K101" s="61" t="s">
        <v>158</v>
      </c>
      <c r="L101" s="83" t="s">
        <v>161</v>
      </c>
      <c r="M101" s="1"/>
    </row>
    <row r="102" spans="1:15" x14ac:dyDescent="0.3">
      <c r="A102" s="1"/>
      <c r="B102" s="62">
        <f>D102</f>
        <v>0.1</v>
      </c>
      <c r="C102" s="62">
        <v>27831</v>
      </c>
      <c r="D102" s="32">
        <v>0.1</v>
      </c>
      <c r="E102" s="32">
        <v>0.01</v>
      </c>
      <c r="F102" s="1"/>
      <c r="H102" s="1"/>
      <c r="I102" s="27">
        <f>SUM(L102:L125)</f>
        <v>3403.1221552399861</v>
      </c>
      <c r="J102" s="62">
        <v>3400.7587761999298</v>
      </c>
      <c r="K102" s="62">
        <v>0.2</v>
      </c>
      <c r="L102" s="62">
        <f>J102*K102</f>
        <v>680.15175523998596</v>
      </c>
      <c r="M102" s="1"/>
    </row>
    <row r="103" spans="1:15" x14ac:dyDescent="0.3">
      <c r="A103" s="1"/>
      <c r="B103" s="62">
        <f t="shared" ref="B103:B126" si="27">B102+E$102</f>
        <v>0.11</v>
      </c>
      <c r="C103" s="62">
        <v>24187</v>
      </c>
      <c r="D103" s="74"/>
      <c r="E103" s="74"/>
      <c r="F103" s="1"/>
      <c r="H103" s="1"/>
      <c r="I103" s="74"/>
      <c r="J103" s="62">
        <v>3779.3</v>
      </c>
      <c r="K103" s="62">
        <v>0.06</v>
      </c>
      <c r="L103" s="62">
        <f t="shared" ref="L103:L125" si="28">J103*K103</f>
        <v>226.75800000000001</v>
      </c>
      <c r="M103" s="1" t="s">
        <v>10</v>
      </c>
    </row>
    <row r="104" spans="1:15" x14ac:dyDescent="0.3">
      <c r="A104" s="1"/>
      <c r="B104" s="62">
        <f t="shared" si="27"/>
        <v>0.12</v>
      </c>
      <c r="C104" s="62">
        <v>20747</v>
      </c>
      <c r="D104" s="74"/>
      <c r="E104" s="74"/>
      <c r="F104" s="1"/>
      <c r="H104" s="1"/>
      <c r="I104" s="74"/>
      <c r="J104" s="62">
        <v>4421.76</v>
      </c>
      <c r="K104" s="62">
        <v>7.0000000000000007E-2</v>
      </c>
      <c r="L104" s="62">
        <f t="shared" si="28"/>
        <v>309.52320000000003</v>
      </c>
      <c r="M104" s="1" t="s">
        <v>128</v>
      </c>
    </row>
    <row r="105" spans="1:15" x14ac:dyDescent="0.3">
      <c r="A105" s="1"/>
      <c r="B105" s="62">
        <f t="shared" si="27"/>
        <v>0.13</v>
      </c>
      <c r="C105" s="62">
        <v>17496</v>
      </c>
      <c r="D105" s="74"/>
      <c r="E105" s="74"/>
      <c r="F105" s="1"/>
      <c r="H105" s="1"/>
      <c r="I105" s="74"/>
      <c r="J105" s="62">
        <v>3635.3</v>
      </c>
      <c r="K105" s="62">
        <v>0.09</v>
      </c>
      <c r="L105" s="62">
        <f t="shared" si="28"/>
        <v>327.17700000000002</v>
      </c>
      <c r="M105" s="1" t="s">
        <v>132</v>
      </c>
    </row>
    <row r="106" spans="1:15" x14ac:dyDescent="0.3">
      <c r="A106" s="1"/>
      <c r="B106" s="62">
        <f t="shared" si="27"/>
        <v>0.14000000000000001</v>
      </c>
      <c r="C106" s="62">
        <v>14421</v>
      </c>
      <c r="D106" s="74"/>
      <c r="E106" s="74"/>
      <c r="F106" s="1"/>
      <c r="H106" s="1"/>
      <c r="I106" s="74"/>
      <c r="J106" s="62">
        <v>2749.23</v>
      </c>
      <c r="K106" s="62">
        <v>0.15</v>
      </c>
      <c r="L106" s="62">
        <f t="shared" si="28"/>
        <v>412.3845</v>
      </c>
      <c r="M106" s="1" t="s">
        <v>195</v>
      </c>
    </row>
    <row r="107" spans="1:15" x14ac:dyDescent="0.3">
      <c r="A107" s="1"/>
      <c r="B107" s="62">
        <f t="shared" si="27"/>
        <v>0.15000000000000002</v>
      </c>
      <c r="C107" s="62">
        <v>11510</v>
      </c>
      <c r="D107" s="74"/>
      <c r="E107" s="74"/>
      <c r="F107" s="1"/>
      <c r="H107" s="1"/>
      <c r="I107" s="74"/>
      <c r="J107" s="62">
        <v>3373.87</v>
      </c>
      <c r="K107" s="62">
        <v>0.09</v>
      </c>
      <c r="L107" s="62">
        <f t="shared" si="28"/>
        <v>303.64830000000001</v>
      </c>
      <c r="M107" s="1" t="s">
        <v>196</v>
      </c>
    </row>
    <row r="108" spans="1:15" x14ac:dyDescent="0.3">
      <c r="A108" s="1"/>
      <c r="B108" s="62">
        <f t="shared" si="27"/>
        <v>0.16000000000000003</v>
      </c>
      <c r="C108" s="62">
        <v>8750</v>
      </c>
      <c r="D108" s="74"/>
      <c r="E108" s="74"/>
      <c r="F108" s="1"/>
      <c r="H108" s="1"/>
      <c r="I108" s="74"/>
      <c r="J108" s="62">
        <v>3046.22</v>
      </c>
      <c r="K108" s="62">
        <v>0.05</v>
      </c>
      <c r="L108" s="62">
        <f t="shared" si="28"/>
        <v>152.31100000000001</v>
      </c>
      <c r="M108" s="1" t="s">
        <v>6</v>
      </c>
    </row>
    <row r="109" spans="1:15" x14ac:dyDescent="0.3">
      <c r="A109" s="1"/>
      <c r="B109" s="62">
        <f t="shared" si="27"/>
        <v>0.17000000000000004</v>
      </c>
      <c r="C109" s="62">
        <v>6132</v>
      </c>
      <c r="D109" s="74"/>
      <c r="E109" s="74"/>
      <c r="F109" s="1"/>
      <c r="H109" s="1"/>
      <c r="I109" s="74"/>
      <c r="J109" s="62">
        <v>3146.76</v>
      </c>
      <c r="K109" s="62">
        <v>0.13</v>
      </c>
      <c r="L109" s="62">
        <f t="shared" si="28"/>
        <v>409.07880000000006</v>
      </c>
      <c r="M109" s="1" t="s">
        <v>16</v>
      </c>
    </row>
    <row r="110" spans="1:15" x14ac:dyDescent="0.3">
      <c r="A110" s="1"/>
      <c r="B110" s="62">
        <f t="shared" si="27"/>
        <v>0.18000000000000005</v>
      </c>
      <c r="C110" s="62">
        <v>3647</v>
      </c>
      <c r="D110" s="74"/>
      <c r="E110" s="74"/>
      <c r="F110" s="1"/>
      <c r="H110" s="1"/>
      <c r="I110" s="74"/>
      <c r="J110" s="62">
        <v>3042.42</v>
      </c>
      <c r="K110" s="62">
        <v>0.05</v>
      </c>
      <c r="L110" s="62">
        <f t="shared" si="28"/>
        <v>152.12100000000001</v>
      </c>
      <c r="M110" s="1" t="s">
        <v>198</v>
      </c>
    </row>
    <row r="111" spans="1:15" x14ac:dyDescent="0.3">
      <c r="A111" s="1"/>
      <c r="B111" s="62">
        <f t="shared" si="27"/>
        <v>0.19000000000000006</v>
      </c>
      <c r="C111" s="62">
        <v>1284</v>
      </c>
      <c r="D111" s="74"/>
      <c r="E111" s="74"/>
      <c r="F111" s="1"/>
      <c r="H111" s="1"/>
      <c r="I111" s="74"/>
      <c r="J111" s="62">
        <v>4892</v>
      </c>
      <c r="K111" s="62">
        <v>0.04</v>
      </c>
      <c r="L111" s="62">
        <f t="shared" si="28"/>
        <v>195.68</v>
      </c>
      <c r="M111" s="1" t="s">
        <v>197</v>
      </c>
    </row>
    <row r="112" spans="1:15" x14ac:dyDescent="0.3">
      <c r="A112" s="1"/>
      <c r="B112" s="62">
        <f t="shared" si="27"/>
        <v>0.20000000000000007</v>
      </c>
      <c r="C112" s="62">
        <v>-962</v>
      </c>
      <c r="D112" s="74"/>
      <c r="E112" s="74"/>
      <c r="F112" s="1"/>
      <c r="H112" s="1"/>
      <c r="I112" s="74"/>
      <c r="J112" s="62">
        <v>3346.98</v>
      </c>
      <c r="K112" s="62">
        <v>7.0000000000000007E-2</v>
      </c>
      <c r="L112" s="62">
        <f t="shared" si="28"/>
        <v>234.28860000000003</v>
      </c>
      <c r="M112" s="1" t="s">
        <v>199</v>
      </c>
    </row>
    <row r="113" spans="1:13" x14ac:dyDescent="0.3">
      <c r="A113" s="1"/>
      <c r="B113" s="62">
        <f t="shared" si="27"/>
        <v>0.21000000000000008</v>
      </c>
      <c r="C113" s="62">
        <v>-3101</v>
      </c>
      <c r="D113" s="74"/>
      <c r="E113" s="74"/>
      <c r="F113" s="1"/>
      <c r="H113" s="1"/>
      <c r="I113" s="74"/>
      <c r="J113" s="62"/>
      <c r="K113" s="62"/>
      <c r="L113" s="62">
        <f t="shared" si="28"/>
        <v>0</v>
      </c>
      <c r="M113" s="1"/>
    </row>
    <row r="114" spans="1:13" x14ac:dyDescent="0.3">
      <c r="A114" s="1"/>
      <c r="B114" s="62">
        <f t="shared" si="27"/>
        <v>0.22000000000000008</v>
      </c>
      <c r="C114" s="62">
        <v>-5140</v>
      </c>
      <c r="D114" s="74"/>
      <c r="E114" s="74"/>
      <c r="F114" s="1"/>
      <c r="H114" s="1"/>
      <c r="I114" s="74"/>
      <c r="J114" s="62"/>
      <c r="K114" s="62"/>
      <c r="L114" s="62">
        <f t="shared" si="28"/>
        <v>0</v>
      </c>
      <c r="M114" s="1"/>
    </row>
    <row r="115" spans="1:13" x14ac:dyDescent="0.3">
      <c r="A115" s="1"/>
      <c r="B115" s="62">
        <f t="shared" si="27"/>
        <v>0.23000000000000009</v>
      </c>
      <c r="C115" s="62">
        <v>-7084</v>
      </c>
      <c r="D115" s="74"/>
      <c r="E115" s="74"/>
      <c r="F115" s="1"/>
      <c r="H115" s="1"/>
      <c r="I115" s="74"/>
      <c r="J115" s="62"/>
      <c r="K115" s="62"/>
      <c r="L115" s="62">
        <f t="shared" si="28"/>
        <v>0</v>
      </c>
      <c r="M115" s="1"/>
    </row>
    <row r="116" spans="1:13" x14ac:dyDescent="0.3">
      <c r="A116" s="1"/>
      <c r="B116" s="62">
        <f t="shared" si="27"/>
        <v>0.2400000000000001</v>
      </c>
      <c r="C116" s="62">
        <v>-8939</v>
      </c>
      <c r="D116" s="74"/>
      <c r="E116" s="74"/>
      <c r="F116" s="1"/>
      <c r="H116" s="1"/>
      <c r="I116" s="74"/>
      <c r="J116" s="62"/>
      <c r="K116" s="62"/>
      <c r="L116" s="62">
        <f t="shared" si="28"/>
        <v>0</v>
      </c>
      <c r="M116" s="1"/>
    </row>
    <row r="117" spans="1:13" x14ac:dyDescent="0.3">
      <c r="A117" s="1"/>
      <c r="B117" s="62">
        <f t="shared" si="27"/>
        <v>0.25000000000000011</v>
      </c>
      <c r="C117" s="62">
        <v>-10711</v>
      </c>
      <c r="D117" s="74"/>
      <c r="E117" s="74"/>
      <c r="F117" s="1"/>
      <c r="H117" s="1"/>
      <c r="I117" s="74"/>
      <c r="J117" s="62"/>
      <c r="K117" s="62"/>
      <c r="L117" s="62">
        <f t="shared" si="28"/>
        <v>0</v>
      </c>
      <c r="M117" s="1"/>
    </row>
    <row r="118" spans="1:13" x14ac:dyDescent="0.3">
      <c r="A118" s="1"/>
      <c r="B118" s="62">
        <f t="shared" si="27"/>
        <v>0.26000000000000012</v>
      </c>
      <c r="C118" s="62"/>
      <c r="D118" s="74"/>
      <c r="E118" s="74"/>
      <c r="F118" s="1"/>
      <c r="H118" s="1"/>
      <c r="I118" s="74"/>
      <c r="J118" s="62"/>
      <c r="K118" s="62"/>
      <c r="L118" s="62">
        <f t="shared" si="28"/>
        <v>0</v>
      </c>
      <c r="M118" s="1"/>
    </row>
    <row r="119" spans="1:13" x14ac:dyDescent="0.3">
      <c r="A119" s="1"/>
      <c r="B119" s="62">
        <f t="shared" si="27"/>
        <v>0.27000000000000013</v>
      </c>
      <c r="C119" s="62"/>
      <c r="D119" s="74"/>
      <c r="E119" s="74"/>
      <c r="F119" s="1"/>
      <c r="H119" s="1"/>
      <c r="I119" s="74"/>
      <c r="J119" s="62"/>
      <c r="K119" s="62"/>
      <c r="L119" s="62">
        <f t="shared" si="28"/>
        <v>0</v>
      </c>
      <c r="M119" s="1"/>
    </row>
    <row r="120" spans="1:13" x14ac:dyDescent="0.3">
      <c r="A120" s="1"/>
      <c r="B120" s="62">
        <f t="shared" si="27"/>
        <v>0.28000000000000014</v>
      </c>
      <c r="C120" s="62"/>
      <c r="D120" s="74"/>
      <c r="E120" s="74"/>
      <c r="F120" s="1"/>
      <c r="H120" s="1"/>
      <c r="I120" s="74"/>
      <c r="J120" s="62"/>
      <c r="K120" s="62"/>
      <c r="L120" s="62">
        <f t="shared" si="28"/>
        <v>0</v>
      </c>
      <c r="M120" s="1"/>
    </row>
    <row r="121" spans="1:13" x14ac:dyDescent="0.3">
      <c r="A121" s="1"/>
      <c r="B121" s="62">
        <f t="shared" si="27"/>
        <v>0.29000000000000015</v>
      </c>
      <c r="C121" s="62"/>
      <c r="D121" s="74"/>
      <c r="E121" s="74"/>
      <c r="F121" s="1"/>
      <c r="H121" s="1"/>
      <c r="I121" s="74"/>
      <c r="J121" s="62"/>
      <c r="K121" s="62"/>
      <c r="L121" s="62">
        <f t="shared" si="28"/>
        <v>0</v>
      </c>
      <c r="M121" s="1"/>
    </row>
    <row r="122" spans="1:13" x14ac:dyDescent="0.3">
      <c r="A122" s="1"/>
      <c r="B122" s="62">
        <f t="shared" si="27"/>
        <v>0.30000000000000016</v>
      </c>
      <c r="C122" s="62"/>
      <c r="D122" s="74"/>
      <c r="E122" s="74"/>
      <c r="F122" s="1"/>
      <c r="H122" s="1"/>
      <c r="I122" s="74"/>
      <c r="J122" s="62"/>
      <c r="K122" s="62"/>
      <c r="L122" s="62">
        <f t="shared" si="28"/>
        <v>0</v>
      </c>
      <c r="M122" s="1"/>
    </row>
    <row r="123" spans="1:13" x14ac:dyDescent="0.3">
      <c r="A123" s="1"/>
      <c r="B123" s="62">
        <f t="shared" si="27"/>
        <v>0.31000000000000016</v>
      </c>
      <c r="C123" s="62"/>
      <c r="D123" s="74"/>
      <c r="E123" s="74"/>
      <c r="F123" s="1"/>
      <c r="H123" s="1"/>
      <c r="I123" s="74"/>
      <c r="J123" s="62"/>
      <c r="K123" s="62"/>
      <c r="L123" s="62">
        <f t="shared" si="28"/>
        <v>0</v>
      </c>
      <c r="M123" s="1"/>
    </row>
    <row r="124" spans="1:13" x14ac:dyDescent="0.3">
      <c r="A124" s="1"/>
      <c r="B124" s="62">
        <f t="shared" si="27"/>
        <v>0.32000000000000017</v>
      </c>
      <c r="C124" s="62"/>
      <c r="D124" s="74"/>
      <c r="E124" s="74"/>
      <c r="F124" s="1"/>
      <c r="H124" s="1"/>
      <c r="I124" s="74"/>
      <c r="J124" s="62"/>
      <c r="K124" s="62"/>
      <c r="L124" s="62">
        <f t="shared" si="28"/>
        <v>0</v>
      </c>
      <c r="M124" s="1"/>
    </row>
    <row r="125" spans="1:13" x14ac:dyDescent="0.3">
      <c r="A125" s="1"/>
      <c r="B125" s="62">
        <f t="shared" si="27"/>
        <v>0.33000000000000018</v>
      </c>
      <c r="C125" s="62"/>
      <c r="D125" s="74"/>
      <c r="E125" s="74"/>
      <c r="F125" s="1"/>
      <c r="H125" s="1"/>
      <c r="I125" s="74"/>
      <c r="J125" s="62"/>
      <c r="K125" s="62"/>
      <c r="L125" s="62">
        <f t="shared" si="28"/>
        <v>0</v>
      </c>
      <c r="M125" s="1"/>
    </row>
    <row r="126" spans="1:13" x14ac:dyDescent="0.3">
      <c r="A126" s="1"/>
      <c r="B126" s="62">
        <f t="shared" si="27"/>
        <v>0.34000000000000019</v>
      </c>
      <c r="C126" s="62"/>
      <c r="D126" s="74"/>
      <c r="E126" s="74"/>
      <c r="F126" s="1"/>
      <c r="H126" s="1"/>
      <c r="I126" s="1"/>
      <c r="J126" s="1"/>
      <c r="K126" s="1"/>
      <c r="L126" s="1"/>
      <c r="M126" s="1"/>
    </row>
    <row r="127" spans="1:13" x14ac:dyDescent="0.3">
      <c r="A127" s="1"/>
      <c r="B127" s="1"/>
      <c r="C127" s="1"/>
      <c r="D127" s="1"/>
      <c r="E127" s="1"/>
      <c r="F127" s="1"/>
    </row>
    <row r="130" spans="1:13" x14ac:dyDescent="0.3">
      <c r="A130" s="1"/>
      <c r="B130" s="1"/>
      <c r="C130" s="1"/>
      <c r="D130" s="1"/>
      <c r="E130" s="1"/>
      <c r="F130" s="1"/>
      <c r="G130" s="1"/>
    </row>
    <row r="131" spans="1:13" x14ac:dyDescent="0.3">
      <c r="A131" s="1"/>
      <c r="B131" s="61" t="s">
        <v>106</v>
      </c>
      <c r="C131" s="61" t="s">
        <v>107</v>
      </c>
      <c r="D131" s="9"/>
      <c r="E131" s="33" t="s">
        <v>108</v>
      </c>
      <c r="F131" s="32">
        <v>0</v>
      </c>
      <c r="G131" s="9"/>
      <c r="H131" s="8"/>
    </row>
    <row r="132" spans="1:13" x14ac:dyDescent="0.3">
      <c r="A132" s="1"/>
      <c r="B132" s="62">
        <f>F$131</f>
        <v>0</v>
      </c>
      <c r="C132" s="62">
        <f t="shared" ref="C132:C142" si="29">2000-500*(1/POWER(1+B132,F$139))-8100*(1/POWER(1+B132,G$139))+6800*(1/POWER(1+B132,H$139))</f>
        <v>200</v>
      </c>
      <c r="D132" s="9"/>
      <c r="E132" s="33" t="s">
        <v>109</v>
      </c>
      <c r="F132" s="32">
        <v>0.1</v>
      </c>
      <c r="G132" s="9"/>
      <c r="H132" s="8"/>
    </row>
    <row r="133" spans="1:13" x14ac:dyDescent="0.3">
      <c r="A133" s="1"/>
      <c r="B133" s="62">
        <f t="shared" ref="B133:B157" si="30">B132+F$132</f>
        <v>0.1</v>
      </c>
      <c r="C133" s="62">
        <f t="shared" si="29"/>
        <v>1495.3327550187423</v>
      </c>
      <c r="D133" s="9"/>
      <c r="E133" s="9"/>
      <c r="F133" s="9"/>
      <c r="G133" s="9"/>
      <c r="H133" s="8"/>
    </row>
    <row r="134" spans="1:13" x14ac:dyDescent="0.3">
      <c r="A134" s="1"/>
      <c r="B134" s="62">
        <f t="shared" si="30"/>
        <v>0.2</v>
      </c>
      <c r="C134" s="62">
        <f t="shared" si="29"/>
        <v>1991.6599185615503</v>
      </c>
      <c r="D134" s="9"/>
      <c r="E134" s="26" t="s">
        <v>2</v>
      </c>
      <c r="F134" s="27">
        <f>1/POWER(1+F138,F$139)</f>
        <v>0.1228944852053365</v>
      </c>
      <c r="G134" s="9"/>
      <c r="H134" s="8"/>
    </row>
    <row r="135" spans="1:13" x14ac:dyDescent="0.3">
      <c r="A135" s="1"/>
      <c r="B135" s="62">
        <f t="shared" si="30"/>
        <v>0.30000000000000004</v>
      </c>
      <c r="C135" s="62">
        <f t="shared" si="29"/>
        <v>2189.5351985781572</v>
      </c>
      <c r="D135" s="9"/>
      <c r="E135" s="26" t="s">
        <v>9</v>
      </c>
      <c r="F135" s="27">
        <f>(POWER(1+F138,F$139)-1)/(F138*(POWER(1+F138,F$139)))</f>
        <v>5.8473700986310906</v>
      </c>
      <c r="G135" s="9"/>
      <c r="H135" s="8"/>
    </row>
    <row r="136" spans="1:13" x14ac:dyDescent="0.3">
      <c r="A136" s="1"/>
      <c r="B136" s="62">
        <f t="shared" si="30"/>
        <v>0.4</v>
      </c>
      <c r="C136" s="62">
        <f t="shared" si="29"/>
        <v>2260.8128669384773</v>
      </c>
      <c r="D136" s="9"/>
      <c r="E136" s="26" t="s">
        <v>17</v>
      </c>
      <c r="F136" s="27">
        <f>(POWER(1+F138,F$139)-(F$139*F138)-1)/(POWER(F138,2)*POWER(1+F138,F$139))</f>
        <v>26.693018803673617</v>
      </c>
      <c r="G136" s="9"/>
      <c r="H136" s="8"/>
    </row>
    <row r="137" spans="1:13" x14ac:dyDescent="0.3">
      <c r="A137" s="1"/>
      <c r="B137" s="62">
        <f t="shared" si="30"/>
        <v>0.5</v>
      </c>
      <c r="C137" s="62">
        <f t="shared" si="29"/>
        <v>2275.4013807462825</v>
      </c>
      <c r="D137" s="9"/>
      <c r="E137" s="26" t="s">
        <v>110</v>
      </c>
      <c r="F137" s="27">
        <f>F$141*((1-POWER((1+F$140)/(1+F138),F$139))/(F138-F$140))</f>
        <v>1672.9309369914763</v>
      </c>
      <c r="G137" s="9"/>
      <c r="H137" s="8"/>
    </row>
    <row r="138" spans="1:13" x14ac:dyDescent="0.3">
      <c r="A138" s="1"/>
      <c r="B138" s="62">
        <f t="shared" si="30"/>
        <v>0.6</v>
      </c>
      <c r="C138" s="62">
        <f t="shared" si="29"/>
        <v>2264.6877790919434</v>
      </c>
      <c r="D138" s="9"/>
      <c r="E138" s="33" t="s">
        <v>4</v>
      </c>
      <c r="F138" s="32">
        <v>0.15</v>
      </c>
      <c r="G138" s="9" t="s">
        <v>112</v>
      </c>
      <c r="H138" s="9" t="s">
        <v>113</v>
      </c>
      <c r="I138" s="1"/>
    </row>
    <row r="139" spans="1:13" x14ac:dyDescent="0.3">
      <c r="A139" s="1"/>
      <c r="B139" s="62">
        <f t="shared" si="30"/>
        <v>0.7</v>
      </c>
      <c r="C139" s="62">
        <f t="shared" si="29"/>
        <v>2243.5118349077356</v>
      </c>
      <c r="D139" s="9"/>
      <c r="E139" s="33" t="s">
        <v>5</v>
      </c>
      <c r="F139" s="32">
        <v>15</v>
      </c>
      <c r="G139" s="32">
        <v>5</v>
      </c>
      <c r="H139" s="32">
        <v>4</v>
      </c>
      <c r="I139" s="1"/>
    </row>
    <row r="140" spans="1:13" x14ac:dyDescent="0.3">
      <c r="A140" s="1"/>
      <c r="B140" s="62">
        <f t="shared" si="30"/>
        <v>0.79999999999999993</v>
      </c>
      <c r="C140" s="62">
        <f t="shared" si="29"/>
        <v>2219.0235875634735</v>
      </c>
      <c r="D140" s="9"/>
      <c r="E140" s="33" t="s">
        <v>22</v>
      </c>
      <c r="F140" s="32">
        <v>-0.12</v>
      </c>
      <c r="G140" s="9"/>
      <c r="H140" s="9"/>
      <c r="I140" s="1"/>
    </row>
    <row r="141" spans="1:13" x14ac:dyDescent="0.3">
      <c r="A141" s="1"/>
      <c r="B141" s="62">
        <f t="shared" si="30"/>
        <v>0.89999999999999991</v>
      </c>
      <c r="C141" s="62">
        <f t="shared" si="29"/>
        <v>2194.6281017506544</v>
      </c>
      <c r="D141" s="9"/>
      <c r="E141" s="33" t="s">
        <v>21</v>
      </c>
      <c r="F141" s="32">
        <v>460</v>
      </c>
      <c r="G141" s="9"/>
      <c r="H141" s="8"/>
    </row>
    <row r="142" spans="1:13" x14ac:dyDescent="0.3">
      <c r="A142" s="1"/>
      <c r="B142" s="62">
        <f t="shared" si="30"/>
        <v>0.99999999999999989</v>
      </c>
      <c r="C142" s="62">
        <f t="shared" si="29"/>
        <v>2171.8597412109375</v>
      </c>
      <c r="D142" s="9"/>
      <c r="E142" s="33" t="s">
        <v>111</v>
      </c>
      <c r="F142" s="32">
        <f>-680*((POWER(1+F143,G$139)-1)/(F143*(POWER(1+B132,G$139))))-381*((POWER(1+F143,F$139)-1)/(F143*(POWER(1+B132,F$139))))*(1/POWER(1+F143,G$139))+1002*((POWER(1+F143,H$139)-1)/(F143*(POWER(1+F143,F$139))))*(1/POWER(1+F143,G$139))+1002*((POWER(1+F143,F$139)-1)/(F143*(POWER(1+F143,F$139))))</f>
        <v>-34393.875734602043</v>
      </c>
      <c r="G142" s="9"/>
      <c r="H142" s="8"/>
    </row>
    <row r="143" spans="1:13" x14ac:dyDescent="0.3">
      <c r="A143" s="1"/>
      <c r="B143" s="62">
        <f t="shared" si="30"/>
        <v>1.0999999999999999</v>
      </c>
      <c r="C143" s="62"/>
      <c r="D143" s="9"/>
      <c r="E143" s="68" t="s">
        <v>106</v>
      </c>
      <c r="F143" s="27">
        <v>0.41351810198103112</v>
      </c>
      <c r="G143" s="9"/>
      <c r="H143" s="8"/>
    </row>
    <row r="144" spans="1:13" x14ac:dyDescent="0.3">
      <c r="A144" s="1"/>
      <c r="B144" s="62">
        <f t="shared" si="30"/>
        <v>1.2</v>
      </c>
      <c r="C144" s="62"/>
      <c r="D144" s="9"/>
      <c r="E144" s="9"/>
      <c r="F144" s="9"/>
      <c r="G144" s="9"/>
      <c r="H144" s="9"/>
      <c r="I144" s="9"/>
      <c r="J144" s="9"/>
      <c r="K144" s="9"/>
      <c r="L144" s="9"/>
      <c r="M144" s="9"/>
    </row>
    <row r="145" spans="1:13" x14ac:dyDescent="0.3">
      <c r="A145" s="1"/>
      <c r="B145" s="62">
        <f t="shared" si="30"/>
        <v>1.3</v>
      </c>
      <c r="C145" s="62"/>
      <c r="D145" s="9"/>
      <c r="E145" s="16" t="s">
        <v>114</v>
      </c>
      <c r="F145" s="12"/>
      <c r="G145" s="8"/>
      <c r="H145" s="8"/>
      <c r="M145" s="9"/>
    </row>
    <row r="146" spans="1:13" x14ac:dyDescent="0.3">
      <c r="A146" s="1"/>
      <c r="B146" s="62">
        <f t="shared" si="30"/>
        <v>1.4000000000000001</v>
      </c>
      <c r="C146" s="62"/>
      <c r="D146" s="9"/>
      <c r="E146" s="12" t="s">
        <v>2</v>
      </c>
      <c r="F146" t="s">
        <v>116</v>
      </c>
      <c r="G146" s="8"/>
      <c r="H146" s="8"/>
      <c r="M146" s="9"/>
    </row>
    <row r="147" spans="1:13" x14ac:dyDescent="0.3">
      <c r="A147" s="1"/>
      <c r="B147" s="62">
        <f t="shared" si="30"/>
        <v>1.5000000000000002</v>
      </c>
      <c r="C147" s="62"/>
      <c r="D147" s="9"/>
      <c r="E147" s="12" t="s">
        <v>9</v>
      </c>
      <c r="F147" t="s">
        <v>117</v>
      </c>
      <c r="G147" s="8"/>
      <c r="H147" s="8"/>
      <c r="M147" s="9"/>
    </row>
    <row r="148" spans="1:13" x14ac:dyDescent="0.3">
      <c r="A148" s="1"/>
      <c r="B148" s="62">
        <f t="shared" si="30"/>
        <v>1.6000000000000003</v>
      </c>
      <c r="C148" s="62"/>
      <c r="D148" s="9"/>
      <c r="E148" s="12" t="s">
        <v>17</v>
      </c>
      <c r="F148" t="s">
        <v>118</v>
      </c>
      <c r="G148" s="8"/>
      <c r="H148" s="8"/>
      <c r="M148" s="9"/>
    </row>
    <row r="149" spans="1:13" x14ac:dyDescent="0.3">
      <c r="A149" s="1"/>
      <c r="B149" s="62">
        <f t="shared" si="30"/>
        <v>1.7000000000000004</v>
      </c>
      <c r="C149" s="62"/>
      <c r="D149" s="9"/>
      <c r="E149" s="12" t="s">
        <v>121</v>
      </c>
      <c r="F149" t="s">
        <v>119</v>
      </c>
      <c r="G149" s="8"/>
      <c r="H149" s="8"/>
      <c r="M149" s="9"/>
    </row>
    <row r="150" spans="1:13" x14ac:dyDescent="0.3">
      <c r="A150" s="1"/>
      <c r="B150" s="62">
        <f t="shared" si="30"/>
        <v>1.8000000000000005</v>
      </c>
      <c r="C150" s="62"/>
      <c r="D150" s="9"/>
      <c r="E150" s="12" t="s">
        <v>115</v>
      </c>
      <c r="F150" t="s">
        <v>120</v>
      </c>
      <c r="G150" s="8"/>
      <c r="H150" s="8"/>
      <c r="M150" s="9"/>
    </row>
    <row r="151" spans="1:13" x14ac:dyDescent="0.3">
      <c r="A151" s="1"/>
      <c r="B151" s="62">
        <f t="shared" si="30"/>
        <v>1.9000000000000006</v>
      </c>
      <c r="C151" s="62"/>
      <c r="D151" s="9"/>
      <c r="E151" s="13" t="s">
        <v>122</v>
      </c>
      <c r="F151" s="14" t="s">
        <v>123</v>
      </c>
      <c r="G151" s="15"/>
      <c r="H151" s="15"/>
      <c r="M151" s="9"/>
    </row>
    <row r="152" spans="1:13" x14ac:dyDescent="0.3">
      <c r="A152" s="1"/>
      <c r="B152" s="62">
        <f t="shared" si="30"/>
        <v>2.0000000000000004</v>
      </c>
      <c r="C152" s="62"/>
      <c r="D152" s="9"/>
      <c r="E152" s="8"/>
      <c r="F152" s="14" t="s">
        <v>124</v>
      </c>
      <c r="G152" s="15"/>
      <c r="H152" s="15"/>
      <c r="M152" s="9"/>
    </row>
    <row r="153" spans="1:13" x14ac:dyDescent="0.3">
      <c r="A153" s="1"/>
      <c r="B153" s="62">
        <f t="shared" si="30"/>
        <v>2.1000000000000005</v>
      </c>
      <c r="C153" s="62"/>
      <c r="D153" s="9"/>
      <c r="E153" s="9"/>
      <c r="F153" s="9"/>
      <c r="G153" s="9"/>
      <c r="H153" s="9"/>
      <c r="I153" s="9"/>
      <c r="J153" s="9"/>
      <c r="K153" s="9"/>
      <c r="L153" s="9"/>
      <c r="M153" s="9"/>
    </row>
    <row r="154" spans="1:13" x14ac:dyDescent="0.3">
      <c r="A154" s="1"/>
      <c r="B154" s="62">
        <f t="shared" si="30"/>
        <v>2.2000000000000006</v>
      </c>
      <c r="C154" s="62"/>
      <c r="D154" s="9"/>
      <c r="E154" s="8"/>
      <c r="F154" s="8"/>
      <c r="G154" s="8"/>
      <c r="H154" s="8"/>
    </row>
    <row r="155" spans="1:13" x14ac:dyDescent="0.3">
      <c r="A155" s="1"/>
      <c r="B155" s="62">
        <f t="shared" si="30"/>
        <v>2.3000000000000007</v>
      </c>
      <c r="C155" s="62"/>
      <c r="D155" s="9"/>
      <c r="E155" s="8"/>
      <c r="F155" s="8"/>
      <c r="G155" s="8"/>
      <c r="H155" s="8"/>
    </row>
    <row r="156" spans="1:13" x14ac:dyDescent="0.3">
      <c r="A156" s="1"/>
      <c r="B156" s="62">
        <f t="shared" si="30"/>
        <v>2.4000000000000008</v>
      </c>
      <c r="C156" s="62"/>
      <c r="D156" s="9"/>
      <c r="E156" s="8"/>
      <c r="F156" s="8"/>
      <c r="G156" s="8"/>
      <c r="H156" s="8"/>
    </row>
    <row r="157" spans="1:13" x14ac:dyDescent="0.3">
      <c r="A157" s="1"/>
      <c r="B157" s="62">
        <f t="shared" si="30"/>
        <v>2.5000000000000009</v>
      </c>
      <c r="C157" s="62"/>
      <c r="D157" s="9"/>
      <c r="E157" s="8"/>
      <c r="F157" s="8"/>
      <c r="G157" s="8"/>
      <c r="H157" s="8"/>
    </row>
    <row r="158" spans="1:13" x14ac:dyDescent="0.3">
      <c r="A158" s="1"/>
      <c r="B158" s="1"/>
      <c r="C158" s="1"/>
      <c r="D158" s="1"/>
    </row>
  </sheetData>
  <phoneticPr fontId="3" type="noConversion"/>
  <pageMargins left="0.7" right="0.7" top="0.75" bottom="0.75" header="0.3" footer="0.3"/>
  <pageSetup orientation="portrait" horizontalDpi="90" verticalDpi="9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86687-B7DF-4ADD-B126-2FD11264435E}">
  <dimension ref="A1:K36"/>
  <sheetViews>
    <sheetView workbookViewId="0">
      <selection activeCell="I7" sqref="I7"/>
    </sheetView>
  </sheetViews>
  <sheetFormatPr defaultRowHeight="14.4" x14ac:dyDescent="0.3"/>
  <cols>
    <col min="2" max="2" width="16.88671875" customWidth="1"/>
  </cols>
  <sheetData>
    <row r="1" spans="1:11" x14ac:dyDescent="0.3">
      <c r="A1" s="101" t="s">
        <v>176</v>
      </c>
      <c r="B1" s="101" t="s">
        <v>177</v>
      </c>
      <c r="C1" s="101" t="s">
        <v>178</v>
      </c>
      <c r="D1" s="101" t="s">
        <v>89</v>
      </c>
      <c r="E1" s="101" t="s">
        <v>9</v>
      </c>
      <c r="F1" s="101" t="s">
        <v>179</v>
      </c>
      <c r="G1" s="102" t="s">
        <v>180</v>
      </c>
      <c r="H1" s="103"/>
      <c r="I1" s="103"/>
      <c r="J1" s="103"/>
      <c r="K1" s="103"/>
    </row>
    <row r="2" spans="1:11" x14ac:dyDescent="0.3">
      <c r="A2" s="104">
        <v>1</v>
      </c>
      <c r="B2" s="103">
        <v>11757</v>
      </c>
      <c r="C2" s="103">
        <v>9</v>
      </c>
      <c r="D2" s="103">
        <v>5656</v>
      </c>
      <c r="E2" s="103">
        <f>(POWER($K$2+1,C2)-1)/(POWER($K$2+1,C2)*$K$2)</f>
        <v>6.5152322487978847</v>
      </c>
      <c r="F2" s="103">
        <f>-B2+D2*E2</f>
        <v>25093.153599200836</v>
      </c>
      <c r="G2" s="105">
        <v>1</v>
      </c>
      <c r="H2" s="103"/>
      <c r="I2" s="103"/>
      <c r="J2" s="101" t="s">
        <v>4</v>
      </c>
      <c r="K2" s="104">
        <v>7.0000000000000007E-2</v>
      </c>
    </row>
    <row r="3" spans="1:11" x14ac:dyDescent="0.3">
      <c r="A3" s="104">
        <v>2</v>
      </c>
      <c r="B3" s="103">
        <v>8128</v>
      </c>
      <c r="C3" s="103">
        <v>10</v>
      </c>
      <c r="D3" s="103">
        <v>6006</v>
      </c>
      <c r="E3" s="103">
        <f>(POWER($K$2+1,C3)-1)/(POWER($K$2+1,C3)*$K$2)</f>
        <v>7.0235815409326028</v>
      </c>
      <c r="F3" s="103">
        <f t="shared" ref="F3:F36" si="0">-B3+D3*E3</f>
        <v>34055.630734841216</v>
      </c>
      <c r="G3" s="105">
        <v>1</v>
      </c>
      <c r="H3" s="103"/>
      <c r="I3" s="103"/>
      <c r="J3" s="106"/>
      <c r="K3" s="106"/>
    </row>
    <row r="4" spans="1:11" x14ac:dyDescent="0.3">
      <c r="A4" s="104">
        <v>3</v>
      </c>
      <c r="B4" s="103">
        <v>14879</v>
      </c>
      <c r="C4" s="103">
        <v>11</v>
      </c>
      <c r="D4" s="103">
        <v>5118</v>
      </c>
      <c r="E4" s="103">
        <f t="shared" ref="E4:E36" si="1">(POWER($K$2+1,C4)-1)/(POWER($K$2+1,C4)*$K$2)</f>
        <v>7.498674337320189</v>
      </c>
      <c r="F4" s="103">
        <f t="shared" si="0"/>
        <v>23499.215258404729</v>
      </c>
      <c r="G4" s="105">
        <v>1</v>
      </c>
      <c r="H4" s="103"/>
      <c r="I4" s="103"/>
      <c r="J4" s="101" t="s">
        <v>181</v>
      </c>
      <c r="K4" s="104">
        <v>60921</v>
      </c>
    </row>
    <row r="5" spans="1:11" x14ac:dyDescent="0.3">
      <c r="A5" s="104">
        <v>4</v>
      </c>
      <c r="B5" s="103">
        <v>13755</v>
      </c>
      <c r="C5" s="103">
        <v>9</v>
      </c>
      <c r="D5" s="103">
        <v>3938</v>
      </c>
      <c r="E5" s="103">
        <f t="shared" si="1"/>
        <v>6.5152322487978847</v>
      </c>
      <c r="F5" s="103">
        <f t="shared" si="0"/>
        <v>11901.984595766069</v>
      </c>
      <c r="G5" s="105">
        <v>0</v>
      </c>
      <c r="H5" s="103"/>
      <c r="I5" s="103"/>
      <c r="J5" s="101" t="s">
        <v>182</v>
      </c>
      <c r="K5" s="104">
        <f>SUMPRODUCT(B2:B46,G2:G46)</f>
        <v>53731</v>
      </c>
    </row>
    <row r="6" spans="1:11" x14ac:dyDescent="0.3">
      <c r="A6" s="104">
        <v>5</v>
      </c>
      <c r="B6" s="103">
        <v>13419</v>
      </c>
      <c r="C6" s="103">
        <v>8</v>
      </c>
      <c r="D6" s="103">
        <v>6106</v>
      </c>
      <c r="E6" s="103">
        <f t="shared" si="1"/>
        <v>5.9712985062137367</v>
      </c>
      <c r="F6" s="103">
        <f t="shared" si="0"/>
        <v>23041.748678941076</v>
      </c>
      <c r="G6" s="105">
        <v>0</v>
      </c>
      <c r="H6" s="103"/>
      <c r="I6" s="103"/>
      <c r="J6" s="101" t="s">
        <v>183</v>
      </c>
      <c r="K6" s="104">
        <f>SUMPRODUCT(F2:F46,G2:G46)</f>
        <v>169366.75226877321</v>
      </c>
    </row>
    <row r="7" spans="1:11" x14ac:dyDescent="0.3">
      <c r="A7" s="104">
        <v>6</v>
      </c>
      <c r="B7" s="103">
        <v>5334</v>
      </c>
      <c r="C7" s="103">
        <v>10</v>
      </c>
      <c r="D7" s="103">
        <v>6281</v>
      </c>
      <c r="E7" s="103">
        <f t="shared" si="1"/>
        <v>7.0235815409326028</v>
      </c>
      <c r="F7" s="103">
        <f t="shared" si="0"/>
        <v>38781.115658597679</v>
      </c>
      <c r="G7" s="105">
        <v>1</v>
      </c>
      <c r="H7" s="103"/>
      <c r="I7" s="103"/>
      <c r="J7" s="103"/>
      <c r="K7" s="103"/>
    </row>
    <row r="8" spans="1:11" x14ac:dyDescent="0.3">
      <c r="A8" s="104">
        <v>7</v>
      </c>
      <c r="B8" s="103">
        <v>14702</v>
      </c>
      <c r="C8" s="103">
        <v>8</v>
      </c>
      <c r="D8" s="103">
        <v>3016</v>
      </c>
      <c r="E8" s="103">
        <f t="shared" si="1"/>
        <v>5.9712985062137367</v>
      </c>
      <c r="F8" s="103">
        <f t="shared" si="0"/>
        <v>3307.4362947406298</v>
      </c>
      <c r="G8" s="105">
        <v>0</v>
      </c>
      <c r="H8" s="106"/>
      <c r="I8" s="106"/>
      <c r="J8" s="106"/>
      <c r="K8" s="106"/>
    </row>
    <row r="9" spans="1:11" x14ac:dyDescent="0.3">
      <c r="A9" s="104">
        <v>8</v>
      </c>
      <c r="B9" s="103">
        <v>7413</v>
      </c>
      <c r="C9" s="103">
        <v>8</v>
      </c>
      <c r="D9" s="103">
        <v>6181</v>
      </c>
      <c r="E9" s="103">
        <f t="shared" si="1"/>
        <v>5.9712985062137367</v>
      </c>
      <c r="F9" s="103">
        <f t="shared" si="0"/>
        <v>29495.596066907106</v>
      </c>
      <c r="G9" s="105">
        <v>1</v>
      </c>
      <c r="H9" s="106"/>
      <c r="I9" s="106"/>
      <c r="J9" s="106"/>
      <c r="K9" s="106"/>
    </row>
    <row r="10" spans="1:11" x14ac:dyDescent="0.3">
      <c r="A10" s="104">
        <v>9</v>
      </c>
      <c r="B10" s="103">
        <v>10506</v>
      </c>
      <c r="C10" s="103">
        <v>9</v>
      </c>
      <c r="D10" s="103">
        <v>4334</v>
      </c>
      <c r="E10" s="103">
        <f t="shared" si="1"/>
        <v>6.5152322487978847</v>
      </c>
      <c r="F10" s="103">
        <f t="shared" si="0"/>
        <v>17731.016566290033</v>
      </c>
      <c r="G10" s="105">
        <v>0</v>
      </c>
      <c r="H10" s="103"/>
      <c r="I10" s="103"/>
      <c r="J10" s="103"/>
      <c r="K10" s="103"/>
    </row>
    <row r="11" spans="1:11" x14ac:dyDescent="0.3">
      <c r="A11" s="104">
        <v>10</v>
      </c>
      <c r="B11" s="103">
        <v>6220</v>
      </c>
      <c r="C11" s="103">
        <v>12</v>
      </c>
      <c r="D11" s="103">
        <v>3105</v>
      </c>
      <c r="E11" s="103">
        <f t="shared" si="1"/>
        <v>7.9426862965609244</v>
      </c>
      <c r="F11" s="103">
        <f t="shared" si="0"/>
        <v>18442.040950821669</v>
      </c>
      <c r="G11" s="105">
        <v>1</v>
      </c>
      <c r="H11" s="103"/>
      <c r="I11" s="103"/>
      <c r="J11" s="103"/>
      <c r="K11" s="103"/>
    </row>
    <row r="12" spans="1:11" x14ac:dyDescent="0.3">
      <c r="A12" s="104">
        <v>11</v>
      </c>
      <c r="B12" s="103"/>
      <c r="C12" s="103"/>
      <c r="D12" s="103"/>
      <c r="E12" s="103">
        <f t="shared" si="1"/>
        <v>0</v>
      </c>
      <c r="F12" s="103">
        <f t="shared" si="0"/>
        <v>0</v>
      </c>
      <c r="G12" s="105">
        <v>0</v>
      </c>
      <c r="H12" s="103"/>
      <c r="I12" s="103"/>
      <c r="J12" s="103"/>
      <c r="K12" s="103"/>
    </row>
    <row r="13" spans="1:11" x14ac:dyDescent="0.3">
      <c r="A13" s="104">
        <v>12</v>
      </c>
      <c r="B13" s="103"/>
      <c r="C13" s="103"/>
      <c r="D13" s="103"/>
      <c r="E13" s="103">
        <f t="shared" si="1"/>
        <v>0</v>
      </c>
      <c r="F13" s="103">
        <f t="shared" si="0"/>
        <v>0</v>
      </c>
      <c r="G13" s="105">
        <v>0</v>
      </c>
      <c r="H13" s="103"/>
      <c r="I13" s="103"/>
      <c r="J13" s="103"/>
      <c r="K13" s="103"/>
    </row>
    <row r="14" spans="1:11" x14ac:dyDescent="0.3">
      <c r="A14" s="104">
        <v>13</v>
      </c>
      <c r="B14" s="103"/>
      <c r="C14" s="103"/>
      <c r="D14" s="103"/>
      <c r="E14" s="103">
        <f t="shared" si="1"/>
        <v>0</v>
      </c>
      <c r="F14" s="103">
        <f t="shared" si="0"/>
        <v>0</v>
      </c>
      <c r="G14" s="105">
        <v>0</v>
      </c>
      <c r="H14" s="103"/>
      <c r="I14" s="103"/>
      <c r="J14" s="103"/>
      <c r="K14" s="103"/>
    </row>
    <row r="15" spans="1:11" x14ac:dyDescent="0.3">
      <c r="A15" s="104">
        <v>14</v>
      </c>
      <c r="B15" s="103"/>
      <c r="C15" s="103"/>
      <c r="D15" s="103"/>
      <c r="E15" s="103">
        <f t="shared" si="1"/>
        <v>0</v>
      </c>
      <c r="F15" s="103">
        <f t="shared" si="0"/>
        <v>0</v>
      </c>
      <c r="G15" s="105">
        <v>0</v>
      </c>
      <c r="H15" s="103"/>
      <c r="I15" s="103"/>
      <c r="J15" s="103"/>
      <c r="K15" s="103"/>
    </row>
    <row r="16" spans="1:11" x14ac:dyDescent="0.3">
      <c r="A16" s="104">
        <v>15</v>
      </c>
      <c r="B16" s="103"/>
      <c r="C16" s="103"/>
      <c r="D16" s="103"/>
      <c r="E16" s="103">
        <f t="shared" si="1"/>
        <v>0</v>
      </c>
      <c r="F16" s="103">
        <f t="shared" si="0"/>
        <v>0</v>
      </c>
      <c r="G16" s="105">
        <v>0</v>
      </c>
      <c r="H16" s="103"/>
      <c r="I16" s="103"/>
      <c r="J16" s="103"/>
      <c r="K16" s="103"/>
    </row>
    <row r="17" spans="1:11" x14ac:dyDescent="0.3">
      <c r="A17" s="104">
        <v>16</v>
      </c>
      <c r="B17" s="103"/>
      <c r="C17" s="103"/>
      <c r="D17" s="103"/>
      <c r="E17" s="103">
        <f t="shared" si="1"/>
        <v>0</v>
      </c>
      <c r="F17" s="103">
        <f t="shared" si="0"/>
        <v>0</v>
      </c>
      <c r="G17" s="105">
        <v>0</v>
      </c>
      <c r="H17" s="103"/>
      <c r="I17" s="103"/>
      <c r="J17" s="103"/>
      <c r="K17" s="103"/>
    </row>
    <row r="18" spans="1:11" x14ac:dyDescent="0.3">
      <c r="A18" s="104">
        <v>17</v>
      </c>
      <c r="B18" s="103"/>
      <c r="C18" s="103"/>
      <c r="D18" s="103"/>
      <c r="E18" s="103">
        <f t="shared" si="1"/>
        <v>0</v>
      </c>
      <c r="F18" s="103">
        <f t="shared" si="0"/>
        <v>0</v>
      </c>
      <c r="G18" s="105">
        <v>0</v>
      </c>
      <c r="H18" s="103"/>
      <c r="I18" s="103"/>
      <c r="J18" s="103"/>
      <c r="K18" s="103"/>
    </row>
    <row r="19" spans="1:11" x14ac:dyDescent="0.3">
      <c r="A19" s="104">
        <v>18</v>
      </c>
      <c r="B19" s="103"/>
      <c r="C19" s="103"/>
      <c r="D19" s="103"/>
      <c r="E19" s="103">
        <f t="shared" si="1"/>
        <v>0</v>
      </c>
      <c r="F19" s="103">
        <f t="shared" si="0"/>
        <v>0</v>
      </c>
      <c r="G19" s="105">
        <v>0</v>
      </c>
      <c r="H19" s="103"/>
      <c r="I19" s="103"/>
      <c r="J19" s="103"/>
      <c r="K19" s="103"/>
    </row>
    <row r="20" spans="1:11" x14ac:dyDescent="0.3">
      <c r="A20" s="104">
        <v>19</v>
      </c>
      <c r="B20" s="103"/>
      <c r="C20" s="103"/>
      <c r="D20" s="103"/>
      <c r="E20" s="103">
        <f t="shared" si="1"/>
        <v>0</v>
      </c>
      <c r="F20" s="103">
        <f t="shared" si="0"/>
        <v>0</v>
      </c>
      <c r="G20" s="105">
        <v>0</v>
      </c>
      <c r="H20" s="103"/>
      <c r="I20" s="103"/>
      <c r="J20" s="103"/>
      <c r="K20" s="103"/>
    </row>
    <row r="21" spans="1:11" x14ac:dyDescent="0.3">
      <c r="A21" s="104">
        <v>20</v>
      </c>
      <c r="B21" s="103"/>
      <c r="C21" s="103"/>
      <c r="D21" s="103"/>
      <c r="E21" s="103">
        <f t="shared" si="1"/>
        <v>0</v>
      </c>
      <c r="F21" s="103">
        <f t="shared" si="0"/>
        <v>0</v>
      </c>
      <c r="G21" s="105">
        <v>0</v>
      </c>
      <c r="H21" s="103"/>
      <c r="I21" s="103"/>
      <c r="J21" s="103"/>
      <c r="K21" s="103"/>
    </row>
    <row r="22" spans="1:11" x14ac:dyDescent="0.3">
      <c r="A22" s="104">
        <v>21</v>
      </c>
      <c r="B22" s="107"/>
      <c r="C22" s="107"/>
      <c r="D22" s="107"/>
      <c r="E22" s="103">
        <f t="shared" si="1"/>
        <v>0</v>
      </c>
      <c r="F22" s="103">
        <f t="shared" si="0"/>
        <v>0</v>
      </c>
      <c r="G22" s="105">
        <v>0</v>
      </c>
      <c r="H22" s="103"/>
      <c r="I22" s="103"/>
      <c r="J22" s="103"/>
      <c r="K22" s="103"/>
    </row>
    <row r="23" spans="1:11" x14ac:dyDescent="0.3">
      <c r="A23" s="104">
        <v>22</v>
      </c>
      <c r="B23" s="107"/>
      <c r="C23" s="107"/>
      <c r="D23" s="107"/>
      <c r="E23" s="103">
        <f t="shared" si="1"/>
        <v>0</v>
      </c>
      <c r="F23" s="103">
        <f t="shared" si="0"/>
        <v>0</v>
      </c>
      <c r="G23" s="105">
        <v>0</v>
      </c>
      <c r="H23" s="103"/>
      <c r="I23" s="103"/>
      <c r="J23" s="103"/>
      <c r="K23" s="103"/>
    </row>
    <row r="24" spans="1:11" x14ac:dyDescent="0.3">
      <c r="A24" s="104">
        <v>23</v>
      </c>
      <c r="B24" s="107"/>
      <c r="C24" s="107"/>
      <c r="D24" s="107"/>
      <c r="E24" s="103">
        <f t="shared" si="1"/>
        <v>0</v>
      </c>
      <c r="F24" s="103">
        <f t="shared" si="0"/>
        <v>0</v>
      </c>
      <c r="G24" s="105">
        <v>0</v>
      </c>
      <c r="H24" s="103"/>
      <c r="I24" s="103"/>
      <c r="J24" s="103"/>
      <c r="K24" s="103"/>
    </row>
    <row r="25" spans="1:11" x14ac:dyDescent="0.3">
      <c r="A25" s="104">
        <v>24</v>
      </c>
      <c r="B25" s="107"/>
      <c r="C25" s="107"/>
      <c r="D25" s="107"/>
      <c r="E25" s="103">
        <f t="shared" si="1"/>
        <v>0</v>
      </c>
      <c r="F25" s="103">
        <f t="shared" si="0"/>
        <v>0</v>
      </c>
      <c r="G25" s="105">
        <v>0</v>
      </c>
      <c r="H25" s="103"/>
      <c r="I25" s="103"/>
      <c r="J25" s="103"/>
      <c r="K25" s="103"/>
    </row>
    <row r="26" spans="1:11" x14ac:dyDescent="0.3">
      <c r="A26" s="104">
        <v>25</v>
      </c>
      <c r="B26" s="107"/>
      <c r="C26" s="107"/>
      <c r="D26" s="107"/>
      <c r="E26" s="103">
        <f t="shared" si="1"/>
        <v>0</v>
      </c>
      <c r="F26" s="103">
        <f t="shared" si="0"/>
        <v>0</v>
      </c>
      <c r="G26" s="105">
        <v>0</v>
      </c>
      <c r="H26" s="103"/>
      <c r="I26" s="103"/>
      <c r="J26" s="103"/>
      <c r="K26" s="103"/>
    </row>
    <row r="27" spans="1:11" x14ac:dyDescent="0.3">
      <c r="A27" s="104">
        <v>26</v>
      </c>
      <c r="B27" s="107"/>
      <c r="C27" s="107"/>
      <c r="D27" s="107"/>
      <c r="E27" s="103">
        <f t="shared" si="1"/>
        <v>0</v>
      </c>
      <c r="F27" s="103">
        <f t="shared" si="0"/>
        <v>0</v>
      </c>
      <c r="G27" s="105">
        <v>0</v>
      </c>
      <c r="H27" s="103"/>
      <c r="I27" s="103"/>
      <c r="J27" s="103"/>
      <c r="K27" s="103"/>
    </row>
    <row r="28" spans="1:11" x14ac:dyDescent="0.3">
      <c r="A28" s="104">
        <v>27</v>
      </c>
      <c r="B28" s="107"/>
      <c r="C28" s="107"/>
      <c r="D28" s="107"/>
      <c r="E28" s="103">
        <f t="shared" si="1"/>
        <v>0</v>
      </c>
      <c r="F28" s="103">
        <f t="shared" si="0"/>
        <v>0</v>
      </c>
      <c r="G28" s="105">
        <v>0</v>
      </c>
      <c r="H28" s="103"/>
      <c r="I28" s="103"/>
      <c r="J28" s="103"/>
      <c r="K28" s="103"/>
    </row>
    <row r="29" spans="1:11" x14ac:dyDescent="0.3">
      <c r="A29" s="104">
        <v>28</v>
      </c>
      <c r="B29" s="107"/>
      <c r="C29" s="107"/>
      <c r="D29" s="107"/>
      <c r="E29" s="103">
        <f t="shared" si="1"/>
        <v>0</v>
      </c>
      <c r="F29" s="103">
        <f t="shared" si="0"/>
        <v>0</v>
      </c>
      <c r="G29" s="105">
        <v>0</v>
      </c>
      <c r="H29" s="103"/>
      <c r="I29" s="103"/>
      <c r="J29" s="103"/>
      <c r="K29" s="103"/>
    </row>
    <row r="30" spans="1:11" x14ac:dyDescent="0.3">
      <c r="A30" s="104">
        <v>29</v>
      </c>
      <c r="B30" s="107"/>
      <c r="C30" s="107"/>
      <c r="D30" s="107"/>
      <c r="E30" s="103">
        <f t="shared" si="1"/>
        <v>0</v>
      </c>
      <c r="F30" s="103">
        <f t="shared" si="0"/>
        <v>0</v>
      </c>
      <c r="G30" s="105">
        <v>0</v>
      </c>
      <c r="H30" s="103"/>
      <c r="I30" s="103"/>
      <c r="J30" s="103"/>
      <c r="K30" s="103"/>
    </row>
    <row r="31" spans="1:11" x14ac:dyDescent="0.3">
      <c r="A31" s="104">
        <v>30</v>
      </c>
      <c r="B31" s="107"/>
      <c r="C31" s="107"/>
      <c r="D31" s="107"/>
      <c r="E31" s="103">
        <f t="shared" si="1"/>
        <v>0</v>
      </c>
      <c r="F31" s="103">
        <f t="shared" si="0"/>
        <v>0</v>
      </c>
      <c r="G31" s="105">
        <v>0</v>
      </c>
      <c r="H31" s="103"/>
      <c r="I31" s="103"/>
      <c r="J31" s="103"/>
      <c r="K31" s="103"/>
    </row>
    <row r="32" spans="1:11" x14ac:dyDescent="0.3">
      <c r="A32" s="104">
        <v>31</v>
      </c>
      <c r="B32" s="107"/>
      <c r="C32" s="107"/>
      <c r="D32" s="107"/>
      <c r="E32" s="103">
        <f t="shared" si="1"/>
        <v>0</v>
      </c>
      <c r="F32" s="103">
        <f t="shared" si="0"/>
        <v>0</v>
      </c>
      <c r="G32" s="105">
        <v>0</v>
      </c>
      <c r="H32" s="103"/>
      <c r="I32" s="103"/>
      <c r="J32" s="103"/>
      <c r="K32" s="103"/>
    </row>
    <row r="33" spans="1:11" x14ac:dyDescent="0.3">
      <c r="A33" s="104">
        <v>32</v>
      </c>
      <c r="B33" s="107"/>
      <c r="C33" s="107"/>
      <c r="D33" s="107"/>
      <c r="E33" s="103">
        <f t="shared" si="1"/>
        <v>0</v>
      </c>
      <c r="F33" s="103">
        <f t="shared" si="0"/>
        <v>0</v>
      </c>
      <c r="G33" s="105">
        <v>0</v>
      </c>
      <c r="H33" s="103"/>
      <c r="I33" s="103"/>
      <c r="J33" s="103"/>
      <c r="K33" s="103"/>
    </row>
    <row r="34" spans="1:11" x14ac:dyDescent="0.3">
      <c r="A34" s="104">
        <v>33</v>
      </c>
      <c r="B34" s="107"/>
      <c r="C34" s="107"/>
      <c r="D34" s="107"/>
      <c r="E34" s="103">
        <f t="shared" si="1"/>
        <v>0</v>
      </c>
      <c r="F34" s="103">
        <f t="shared" si="0"/>
        <v>0</v>
      </c>
      <c r="G34" s="105">
        <v>0</v>
      </c>
      <c r="H34" s="103"/>
      <c r="I34" s="103"/>
      <c r="J34" s="103"/>
      <c r="K34" s="103"/>
    </row>
    <row r="35" spans="1:11" x14ac:dyDescent="0.3">
      <c r="A35" s="104">
        <v>34</v>
      </c>
      <c r="B35" s="107"/>
      <c r="C35" s="107"/>
      <c r="D35" s="107"/>
      <c r="E35" s="103">
        <f t="shared" si="1"/>
        <v>0</v>
      </c>
      <c r="F35" s="103">
        <f t="shared" si="0"/>
        <v>0</v>
      </c>
      <c r="G35" s="105">
        <v>0</v>
      </c>
      <c r="H35" s="103"/>
      <c r="I35" s="103"/>
      <c r="J35" s="103"/>
      <c r="K35" s="103"/>
    </row>
    <row r="36" spans="1:11" x14ac:dyDescent="0.3">
      <c r="A36" s="104">
        <v>35</v>
      </c>
      <c r="B36" s="107"/>
      <c r="C36" s="107"/>
      <c r="D36" s="107"/>
      <c r="E36" s="103">
        <f t="shared" si="1"/>
        <v>0</v>
      </c>
      <c r="F36" s="103">
        <f t="shared" si="0"/>
        <v>0</v>
      </c>
      <c r="G36" s="105">
        <v>0</v>
      </c>
      <c r="H36" s="103"/>
      <c r="I36" s="103"/>
      <c r="J36" s="103"/>
      <c r="K36" s="10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Ghassan</dc:creator>
  <cp:lastModifiedBy>Nadim Dib</cp:lastModifiedBy>
  <cp:lastPrinted>2022-11-06T22:03:50Z</cp:lastPrinted>
  <dcterms:created xsi:type="dcterms:W3CDTF">2022-10-05T17:38:12Z</dcterms:created>
  <dcterms:modified xsi:type="dcterms:W3CDTF">2023-04-21T16:02:02Z</dcterms:modified>
</cp:coreProperties>
</file>