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Actual up to date MRR from QuickBooks</t>
      </text>
    </comment>
    <comment authorId="0" ref="K5">
      <text>
        <t xml:space="preserve">D.R. Bogart - 3 stores @ $75/ea,  $225 MRR</t>
      </text>
    </comment>
    <comment authorId="0" ref="B6">
      <text>
        <t xml:space="preserve">Solid Wood Cabinets 12 locations @$59/month, $708 MRR, business closed</t>
      </text>
    </comment>
    <comment authorId="0" ref="C6">
      <text>
        <t xml:space="preserve">Ajoya - not renewing contract, expires Feb. 3 $150 MRR
Elite Inspections, not renewing contract, expires Feb 26, $300 MRR
IM Wireless, not renewing contract, $3366 MRR</t>
      </text>
    </comment>
    <comment authorId="0" ref="F6">
      <text>
        <t xml:space="preserve">Grassroots churned</t>
      </text>
    </comment>
    <comment authorId="0" ref="H6">
      <text>
        <t xml:space="preserve">BLJ Wireless</t>
      </text>
    </comment>
    <comment authorId="0" ref="K6">
      <text>
        <t xml:space="preserve">HERB churned Oct.
Bedford Cellular on hold</t>
      </text>
    </comment>
    <comment authorId="0" ref="E8">
      <text>
        <t xml:space="preserve">Dank's, Norman Location $399 MRR
and CBD of Fairfield $399 MRR</t>
      </text>
    </comment>
    <comment authorId="0" ref="F13">
      <text>
        <t xml:space="preserve">Musser Wireless - 1 location closed $49 MRR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143 Management 1 new store onboarded $70 MRR</t>
      </text>
    </comment>
  </commentList>
</comments>
</file>

<file path=xl/sharedStrings.xml><?xml version="1.0" encoding="utf-8"?>
<sst xmlns="http://schemas.openxmlformats.org/spreadsheetml/2006/main" count="49" uniqueCount="25">
  <si>
    <t>Date</t>
  </si>
  <si>
    <t>MRR</t>
  </si>
  <si>
    <t>ARR</t>
  </si>
  <si>
    <t>ARR Churn</t>
  </si>
  <si>
    <t># of new Clients</t>
  </si>
  <si>
    <t># of churned Clients</t>
  </si>
  <si>
    <t>Net New Clients</t>
  </si>
  <si>
    <t># of Customers with Contraction</t>
  </si>
  <si>
    <t>Total number of active Clients</t>
  </si>
  <si>
    <t>NEW TOTAL MRR</t>
  </si>
  <si>
    <t>New biz MRR</t>
  </si>
  <si>
    <t>Expansion MRR (Accrued)</t>
  </si>
  <si>
    <t>Client Contraction MRR</t>
  </si>
  <si>
    <t>MRR Churn</t>
  </si>
  <si>
    <t>% Client Churn</t>
  </si>
  <si>
    <t>% MRR Churn</t>
  </si>
  <si>
    <t>% MRR (Churn and Contraction)</t>
  </si>
  <si>
    <t>% MRR Expansion</t>
  </si>
  <si>
    <t>% Net MRR Churn</t>
  </si>
  <si>
    <t>ARPA</t>
  </si>
  <si>
    <t>Setup (one-time fee)</t>
  </si>
  <si>
    <t>Prorated Expansion</t>
  </si>
  <si>
    <t>ORM Revenue (Cash)</t>
  </si>
  <si>
    <t>New Client Revenue</t>
  </si>
  <si>
    <t>Commissions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</si>
</sst>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&quot;/&quot;yyyy"/>
    <numFmt numFmtId="165" formatCode="[$$]#,##0.00"/>
    <numFmt numFmtId="166" formatCode="[$$]#,##0"/>
    <numFmt numFmtId="167" formatCode="&quot;$&quot;#,##0.00"/>
    <numFmt numFmtId="168" formatCode="&quot;$&quot;#,##0.0000"/>
  </numFmts>
  <fonts count="7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rgb="FF555555"/>
      <name val="Roboto"/>
    </font>
    <font>
      <b/>
      <sz val="12.0"/>
      <color rgb="FF6666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2" fontId="2" numFmtId="0" xfId="0" applyAlignment="1" applyBorder="1" applyFill="1" applyFont="1">
      <alignment shrinkToFit="0" vertical="bottom" wrapText="1"/>
    </xf>
    <xf borderId="1" fillId="0" fontId="3" numFmtId="165" xfId="0" applyAlignment="1" applyBorder="1" applyFont="1" applyNumberFormat="1">
      <alignment horizontal="right" vertical="bottom"/>
    </xf>
    <xf borderId="1" fillId="3" fontId="3" numFmtId="165" xfId="0" applyAlignment="1" applyBorder="1" applyFill="1" applyFont="1" applyNumberFormat="1">
      <alignment horizontal="right" vertical="bottom"/>
    </xf>
    <xf borderId="1" fillId="0" fontId="3" numFmtId="166" xfId="0" applyAlignment="1" applyBorder="1" applyFont="1" applyNumberFormat="1">
      <alignment horizontal="right" vertical="bottom"/>
    </xf>
    <xf borderId="1" fillId="3" fontId="3" numFmtId="166" xfId="0" applyAlignment="1" applyBorder="1" applyFont="1" applyNumberFormat="1">
      <alignment horizontal="right" vertical="bottom"/>
    </xf>
    <xf borderId="1" fillId="0" fontId="4" numFmtId="165" xfId="0" applyAlignment="1" applyBorder="1" applyFont="1" applyNumberFormat="1">
      <alignment vertical="bottom"/>
    </xf>
    <xf borderId="1" fillId="3" fontId="4" numFmtId="165" xfId="0" applyAlignment="1" applyBorder="1" applyFont="1" applyNumberFormat="1">
      <alignment vertical="bottom"/>
    </xf>
    <xf borderId="1" fillId="2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vertical="bottom"/>
    </xf>
    <xf borderId="1" fillId="2" fontId="1" numFmtId="166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166" xfId="0" applyAlignment="1" applyBorder="1" applyFont="1" applyNumberFormat="1">
      <alignment horizontal="right" vertical="bottom"/>
    </xf>
    <xf borderId="1" fillId="3" fontId="1" numFmtId="166" xfId="0" applyAlignment="1" applyBorder="1" applyFont="1" applyNumberFormat="1">
      <alignment horizontal="right" vertical="bottom"/>
    </xf>
    <xf borderId="1" fillId="0" fontId="4" numFmtId="166" xfId="0" applyAlignment="1" applyBorder="1" applyFont="1" applyNumberFormat="1">
      <alignment vertical="bottom"/>
    </xf>
    <xf borderId="1" fillId="3" fontId="4" numFmtId="166" xfId="0" applyAlignment="1" applyBorder="1" applyFont="1" applyNumberFormat="1">
      <alignment vertical="bottom"/>
    </xf>
    <xf borderId="1" fillId="0" fontId="3" numFmtId="10" xfId="0" applyAlignment="1" applyBorder="1" applyFont="1" applyNumberFormat="1">
      <alignment horizontal="right" vertical="bottom"/>
    </xf>
    <xf borderId="1" fillId="3" fontId="3" numFmtId="10" xfId="0" applyAlignment="1" applyBorder="1" applyFont="1" applyNumberFormat="1">
      <alignment horizontal="right" vertical="bottom"/>
    </xf>
    <xf borderId="1" fillId="0" fontId="3" numFmtId="167" xfId="0" applyAlignment="1" applyBorder="1" applyFont="1" applyNumberFormat="1">
      <alignment horizontal="right" vertical="bottom"/>
    </xf>
    <xf borderId="1" fillId="3" fontId="3" numFmtId="167" xfId="0" applyAlignment="1" applyBorder="1" applyFont="1" applyNumberFormat="1">
      <alignment horizontal="right" vertical="bottom"/>
    </xf>
    <xf borderId="1" fillId="0" fontId="4" numFmtId="167" xfId="0" applyAlignment="1" applyBorder="1" applyFont="1" applyNumberFormat="1">
      <alignment vertical="bottom"/>
    </xf>
    <xf borderId="1" fillId="0" fontId="4" numFmtId="165" xfId="0" applyAlignment="1" applyBorder="1" applyFont="1" applyNumberFormat="1">
      <alignment vertical="bottom"/>
    </xf>
    <xf borderId="1" fillId="2" fontId="6" numFmtId="0" xfId="0" applyAlignment="1" applyBorder="1" applyFont="1">
      <alignment vertical="bottom"/>
    </xf>
    <xf borderId="1" fillId="0" fontId="4" numFmtId="168" xfId="0" applyAlignment="1" applyBorder="1" applyFont="1" applyNumberFormat="1">
      <alignment vertical="bottom"/>
    </xf>
    <xf borderId="1" fillId="0" fontId="3" numFmtId="167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3" fontId="3" numFmtId="3" xfId="0" applyAlignment="1" applyBorder="1" applyFont="1" applyNumberFormat="1">
      <alignment horizontal="right" vertical="bottom"/>
    </xf>
    <xf borderId="1" fillId="4" fontId="5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43831.0</v>
      </c>
      <c r="C1" s="2">
        <v>43862.0</v>
      </c>
      <c r="D1" s="2">
        <v>43891.0</v>
      </c>
      <c r="E1" s="2">
        <v>43922.0</v>
      </c>
      <c r="F1" s="2">
        <v>43952.0</v>
      </c>
      <c r="G1" s="2">
        <v>43983.0</v>
      </c>
      <c r="H1" s="2">
        <v>44013.0</v>
      </c>
      <c r="I1" s="2">
        <v>44044.0</v>
      </c>
      <c r="J1" s="2">
        <v>44075.0</v>
      </c>
      <c r="K1" s="2">
        <v>44105.0</v>
      </c>
      <c r="L1" s="2">
        <v>44136.0</v>
      </c>
      <c r="M1" s="2">
        <v>44166.0</v>
      </c>
    </row>
    <row r="2">
      <c r="A2" s="3" t="s">
        <v>1</v>
      </c>
      <c r="B2" s="4">
        <f>12282+B11+B12-B13-B14</f>
        <v>12123</v>
      </c>
      <c r="C2" s="4">
        <f t="shared" ref="C2:L2" si="1">B2+C11+C12-C13-C14</f>
        <v>9105</v>
      </c>
      <c r="D2" s="5">
        <f t="shared" si="1"/>
        <v>8851</v>
      </c>
      <c r="E2" s="4">
        <f t="shared" si="1"/>
        <v>7273.13</v>
      </c>
      <c r="F2" s="4">
        <f t="shared" si="1"/>
        <v>6571.13</v>
      </c>
      <c r="G2" s="4">
        <f t="shared" si="1"/>
        <v>8391.13</v>
      </c>
      <c r="H2" s="4">
        <f t="shared" si="1"/>
        <v>7716.13</v>
      </c>
      <c r="I2" s="4">
        <f t="shared" si="1"/>
        <v>7786.13</v>
      </c>
      <c r="J2" s="4">
        <f t="shared" si="1"/>
        <v>7786.13</v>
      </c>
      <c r="K2" s="4">
        <f t="shared" si="1"/>
        <v>7704.13</v>
      </c>
      <c r="L2" s="4">
        <f t="shared" si="1"/>
        <v>7774.13</v>
      </c>
      <c r="M2" s="4">
        <f>6644</f>
        <v>6644</v>
      </c>
    </row>
    <row r="3">
      <c r="A3" s="3" t="s">
        <v>2</v>
      </c>
      <c r="B3" s="6">
        <f t="shared" ref="B3:M3" si="2">B2*12</f>
        <v>145476</v>
      </c>
      <c r="C3" s="6">
        <f t="shared" si="2"/>
        <v>109260</v>
      </c>
      <c r="D3" s="7">
        <f t="shared" si="2"/>
        <v>106212</v>
      </c>
      <c r="E3" s="6">
        <f t="shared" si="2"/>
        <v>87277.56</v>
      </c>
      <c r="F3" s="6">
        <f t="shared" si="2"/>
        <v>78853.56</v>
      </c>
      <c r="G3" s="6">
        <f t="shared" si="2"/>
        <v>100693.56</v>
      </c>
      <c r="H3" s="6">
        <f t="shared" si="2"/>
        <v>92593.56</v>
      </c>
      <c r="I3" s="6">
        <f t="shared" si="2"/>
        <v>93433.56</v>
      </c>
      <c r="J3" s="6">
        <f t="shared" si="2"/>
        <v>93433.56</v>
      </c>
      <c r="K3" s="6">
        <f t="shared" si="2"/>
        <v>92449.56</v>
      </c>
      <c r="L3" s="6">
        <f t="shared" si="2"/>
        <v>93289.56</v>
      </c>
      <c r="M3" s="6">
        <f t="shared" si="2"/>
        <v>79728</v>
      </c>
    </row>
    <row r="4">
      <c r="A4" s="3" t="s">
        <v>3</v>
      </c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</row>
    <row r="5">
      <c r="A5" s="10" t="s">
        <v>4</v>
      </c>
      <c r="B5" s="11"/>
      <c r="C5" s="11"/>
      <c r="D5" s="12"/>
      <c r="E5" s="11"/>
      <c r="F5" s="11"/>
      <c r="G5" s="11"/>
      <c r="H5" s="11"/>
      <c r="I5" s="11"/>
      <c r="J5" s="11"/>
      <c r="K5" s="13">
        <v>1.0</v>
      </c>
      <c r="L5" s="11"/>
      <c r="M5" s="11"/>
    </row>
    <row r="6">
      <c r="A6" s="10" t="s">
        <v>5</v>
      </c>
      <c r="B6" s="13">
        <v>1.0</v>
      </c>
      <c r="C6" s="13">
        <v>3.0</v>
      </c>
      <c r="D6" s="14">
        <v>1.0</v>
      </c>
      <c r="E6" s="11"/>
      <c r="F6" s="13">
        <v>1.0</v>
      </c>
      <c r="G6" s="11"/>
      <c r="H6" s="13">
        <v>1.0</v>
      </c>
      <c r="I6" s="11"/>
      <c r="J6" s="11"/>
      <c r="K6" s="13">
        <v>2.0</v>
      </c>
      <c r="L6" s="11"/>
      <c r="M6" s="11"/>
    </row>
    <row r="7">
      <c r="A7" s="10" t="s">
        <v>6</v>
      </c>
      <c r="B7" s="14">
        <f t="shared" ref="B7:I7" si="3">B5-B6</f>
        <v>-1</v>
      </c>
      <c r="C7" s="14">
        <f t="shared" si="3"/>
        <v>-3</v>
      </c>
      <c r="D7" s="14">
        <f t="shared" si="3"/>
        <v>-1</v>
      </c>
      <c r="E7" s="15">
        <f t="shared" si="3"/>
        <v>0</v>
      </c>
      <c r="F7" s="15">
        <f t="shared" si="3"/>
        <v>-1</v>
      </c>
      <c r="G7" s="15">
        <f t="shared" si="3"/>
        <v>0</v>
      </c>
      <c r="H7" s="15">
        <f t="shared" si="3"/>
        <v>-1</v>
      </c>
      <c r="I7" s="15">
        <f t="shared" si="3"/>
        <v>0</v>
      </c>
      <c r="J7" s="15">
        <v>2.0</v>
      </c>
      <c r="K7" s="15">
        <f t="shared" ref="K7:M7" si="4">K5-K6</f>
        <v>-1</v>
      </c>
      <c r="L7" s="15">
        <f t="shared" si="4"/>
        <v>0</v>
      </c>
      <c r="M7" s="15">
        <f t="shared" si="4"/>
        <v>0</v>
      </c>
    </row>
    <row r="8">
      <c r="A8" s="16" t="s">
        <v>7</v>
      </c>
      <c r="B8" s="11"/>
      <c r="C8" s="11"/>
      <c r="D8" s="12"/>
      <c r="E8" s="13">
        <v>1.0</v>
      </c>
      <c r="F8" s="11"/>
      <c r="G8" s="11"/>
      <c r="H8" s="11"/>
      <c r="I8" s="11"/>
      <c r="J8" s="11"/>
      <c r="K8" s="11"/>
      <c r="L8" s="11"/>
      <c r="M8" s="11"/>
    </row>
    <row r="9">
      <c r="A9" s="16" t="s">
        <v>8</v>
      </c>
      <c r="B9" s="13">
        <f>22+B5-B6</f>
        <v>21</v>
      </c>
      <c r="C9" s="13">
        <f t="shared" ref="C9:M9" si="5">B9+C5-C6</f>
        <v>18</v>
      </c>
      <c r="D9" s="14">
        <f t="shared" si="5"/>
        <v>17</v>
      </c>
      <c r="E9" s="13">
        <f t="shared" si="5"/>
        <v>17</v>
      </c>
      <c r="F9" s="13">
        <f t="shared" si="5"/>
        <v>16</v>
      </c>
      <c r="G9" s="13">
        <f t="shared" si="5"/>
        <v>16</v>
      </c>
      <c r="H9" s="13">
        <f t="shared" si="5"/>
        <v>15</v>
      </c>
      <c r="I9" s="13">
        <f t="shared" si="5"/>
        <v>15</v>
      </c>
      <c r="J9" s="13">
        <f t="shared" si="5"/>
        <v>15</v>
      </c>
      <c r="K9" s="13">
        <f t="shared" si="5"/>
        <v>14</v>
      </c>
      <c r="L9" s="13">
        <f t="shared" si="5"/>
        <v>14</v>
      </c>
      <c r="M9" s="13">
        <f t="shared" si="5"/>
        <v>14</v>
      </c>
    </row>
    <row r="10">
      <c r="A10" s="17" t="s">
        <v>9</v>
      </c>
      <c r="B10" s="18">
        <f t="shared" ref="B10:M10" si="6">B11+B12</f>
        <v>549</v>
      </c>
      <c r="C10" s="19">
        <f t="shared" si="6"/>
        <v>798</v>
      </c>
      <c r="D10" s="20">
        <f t="shared" si="6"/>
        <v>245</v>
      </c>
      <c r="E10" s="19">
        <f t="shared" si="6"/>
        <v>0</v>
      </c>
      <c r="F10" s="19">
        <f t="shared" si="6"/>
        <v>0</v>
      </c>
      <c r="G10" s="19">
        <f t="shared" si="6"/>
        <v>1820</v>
      </c>
      <c r="H10" s="19">
        <f t="shared" si="6"/>
        <v>0</v>
      </c>
      <c r="I10" s="19">
        <f t="shared" si="6"/>
        <v>70</v>
      </c>
      <c r="J10" s="19">
        <f t="shared" si="6"/>
        <v>0</v>
      </c>
      <c r="K10" s="19">
        <f t="shared" si="6"/>
        <v>365</v>
      </c>
      <c r="L10" s="19">
        <f t="shared" si="6"/>
        <v>70</v>
      </c>
      <c r="M10" s="19">
        <f t="shared" si="6"/>
        <v>0</v>
      </c>
    </row>
    <row r="11">
      <c r="A11" s="16" t="s">
        <v>10</v>
      </c>
      <c r="B11" s="21"/>
      <c r="C11" s="21"/>
      <c r="D11" s="22"/>
      <c r="E11" s="21"/>
      <c r="F11" s="21"/>
      <c r="G11" s="6">
        <v>1820.0</v>
      </c>
      <c r="H11" s="21"/>
      <c r="I11" s="21"/>
      <c r="J11" s="21"/>
      <c r="K11" s="6">
        <v>225.0</v>
      </c>
      <c r="L11" s="21"/>
      <c r="M11" s="21"/>
    </row>
    <row r="12">
      <c r="A12" s="16" t="s">
        <v>11</v>
      </c>
      <c r="B12" s="4">
        <v>549.0</v>
      </c>
      <c r="C12" s="6">
        <f>399*2</f>
        <v>798</v>
      </c>
      <c r="D12" s="7">
        <v>245.0</v>
      </c>
      <c r="E12" s="21"/>
      <c r="F12" s="21"/>
      <c r="G12" s="21"/>
      <c r="H12" s="21"/>
      <c r="I12" s="21">
        <v>70.0</v>
      </c>
      <c r="J12" s="21"/>
      <c r="K12" s="21">
        <v>140.0</v>
      </c>
      <c r="L12" s="21">
        <v>70.0</v>
      </c>
      <c r="M12" s="21"/>
    </row>
    <row r="13">
      <c r="A13" s="16" t="s">
        <v>12</v>
      </c>
      <c r="B13" s="21"/>
      <c r="C13" s="21"/>
      <c r="D13" s="22"/>
      <c r="E13" s="6">
        <v>798.0</v>
      </c>
      <c r="F13" s="6">
        <f>49+153</f>
        <v>202</v>
      </c>
      <c r="G13" s="21"/>
      <c r="H13" s="21"/>
      <c r="I13" s="21"/>
      <c r="J13" s="21"/>
      <c r="K13" s="21"/>
      <c r="L13" s="21"/>
      <c r="M13" s="21"/>
    </row>
    <row r="14">
      <c r="A14" s="16" t="s">
        <v>13</v>
      </c>
      <c r="B14" s="6">
        <v>708.0</v>
      </c>
      <c r="C14" s="6">
        <f>150+3366+300</f>
        <v>3816</v>
      </c>
      <c r="D14" s="7">
        <f>499</f>
        <v>499</v>
      </c>
      <c r="E14" s="4">
        <v>779.87</v>
      </c>
      <c r="F14" s="6">
        <v>500.0</v>
      </c>
      <c r="G14" s="21"/>
      <c r="H14" s="6">
        <v>675.0</v>
      </c>
      <c r="I14" s="21"/>
      <c r="J14" s="21"/>
      <c r="K14" s="6">
        <f>300+147</f>
        <v>447</v>
      </c>
      <c r="L14" s="21"/>
      <c r="M14" s="21"/>
    </row>
    <row r="15">
      <c r="A15" s="10" t="s">
        <v>14</v>
      </c>
      <c r="B15" s="23">
        <f t="shared" ref="B15:M15" si="7">iferror(B6/B9, "no data")</f>
        <v>0.04761904762</v>
      </c>
      <c r="C15" s="23">
        <f t="shared" si="7"/>
        <v>0.1666666667</v>
      </c>
      <c r="D15" s="24">
        <f t="shared" si="7"/>
        <v>0.05882352941</v>
      </c>
      <c r="E15" s="23">
        <f t="shared" si="7"/>
        <v>0</v>
      </c>
      <c r="F15" s="23">
        <f t="shared" si="7"/>
        <v>0.0625</v>
      </c>
      <c r="G15" s="23">
        <f t="shared" si="7"/>
        <v>0</v>
      </c>
      <c r="H15" s="23">
        <f t="shared" si="7"/>
        <v>0.06666666667</v>
      </c>
      <c r="I15" s="23">
        <f t="shared" si="7"/>
        <v>0</v>
      </c>
      <c r="J15" s="23">
        <f t="shared" si="7"/>
        <v>0</v>
      </c>
      <c r="K15" s="23">
        <f t="shared" si="7"/>
        <v>0.1428571429</v>
      </c>
      <c r="L15" s="23">
        <f t="shared" si="7"/>
        <v>0</v>
      </c>
      <c r="M15" s="23">
        <f t="shared" si="7"/>
        <v>0</v>
      </c>
    </row>
    <row r="16">
      <c r="A16" s="10" t="s">
        <v>15</v>
      </c>
      <c r="B16" s="23">
        <f>IFERROR(B14/15359.54, "no data")</f>
        <v>0.04609513045</v>
      </c>
      <c r="C16" s="23">
        <f t="shared" ref="C16:M16" si="8">IFERROR(C14/B2, "no data")</f>
        <v>0.3147735709</v>
      </c>
      <c r="D16" s="24">
        <f t="shared" si="8"/>
        <v>0.05480505217</v>
      </c>
      <c r="E16" s="23">
        <f t="shared" si="8"/>
        <v>0.08811094792</v>
      </c>
      <c r="F16" s="23">
        <f t="shared" si="8"/>
        <v>0.06874619318</v>
      </c>
      <c r="G16" s="23">
        <f t="shared" si="8"/>
        <v>0</v>
      </c>
      <c r="H16" s="23">
        <f t="shared" si="8"/>
        <v>0.08044208587</v>
      </c>
      <c r="I16" s="23">
        <f t="shared" si="8"/>
        <v>0</v>
      </c>
      <c r="J16" s="23">
        <f t="shared" si="8"/>
        <v>0</v>
      </c>
      <c r="K16" s="23">
        <f t="shared" si="8"/>
        <v>0.05740977867</v>
      </c>
      <c r="L16" s="23">
        <f t="shared" si="8"/>
        <v>0</v>
      </c>
      <c r="M16" s="23">
        <f t="shared" si="8"/>
        <v>0</v>
      </c>
    </row>
    <row r="17">
      <c r="A17" s="10" t="s">
        <v>16</v>
      </c>
      <c r="B17" s="23">
        <f>IFERROR((B14+B13)/15359.54,"no data")</f>
        <v>0.04609513045</v>
      </c>
      <c r="C17" s="23">
        <f t="shared" ref="C17:M17" si="9">IFERROR((C14+C13)/B2,"no data")</f>
        <v>0.3147735709</v>
      </c>
      <c r="D17" s="24">
        <f t="shared" si="9"/>
        <v>0.05480505217</v>
      </c>
      <c r="E17" s="23">
        <f t="shared" si="9"/>
        <v>0.1782702519</v>
      </c>
      <c r="F17" s="23">
        <f t="shared" si="9"/>
        <v>0.09651965522</v>
      </c>
      <c r="G17" s="23">
        <f t="shared" si="9"/>
        <v>0</v>
      </c>
      <c r="H17" s="23">
        <f t="shared" si="9"/>
        <v>0.08044208587</v>
      </c>
      <c r="I17" s="23">
        <f t="shared" si="9"/>
        <v>0</v>
      </c>
      <c r="J17" s="23">
        <f t="shared" si="9"/>
        <v>0</v>
      </c>
      <c r="K17" s="23">
        <f t="shared" si="9"/>
        <v>0.05740977867</v>
      </c>
      <c r="L17" s="23">
        <f t="shared" si="9"/>
        <v>0</v>
      </c>
      <c r="M17" s="23">
        <f t="shared" si="9"/>
        <v>0</v>
      </c>
    </row>
    <row r="18">
      <c r="A18" s="10" t="s">
        <v>17</v>
      </c>
      <c r="B18" s="23">
        <f>IFERROR(B12/15359.54, "no data")</f>
        <v>0.03574325794</v>
      </c>
      <c r="C18" s="23">
        <f t="shared" ref="C18:M18" si="10">IFERROR(C12/B2, "no data")</f>
        <v>0.06582529077</v>
      </c>
      <c r="D18" s="24">
        <f t="shared" si="10"/>
        <v>0.02690829215</v>
      </c>
      <c r="E18" s="23">
        <f t="shared" si="10"/>
        <v>0</v>
      </c>
      <c r="F18" s="23">
        <f t="shared" si="10"/>
        <v>0</v>
      </c>
      <c r="G18" s="23">
        <f t="shared" si="10"/>
        <v>0</v>
      </c>
      <c r="H18" s="23">
        <f t="shared" si="10"/>
        <v>0</v>
      </c>
      <c r="I18" s="23">
        <f t="shared" si="10"/>
        <v>0.009071905217</v>
      </c>
      <c r="J18" s="23">
        <f t="shared" si="10"/>
        <v>0</v>
      </c>
      <c r="K18" s="23">
        <f t="shared" si="10"/>
        <v>0.01798069131</v>
      </c>
      <c r="L18" s="23">
        <f t="shared" si="10"/>
        <v>0.009086035672</v>
      </c>
      <c r="M18" s="23">
        <f t="shared" si="10"/>
        <v>0</v>
      </c>
    </row>
    <row r="19">
      <c r="A19" s="10" t="s">
        <v>18</v>
      </c>
      <c r="B19" s="23">
        <f>IFERROR((B14-B12)/15359.54,"no data")</f>
        <v>0.01035187252</v>
      </c>
      <c r="C19" s="23">
        <f t="shared" ref="C19:M19" si="11">IFERROR((C14-C12)/B2,"no data")</f>
        <v>0.2489482801</v>
      </c>
      <c r="D19" s="24">
        <f t="shared" si="11"/>
        <v>0.02789676002</v>
      </c>
      <c r="E19" s="23">
        <f t="shared" si="11"/>
        <v>0.08811094792</v>
      </c>
      <c r="F19" s="23">
        <f t="shared" si="11"/>
        <v>0.06874619318</v>
      </c>
      <c r="G19" s="23">
        <f t="shared" si="11"/>
        <v>0</v>
      </c>
      <c r="H19" s="23">
        <f t="shared" si="11"/>
        <v>0.08044208587</v>
      </c>
      <c r="I19" s="23">
        <f t="shared" si="11"/>
        <v>-0.009071905217</v>
      </c>
      <c r="J19" s="23">
        <f t="shared" si="11"/>
        <v>0</v>
      </c>
      <c r="K19" s="23">
        <f t="shared" si="11"/>
        <v>0.03942908736</v>
      </c>
      <c r="L19" s="23">
        <f t="shared" si="11"/>
        <v>-0.009086035672</v>
      </c>
      <c r="M19" s="23">
        <f t="shared" si="11"/>
        <v>0</v>
      </c>
    </row>
    <row r="20">
      <c r="A20" s="10" t="s">
        <v>19</v>
      </c>
      <c r="B20" s="25">
        <f t="shared" ref="B20:M20" si="12">IFERROR(B2/B9, "no data")</f>
        <v>577.2857143</v>
      </c>
      <c r="C20" s="25">
        <f t="shared" si="12"/>
        <v>505.8333333</v>
      </c>
      <c r="D20" s="26">
        <f t="shared" si="12"/>
        <v>520.6470588</v>
      </c>
      <c r="E20" s="25">
        <f t="shared" si="12"/>
        <v>427.8311765</v>
      </c>
      <c r="F20" s="25">
        <f t="shared" si="12"/>
        <v>410.695625</v>
      </c>
      <c r="G20" s="25">
        <f t="shared" si="12"/>
        <v>524.445625</v>
      </c>
      <c r="H20" s="25">
        <f t="shared" si="12"/>
        <v>514.4086667</v>
      </c>
      <c r="I20" s="25">
        <f t="shared" si="12"/>
        <v>519.0753333</v>
      </c>
      <c r="J20" s="25">
        <f t="shared" si="12"/>
        <v>519.0753333</v>
      </c>
      <c r="K20" s="25">
        <f t="shared" si="12"/>
        <v>550.295</v>
      </c>
      <c r="L20" s="25">
        <f t="shared" si="12"/>
        <v>555.295</v>
      </c>
      <c r="M20" s="25">
        <f t="shared" si="12"/>
        <v>474.5714286</v>
      </c>
    </row>
    <row r="21">
      <c r="A21" s="10" t="s">
        <v>20</v>
      </c>
      <c r="B21" s="11"/>
      <c r="C21" s="11"/>
      <c r="D21" s="12"/>
      <c r="E21" s="27"/>
      <c r="F21" s="27"/>
      <c r="G21" s="28"/>
      <c r="H21" s="11"/>
      <c r="I21" s="27"/>
      <c r="J21" s="27"/>
      <c r="K21" s="11"/>
      <c r="L21" s="11"/>
      <c r="M21" s="11"/>
    </row>
    <row r="22">
      <c r="A22" s="29" t="s">
        <v>21</v>
      </c>
      <c r="B22" s="8"/>
      <c r="C22" s="8"/>
      <c r="D22" s="12"/>
      <c r="E22" s="11"/>
      <c r="F22" s="30"/>
      <c r="G22" s="11"/>
      <c r="H22" s="11"/>
      <c r="I22" s="11"/>
      <c r="J22" s="31">
        <v>30.53</v>
      </c>
      <c r="K22" s="11"/>
      <c r="L22" s="31"/>
      <c r="M22" s="11"/>
    </row>
    <row r="23">
      <c r="A23" s="10" t="s">
        <v>22</v>
      </c>
      <c r="B23" s="28"/>
      <c r="C23" s="8"/>
      <c r="D23" s="9"/>
      <c r="E23" s="8"/>
      <c r="F23" s="8"/>
      <c r="G23" s="8"/>
      <c r="H23" s="8"/>
      <c r="I23" s="8"/>
      <c r="J23" s="8"/>
      <c r="K23" s="8"/>
      <c r="L23" s="21"/>
      <c r="M23" s="21"/>
    </row>
    <row r="24">
      <c r="A24" s="10" t="s">
        <v>23</v>
      </c>
      <c r="B24" s="6">
        <f t="shared" ref="B24:M24" si="13">B11+B12</f>
        <v>549</v>
      </c>
      <c r="C24" s="6">
        <f t="shared" si="13"/>
        <v>798</v>
      </c>
      <c r="D24" s="7">
        <f t="shared" si="13"/>
        <v>245</v>
      </c>
      <c r="E24" s="6">
        <f t="shared" si="13"/>
        <v>0</v>
      </c>
      <c r="F24" s="6">
        <f t="shared" si="13"/>
        <v>0</v>
      </c>
      <c r="G24" s="6">
        <f t="shared" si="13"/>
        <v>1820</v>
      </c>
      <c r="H24" s="6">
        <f t="shared" si="13"/>
        <v>0</v>
      </c>
      <c r="I24" s="6">
        <f t="shared" si="13"/>
        <v>70</v>
      </c>
      <c r="J24" s="6">
        <f t="shared" si="13"/>
        <v>0</v>
      </c>
      <c r="K24" s="6">
        <f t="shared" si="13"/>
        <v>365</v>
      </c>
      <c r="L24" s="6">
        <f t="shared" si="13"/>
        <v>70</v>
      </c>
      <c r="M24" s="6">
        <f t="shared" si="13"/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2">
        <v>2020.0</v>
      </c>
      <c r="C1" s="2">
        <v>44197.0</v>
      </c>
      <c r="D1" s="2">
        <v>44229.0</v>
      </c>
      <c r="E1" s="2">
        <v>44261.0</v>
      </c>
      <c r="F1" s="2">
        <v>44293.0</v>
      </c>
      <c r="G1" s="2">
        <v>44325.0</v>
      </c>
      <c r="H1" s="2">
        <v>44357.0</v>
      </c>
      <c r="I1" s="2">
        <v>44389.0</v>
      </c>
      <c r="J1" s="2">
        <v>44421.0</v>
      </c>
      <c r="K1" s="2">
        <v>44453.0</v>
      </c>
      <c r="L1" s="2">
        <v>44485.0</v>
      </c>
      <c r="M1" s="2">
        <v>44517.0</v>
      </c>
      <c r="N1" s="2">
        <v>44549.0</v>
      </c>
    </row>
    <row r="2">
      <c r="A2" s="3" t="s">
        <v>1</v>
      </c>
      <c r="B2" s="4">
        <f>IFERROR(__xludf.DUMMYFUNCTION("IMPORTRANGE(""https://docs.google.com/spreadsheets/d/1SvBzUVYrRJmHCHO7jB39XeNmy-NT5G81nN3FCtn5TKg/edit#gid=207328058"", ""BC Family KPIs!m2:m24"")"),6644.0)</f>
        <v>6644</v>
      </c>
      <c r="C2" s="4">
        <f t="shared" ref="C2:M2" si="1">B2+C11+C12-C13-C14</f>
        <v>7442</v>
      </c>
      <c r="D2" s="4">
        <f t="shared" si="1"/>
        <v>7442</v>
      </c>
      <c r="E2" s="5">
        <f t="shared" si="1"/>
        <v>7341</v>
      </c>
      <c r="F2" s="4">
        <f t="shared" si="1"/>
        <v>7341</v>
      </c>
      <c r="G2" s="4">
        <f t="shared" si="1"/>
        <v>7341</v>
      </c>
      <c r="H2" s="4">
        <f t="shared" si="1"/>
        <v>7341</v>
      </c>
      <c r="I2" s="4">
        <f t="shared" si="1"/>
        <v>7411</v>
      </c>
      <c r="J2" s="4">
        <f t="shared" si="1"/>
        <v>7411</v>
      </c>
      <c r="K2" s="4">
        <f t="shared" si="1"/>
        <v>7411</v>
      </c>
      <c r="L2" s="4">
        <f t="shared" si="1"/>
        <v>7411</v>
      </c>
      <c r="M2" s="4">
        <f t="shared" si="1"/>
        <v>7411</v>
      </c>
      <c r="N2" s="4">
        <f>6644</f>
        <v>6644</v>
      </c>
    </row>
    <row r="3">
      <c r="A3" s="3" t="s">
        <v>2</v>
      </c>
      <c r="B3" s="6">
        <f>IFERROR(__xludf.DUMMYFUNCTION("""COMPUTED_VALUE"""),79728.0)</f>
        <v>79728</v>
      </c>
      <c r="C3" s="6">
        <f t="shared" ref="C3:N3" si="2">C2*12</f>
        <v>89304</v>
      </c>
      <c r="D3" s="6">
        <f t="shared" si="2"/>
        <v>89304</v>
      </c>
      <c r="E3" s="7">
        <f t="shared" si="2"/>
        <v>88092</v>
      </c>
      <c r="F3" s="6">
        <f t="shared" si="2"/>
        <v>88092</v>
      </c>
      <c r="G3" s="6">
        <f t="shared" si="2"/>
        <v>88092</v>
      </c>
      <c r="H3" s="6">
        <f t="shared" si="2"/>
        <v>88092</v>
      </c>
      <c r="I3" s="6">
        <f t="shared" si="2"/>
        <v>88932</v>
      </c>
      <c r="J3" s="6">
        <f t="shared" si="2"/>
        <v>88932</v>
      </c>
      <c r="K3" s="6">
        <f t="shared" si="2"/>
        <v>88932</v>
      </c>
      <c r="L3" s="6">
        <f t="shared" si="2"/>
        <v>88932</v>
      </c>
      <c r="M3" s="6">
        <f t="shared" si="2"/>
        <v>88932</v>
      </c>
      <c r="N3" s="6">
        <f t="shared" si="2"/>
        <v>79728</v>
      </c>
    </row>
    <row r="4">
      <c r="A4" s="3" t="s">
        <v>3</v>
      </c>
      <c r="B4" s="8"/>
      <c r="C4" s="8"/>
      <c r="D4" s="8"/>
      <c r="E4" s="9"/>
      <c r="F4" s="8"/>
      <c r="G4" s="8"/>
      <c r="H4" s="8"/>
      <c r="I4" s="8"/>
      <c r="J4" s="8"/>
      <c r="K4" s="8"/>
      <c r="L4" s="8"/>
      <c r="M4" s="8"/>
      <c r="N4" s="8"/>
    </row>
    <row r="5">
      <c r="A5" s="10" t="s">
        <v>4</v>
      </c>
      <c r="B5" s="11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</row>
    <row r="6">
      <c r="A6" s="10" t="s">
        <v>5</v>
      </c>
      <c r="B6" s="11"/>
      <c r="C6" s="11"/>
      <c r="D6" s="11"/>
      <c r="E6" s="12"/>
      <c r="F6" s="11"/>
      <c r="G6" s="11"/>
      <c r="H6" s="11"/>
      <c r="I6" s="11"/>
      <c r="J6" s="11"/>
      <c r="K6" s="11"/>
      <c r="L6" s="11"/>
      <c r="M6" s="11"/>
      <c r="N6" s="11"/>
    </row>
    <row r="7">
      <c r="A7" s="10" t="s">
        <v>6</v>
      </c>
      <c r="B7" s="33">
        <f>IFERROR(__xludf.DUMMYFUNCTION("""COMPUTED_VALUE"""),0.0)</f>
        <v>0</v>
      </c>
      <c r="C7" s="14">
        <f t="shared" ref="C7:N7" si="3">C5-C6</f>
        <v>0</v>
      </c>
      <c r="D7" s="14">
        <f t="shared" si="3"/>
        <v>0</v>
      </c>
      <c r="E7" s="14">
        <f t="shared" si="3"/>
        <v>0</v>
      </c>
      <c r="F7" s="14">
        <f t="shared" si="3"/>
        <v>0</v>
      </c>
      <c r="G7" s="14">
        <f t="shared" si="3"/>
        <v>0</v>
      </c>
      <c r="H7" s="14">
        <f t="shared" si="3"/>
        <v>0</v>
      </c>
      <c r="I7" s="14">
        <f t="shared" si="3"/>
        <v>0</v>
      </c>
      <c r="J7" s="14">
        <f t="shared" si="3"/>
        <v>0</v>
      </c>
      <c r="K7" s="14">
        <f t="shared" si="3"/>
        <v>0</v>
      </c>
      <c r="L7" s="14">
        <f t="shared" si="3"/>
        <v>0</v>
      </c>
      <c r="M7" s="14">
        <f t="shared" si="3"/>
        <v>0</v>
      </c>
      <c r="N7" s="14">
        <f t="shared" si="3"/>
        <v>0</v>
      </c>
    </row>
    <row r="8">
      <c r="A8" s="16" t="s">
        <v>7</v>
      </c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</row>
    <row r="9">
      <c r="A9" s="16" t="s">
        <v>8</v>
      </c>
      <c r="B9" s="13">
        <f>IFERROR(__xludf.DUMMYFUNCTION("""COMPUTED_VALUE"""),14.0)</f>
        <v>14</v>
      </c>
      <c r="C9" s="13">
        <f t="shared" ref="C9:N9" si="4">B9+C5-C6</f>
        <v>14</v>
      </c>
      <c r="D9" s="13">
        <f t="shared" si="4"/>
        <v>14</v>
      </c>
      <c r="E9" s="14">
        <f t="shared" si="4"/>
        <v>14</v>
      </c>
      <c r="F9" s="13">
        <f t="shared" si="4"/>
        <v>14</v>
      </c>
      <c r="G9" s="13">
        <f t="shared" si="4"/>
        <v>14</v>
      </c>
      <c r="H9" s="13">
        <f t="shared" si="4"/>
        <v>14</v>
      </c>
      <c r="I9" s="13">
        <f t="shared" si="4"/>
        <v>14</v>
      </c>
      <c r="J9" s="13">
        <f t="shared" si="4"/>
        <v>14</v>
      </c>
      <c r="K9" s="13">
        <f t="shared" si="4"/>
        <v>14</v>
      </c>
      <c r="L9" s="13">
        <f t="shared" si="4"/>
        <v>14</v>
      </c>
      <c r="M9" s="13">
        <f t="shared" si="4"/>
        <v>14</v>
      </c>
      <c r="N9" s="13">
        <f t="shared" si="4"/>
        <v>14</v>
      </c>
    </row>
    <row r="10">
      <c r="A10" s="17" t="s">
        <v>9</v>
      </c>
      <c r="B10" s="18">
        <f>IFERROR(__xludf.DUMMYFUNCTION("""COMPUTED_VALUE"""),0.0)</f>
        <v>0</v>
      </c>
      <c r="C10" s="19">
        <f t="shared" ref="C10:N10" si="5">C11+C12</f>
        <v>798</v>
      </c>
      <c r="D10" s="19">
        <f t="shared" si="5"/>
        <v>0</v>
      </c>
      <c r="E10" s="20">
        <f t="shared" si="5"/>
        <v>399</v>
      </c>
      <c r="F10" s="19">
        <f t="shared" si="5"/>
        <v>0</v>
      </c>
      <c r="G10" s="19">
        <f t="shared" si="5"/>
        <v>0</v>
      </c>
      <c r="H10" s="19">
        <f t="shared" si="5"/>
        <v>0</v>
      </c>
      <c r="I10" s="19">
        <f t="shared" si="5"/>
        <v>70</v>
      </c>
      <c r="J10" s="19">
        <f t="shared" si="5"/>
        <v>0</v>
      </c>
      <c r="K10" s="19">
        <f t="shared" si="5"/>
        <v>0</v>
      </c>
      <c r="L10" s="19">
        <f t="shared" si="5"/>
        <v>0</v>
      </c>
      <c r="M10" s="19">
        <f t="shared" si="5"/>
        <v>0</v>
      </c>
      <c r="N10" s="19">
        <f t="shared" si="5"/>
        <v>0</v>
      </c>
    </row>
    <row r="11">
      <c r="A11" s="16" t="s">
        <v>10</v>
      </c>
      <c r="B11" s="21"/>
      <c r="C11" s="21"/>
      <c r="D11" s="21"/>
      <c r="E11" s="22"/>
      <c r="F11" s="21"/>
      <c r="G11" s="21"/>
      <c r="H11" s="21"/>
      <c r="I11" s="21"/>
      <c r="J11" s="21"/>
      <c r="K11" s="21"/>
      <c r="L11" s="21"/>
      <c r="M11" s="21"/>
      <c r="N11" s="21"/>
    </row>
    <row r="12">
      <c r="A12" s="16" t="s">
        <v>11</v>
      </c>
      <c r="B12" s="28"/>
      <c r="C12" s="4">
        <v>798.0</v>
      </c>
      <c r="D12" s="21"/>
      <c r="E12" s="7">
        <v>399.0</v>
      </c>
      <c r="F12" s="21"/>
      <c r="G12" s="21"/>
      <c r="H12" s="21"/>
      <c r="I12" s="21">
        <v>70.0</v>
      </c>
      <c r="J12" s="21"/>
      <c r="K12" s="21"/>
      <c r="L12" s="21"/>
      <c r="M12" s="21"/>
      <c r="N12" s="21"/>
    </row>
    <row r="13">
      <c r="A13" s="16" t="s">
        <v>12</v>
      </c>
      <c r="B13" s="21"/>
      <c r="C13" s="21"/>
      <c r="D13" s="21"/>
      <c r="E13" s="22"/>
      <c r="F13" s="21"/>
      <c r="G13" s="21"/>
      <c r="H13" s="21"/>
      <c r="I13" s="21"/>
      <c r="J13" s="21"/>
      <c r="K13" s="21"/>
      <c r="L13" s="21"/>
      <c r="M13" s="21"/>
      <c r="N13" s="21"/>
    </row>
    <row r="14">
      <c r="A14" s="16" t="s">
        <v>13</v>
      </c>
      <c r="B14" s="21"/>
      <c r="C14" s="21"/>
      <c r="D14" s="21"/>
      <c r="E14" s="7">
        <v>500.0</v>
      </c>
      <c r="F14" s="28"/>
      <c r="G14" s="21"/>
      <c r="H14" s="21"/>
      <c r="I14" s="21"/>
      <c r="J14" s="21"/>
      <c r="K14" s="21"/>
      <c r="L14" s="21"/>
      <c r="M14" s="21"/>
      <c r="N14" s="21"/>
    </row>
    <row r="15">
      <c r="A15" s="10" t="s">
        <v>14</v>
      </c>
      <c r="B15" s="23">
        <f>IFERROR(__xludf.DUMMYFUNCTION("""COMPUTED_VALUE"""),0.0)</f>
        <v>0</v>
      </c>
      <c r="C15" s="23">
        <f t="shared" ref="C15:N15" si="6">iferror(C6/C9, "no data")</f>
        <v>0</v>
      </c>
      <c r="D15" s="23">
        <f t="shared" si="6"/>
        <v>0</v>
      </c>
      <c r="E15" s="24">
        <f t="shared" si="6"/>
        <v>0</v>
      </c>
      <c r="F15" s="23">
        <f t="shared" si="6"/>
        <v>0</v>
      </c>
      <c r="G15" s="23">
        <f t="shared" si="6"/>
        <v>0</v>
      </c>
      <c r="H15" s="23">
        <f t="shared" si="6"/>
        <v>0</v>
      </c>
      <c r="I15" s="23">
        <f t="shared" si="6"/>
        <v>0</v>
      </c>
      <c r="J15" s="23">
        <f t="shared" si="6"/>
        <v>0</v>
      </c>
      <c r="K15" s="23">
        <f t="shared" si="6"/>
        <v>0</v>
      </c>
      <c r="L15" s="23">
        <f t="shared" si="6"/>
        <v>0</v>
      </c>
      <c r="M15" s="23">
        <f t="shared" si="6"/>
        <v>0</v>
      </c>
      <c r="N15" s="23">
        <f t="shared" si="6"/>
        <v>0</v>
      </c>
    </row>
    <row r="16">
      <c r="A16" s="10" t="s">
        <v>15</v>
      </c>
      <c r="B16" s="23">
        <f>IFERROR(__xludf.DUMMYFUNCTION("""COMPUTED_VALUE"""),0.0)</f>
        <v>0</v>
      </c>
      <c r="C16" s="23">
        <f>IFERROR(C14/15359.54, "no data")</f>
        <v>0</v>
      </c>
      <c r="D16" s="23">
        <f t="shared" ref="D16:N16" si="7">IFERROR(D14/C2, "no data")</f>
        <v>0</v>
      </c>
      <c r="E16" s="24">
        <f t="shared" si="7"/>
        <v>0.06718624026</v>
      </c>
      <c r="F16" s="23">
        <f t="shared" si="7"/>
        <v>0</v>
      </c>
      <c r="G16" s="23">
        <f t="shared" si="7"/>
        <v>0</v>
      </c>
      <c r="H16" s="23">
        <f t="shared" si="7"/>
        <v>0</v>
      </c>
      <c r="I16" s="23">
        <f t="shared" si="7"/>
        <v>0</v>
      </c>
      <c r="J16" s="23">
        <f t="shared" si="7"/>
        <v>0</v>
      </c>
      <c r="K16" s="23">
        <f t="shared" si="7"/>
        <v>0</v>
      </c>
      <c r="L16" s="23">
        <f t="shared" si="7"/>
        <v>0</v>
      </c>
      <c r="M16" s="23">
        <f t="shared" si="7"/>
        <v>0</v>
      </c>
      <c r="N16" s="23">
        <f t="shared" si="7"/>
        <v>0</v>
      </c>
    </row>
    <row r="17">
      <c r="A17" s="10" t="s">
        <v>16</v>
      </c>
      <c r="B17" s="23">
        <f>IFERROR(__xludf.DUMMYFUNCTION("""COMPUTED_VALUE"""),0.0)</f>
        <v>0</v>
      </c>
      <c r="C17" s="23">
        <f>IFERROR((C14+C13)/15359.54,"no data")</f>
        <v>0</v>
      </c>
      <c r="D17" s="23">
        <f t="shared" ref="D17:N17" si="8">IFERROR((D14+D13)/C2,"no data")</f>
        <v>0</v>
      </c>
      <c r="E17" s="24">
        <f t="shared" si="8"/>
        <v>0.06718624026</v>
      </c>
      <c r="F17" s="23">
        <f t="shared" si="8"/>
        <v>0</v>
      </c>
      <c r="G17" s="23">
        <f t="shared" si="8"/>
        <v>0</v>
      </c>
      <c r="H17" s="23">
        <f t="shared" si="8"/>
        <v>0</v>
      </c>
      <c r="I17" s="23">
        <f t="shared" si="8"/>
        <v>0</v>
      </c>
      <c r="J17" s="23">
        <f t="shared" si="8"/>
        <v>0</v>
      </c>
      <c r="K17" s="23">
        <f t="shared" si="8"/>
        <v>0</v>
      </c>
      <c r="L17" s="23">
        <f t="shared" si="8"/>
        <v>0</v>
      </c>
      <c r="M17" s="23">
        <f t="shared" si="8"/>
        <v>0</v>
      </c>
      <c r="N17" s="23">
        <f t="shared" si="8"/>
        <v>0</v>
      </c>
    </row>
    <row r="18">
      <c r="A18" s="10" t="s">
        <v>17</v>
      </c>
      <c r="B18" s="23">
        <f>IFERROR(__xludf.DUMMYFUNCTION("""COMPUTED_VALUE"""),0.0)</f>
        <v>0</v>
      </c>
      <c r="C18" s="23">
        <f>IFERROR(C12/15359.54, "no data")</f>
        <v>0.05195468093</v>
      </c>
      <c r="D18" s="23">
        <f t="shared" ref="D18:N18" si="9">IFERROR(D12/C2, "no data")</f>
        <v>0</v>
      </c>
      <c r="E18" s="24">
        <f t="shared" si="9"/>
        <v>0.05361461973</v>
      </c>
      <c r="F18" s="23">
        <f t="shared" si="9"/>
        <v>0</v>
      </c>
      <c r="G18" s="23">
        <f t="shared" si="9"/>
        <v>0</v>
      </c>
      <c r="H18" s="23">
        <f t="shared" si="9"/>
        <v>0</v>
      </c>
      <c r="I18" s="23">
        <f t="shared" si="9"/>
        <v>0.009535485629</v>
      </c>
      <c r="J18" s="23">
        <f t="shared" si="9"/>
        <v>0</v>
      </c>
      <c r="K18" s="23">
        <f t="shared" si="9"/>
        <v>0</v>
      </c>
      <c r="L18" s="23">
        <f t="shared" si="9"/>
        <v>0</v>
      </c>
      <c r="M18" s="23">
        <f t="shared" si="9"/>
        <v>0</v>
      </c>
      <c r="N18" s="23">
        <f t="shared" si="9"/>
        <v>0</v>
      </c>
    </row>
    <row r="19">
      <c r="A19" s="10" t="s">
        <v>18</v>
      </c>
      <c r="B19" s="23">
        <f>IFERROR(__xludf.DUMMYFUNCTION("""COMPUTED_VALUE"""),0.0)</f>
        <v>0</v>
      </c>
      <c r="C19" s="23">
        <f>IFERROR((C14-C12)/15359.54,"no data")</f>
        <v>-0.05195468093</v>
      </c>
      <c r="D19" s="23">
        <f t="shared" ref="D19:N19" si="10">IFERROR((D14-D12)/C2,"no data")</f>
        <v>0</v>
      </c>
      <c r="E19" s="24">
        <f t="shared" si="10"/>
        <v>0.01357162053</v>
      </c>
      <c r="F19" s="23">
        <f t="shared" si="10"/>
        <v>0</v>
      </c>
      <c r="G19" s="23">
        <f t="shared" si="10"/>
        <v>0</v>
      </c>
      <c r="H19" s="23">
        <f t="shared" si="10"/>
        <v>0</v>
      </c>
      <c r="I19" s="23">
        <f t="shared" si="10"/>
        <v>-0.009535485629</v>
      </c>
      <c r="J19" s="23">
        <f t="shared" si="10"/>
        <v>0</v>
      </c>
      <c r="K19" s="23">
        <f t="shared" si="10"/>
        <v>0</v>
      </c>
      <c r="L19" s="23">
        <f t="shared" si="10"/>
        <v>0</v>
      </c>
      <c r="M19" s="23">
        <f t="shared" si="10"/>
        <v>0</v>
      </c>
      <c r="N19" s="23">
        <f t="shared" si="10"/>
        <v>0</v>
      </c>
    </row>
    <row r="20">
      <c r="A20" s="10" t="s">
        <v>19</v>
      </c>
      <c r="B20" s="25">
        <f>IFERROR(__xludf.DUMMYFUNCTION("""COMPUTED_VALUE"""),474.57142857142856)</f>
        <v>474.5714286</v>
      </c>
      <c r="C20" s="25">
        <f t="shared" ref="C20:N20" si="11">IFERROR(C2/C9, "no data")</f>
        <v>531.5714286</v>
      </c>
      <c r="D20" s="25">
        <f t="shared" si="11"/>
        <v>531.5714286</v>
      </c>
      <c r="E20" s="26">
        <f t="shared" si="11"/>
        <v>524.3571429</v>
      </c>
      <c r="F20" s="25">
        <f t="shared" si="11"/>
        <v>524.3571429</v>
      </c>
      <c r="G20" s="25">
        <f t="shared" si="11"/>
        <v>524.3571429</v>
      </c>
      <c r="H20" s="25">
        <f t="shared" si="11"/>
        <v>524.3571429</v>
      </c>
      <c r="I20" s="25">
        <f t="shared" si="11"/>
        <v>529.3571429</v>
      </c>
      <c r="J20" s="25">
        <f t="shared" si="11"/>
        <v>529.3571429</v>
      </c>
      <c r="K20" s="25">
        <f t="shared" si="11"/>
        <v>529.3571429</v>
      </c>
      <c r="L20" s="25">
        <f t="shared" si="11"/>
        <v>529.3571429</v>
      </c>
      <c r="M20" s="25">
        <f t="shared" si="11"/>
        <v>529.3571429</v>
      </c>
      <c r="N20" s="25">
        <f t="shared" si="11"/>
        <v>474.5714286</v>
      </c>
    </row>
    <row r="21">
      <c r="A21" s="10" t="s">
        <v>20</v>
      </c>
      <c r="B21" s="11"/>
      <c r="C21" s="11"/>
      <c r="D21" s="11"/>
      <c r="E21" s="12"/>
      <c r="F21" s="27"/>
      <c r="G21" s="27"/>
      <c r="H21" s="28"/>
      <c r="I21" s="11"/>
      <c r="J21" s="27"/>
      <c r="K21" s="27"/>
      <c r="L21" s="11"/>
      <c r="M21" s="11"/>
      <c r="N21" s="11"/>
    </row>
    <row r="22">
      <c r="A22" s="29" t="s">
        <v>21</v>
      </c>
      <c r="B22" s="8"/>
      <c r="C22" s="8">
        <v>640.76</v>
      </c>
      <c r="D22" s="8"/>
      <c r="E22" s="12"/>
      <c r="F22" s="11"/>
      <c r="G22" s="30"/>
      <c r="H22" s="31">
        <v>28.38</v>
      </c>
      <c r="I22" s="11"/>
      <c r="J22" s="11"/>
      <c r="K22" s="31"/>
      <c r="L22" s="11"/>
      <c r="M22" s="31"/>
      <c r="N22" s="11"/>
    </row>
    <row r="23">
      <c r="A23" s="10" t="s">
        <v>22</v>
      </c>
      <c r="B23" s="28"/>
      <c r="C23" s="28"/>
      <c r="D23" s="8"/>
      <c r="E23" s="9"/>
      <c r="F23" s="8"/>
      <c r="G23" s="8"/>
      <c r="H23" s="8"/>
      <c r="I23" s="8"/>
      <c r="J23" s="8"/>
      <c r="K23" s="8"/>
      <c r="L23" s="8"/>
      <c r="M23" s="21"/>
      <c r="N23" s="21"/>
    </row>
    <row r="24">
      <c r="A24" s="10" t="s">
        <v>23</v>
      </c>
      <c r="B24" s="6">
        <f>IFERROR(__xludf.DUMMYFUNCTION("""COMPUTED_VALUE"""),0.0)</f>
        <v>0</v>
      </c>
      <c r="C24" s="6">
        <f t="shared" ref="C24:N24" si="12">C11+C12</f>
        <v>798</v>
      </c>
      <c r="D24" s="6">
        <f t="shared" si="12"/>
        <v>0</v>
      </c>
      <c r="E24" s="7">
        <f t="shared" si="12"/>
        <v>399</v>
      </c>
      <c r="F24" s="6">
        <f t="shared" si="12"/>
        <v>0</v>
      </c>
      <c r="G24" s="6">
        <f t="shared" si="12"/>
        <v>0</v>
      </c>
      <c r="H24" s="6">
        <f t="shared" si="12"/>
        <v>0</v>
      </c>
      <c r="I24" s="6">
        <f t="shared" si="12"/>
        <v>70</v>
      </c>
      <c r="J24" s="6">
        <f t="shared" si="12"/>
        <v>0</v>
      </c>
      <c r="K24" s="6">
        <f t="shared" si="12"/>
        <v>0</v>
      </c>
      <c r="L24" s="6">
        <f t="shared" si="12"/>
        <v>0</v>
      </c>
      <c r="M24" s="6">
        <f t="shared" si="12"/>
        <v>0</v>
      </c>
      <c r="N24" s="6">
        <f t="shared" si="12"/>
        <v>0</v>
      </c>
    </row>
    <row r="25">
      <c r="A25" s="34" t="s">
        <v>24</v>
      </c>
      <c r="B25" s="11"/>
      <c r="C25" s="1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</sheetData>
  <drawing r:id="rId2"/>
  <legacyDrawing r:id="rId3"/>
</worksheet>
</file>